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4_{100D61BA-5CAE-411A-9E84-E5C85AEC1FC5}" xr6:coauthVersionLast="45" xr6:coauthVersionMax="45" xr10:uidLastSave="{00000000-0000-0000-0000-000000000000}"/>
  <bookViews>
    <workbookView xWindow="-120" yWindow="-120" windowWidth="29040" windowHeight="176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2(1)" sheetId="188" r:id="rId34"/>
    <sheet name="SF&amp;QC Sec-3" sheetId="187" r:id="rId35"/>
    <sheet name="SSPAF" sheetId="177" r:id="rId36"/>
  </sheets>
  <definedNames>
    <definedName name="_xlnm._FilterDatabase" localSheetId="23" hidden="1">'AFR20'!$A$1:$F$7884</definedName>
    <definedName name="_xlnm.Print_Area" localSheetId="27">' SEFA'!$B$1:$M$46</definedName>
    <definedName name="_xlnm.Print_Area" localSheetId="28">' SEFA (2)'!$B$1:$M$51</definedName>
    <definedName name="_xlnm.Print_Area" localSheetId="29">' SEFA (3)'!$B$1:$M$55</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 i="3" l="1"/>
  <c r="M17" i="3"/>
  <c r="C33" i="173" l="1"/>
  <c r="L22" i="185"/>
  <c r="L21" i="185"/>
  <c r="D45" i="174" l="1"/>
  <c r="G38" i="174"/>
  <c r="L36" i="186"/>
  <c r="M36" i="186"/>
  <c r="K36" i="186"/>
  <c r="J36" i="186"/>
  <c r="I36" i="186"/>
  <c r="H36" i="186"/>
  <c r="G36" i="186"/>
  <c r="F36" i="186"/>
  <c r="E36" i="186"/>
  <c r="M30" i="186"/>
  <c r="L30" i="186"/>
  <c r="K30" i="186"/>
  <c r="J30" i="186"/>
  <c r="I30" i="186"/>
  <c r="H30" i="186"/>
  <c r="G30" i="186"/>
  <c r="F30" i="186"/>
  <c r="E30" i="186"/>
  <c r="M28" i="186"/>
  <c r="L28" i="186"/>
  <c r="K28" i="186"/>
  <c r="J28" i="186"/>
  <c r="I28" i="186"/>
  <c r="H28" i="186"/>
  <c r="G28" i="186"/>
  <c r="F28" i="186"/>
  <c r="E28" i="186"/>
  <c r="M21" i="186"/>
  <c r="L21" i="186"/>
  <c r="K21" i="186"/>
  <c r="J21" i="186"/>
  <c r="I21" i="186"/>
  <c r="H21" i="186"/>
  <c r="G21" i="186"/>
  <c r="F21" i="186"/>
  <c r="E21" i="186"/>
  <c r="M19" i="186"/>
  <c r="L19" i="186"/>
  <c r="K19" i="186"/>
  <c r="J19" i="186"/>
  <c r="I19" i="186"/>
  <c r="H19" i="186"/>
  <c r="G19" i="186"/>
  <c r="F19" i="186"/>
  <c r="E19" i="186"/>
  <c r="M25" i="179"/>
  <c r="M27" i="179" s="1"/>
  <c r="K25" i="179"/>
  <c r="K27" i="179" s="1"/>
  <c r="J25" i="179"/>
  <c r="J27" i="179" s="1"/>
  <c r="I25" i="179"/>
  <c r="I27" i="179" s="1"/>
  <c r="H25" i="179"/>
  <c r="H27" i="179" s="1"/>
  <c r="G25" i="179"/>
  <c r="G27" i="179" s="1"/>
  <c r="F25" i="179"/>
  <c r="F27" i="179" s="1"/>
  <c r="E25" i="179"/>
  <c r="E27" i="179" s="1"/>
  <c r="L16" i="186"/>
  <c r="M25" i="185"/>
  <c r="M30" i="185" s="1"/>
  <c r="M32" i="185" s="1"/>
  <c r="K25" i="185"/>
  <c r="K30" i="185" s="1"/>
  <c r="K32" i="185" s="1"/>
  <c r="J25" i="185"/>
  <c r="J30" i="185" s="1"/>
  <c r="J32" i="185" s="1"/>
  <c r="I25" i="185"/>
  <c r="I30" i="185" s="1"/>
  <c r="I32" i="185" s="1"/>
  <c r="H25" i="185"/>
  <c r="H30" i="185" s="1"/>
  <c r="H32" i="185" s="1"/>
  <c r="G25" i="185"/>
  <c r="G30" i="185" s="1"/>
  <c r="G32" i="185" s="1"/>
  <c r="F25" i="185"/>
  <c r="F30" i="185" s="1"/>
  <c r="F32" i="185" s="1"/>
  <c r="E25" i="185"/>
  <c r="E30" i="185" s="1"/>
  <c r="E32" i="185" s="1"/>
  <c r="D35" i="171"/>
  <c r="C10" i="188" l="1"/>
  <c r="B4" i="188"/>
  <c r="C8" i="187"/>
  <c r="B4" i="187"/>
  <c r="L21" i="179"/>
  <c r="L18" i="179"/>
  <c r="C5" i="5" l="1"/>
  <c r="K38" i="3"/>
  <c r="J39" i="3"/>
  <c r="I38" i="3"/>
  <c r="H39" i="3"/>
  <c r="F38" i="3"/>
  <c r="D39" i="3"/>
  <c r="G5" i="5"/>
  <c r="L17" i="179" l="1"/>
  <c r="L23" i="179"/>
  <c r="L24" i="179"/>
  <c r="L27" i="186" l="1"/>
  <c r="L26" i="186"/>
  <c r="L18" i="186"/>
  <c r="L17" i="186"/>
  <c r="I9" i="186"/>
  <c r="G9" i="186"/>
  <c r="F9" i="186"/>
  <c r="E9" i="186"/>
  <c r="J8" i="186"/>
  <c r="H8" i="186"/>
  <c r="B4" i="186"/>
  <c r="L31" i="185"/>
  <c r="L28" i="185"/>
  <c r="L27" i="185"/>
  <c r="L24" i="185"/>
  <c r="L23" i="185"/>
  <c r="L20" i="185"/>
  <c r="L19" i="185"/>
  <c r="L18" i="185"/>
  <c r="L17" i="185"/>
  <c r="L16" i="185"/>
  <c r="L15" i="185"/>
  <c r="I9" i="185"/>
  <c r="G9" i="185"/>
  <c r="F9" i="185"/>
  <c r="E9" i="185"/>
  <c r="J8" i="185"/>
  <c r="H8" i="185"/>
  <c r="B4" i="185"/>
  <c r="L25" i="185" l="1"/>
  <c r="L30" i="185" s="1"/>
  <c r="L32" i="185" s="1"/>
  <c r="C41" i="8"/>
  <c r="E322" i="29"/>
  <c r="F75" i="29"/>
  <c r="E75"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6" i="183"/>
  <c r="F39" i="183"/>
  <c r="F37" i="183"/>
  <c r="F35" i="183"/>
  <c r="F34" i="183"/>
  <c r="F33" i="183"/>
  <c r="F30" i="183"/>
  <c r="F29"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F48" i="183" s="1"/>
  <c r="E47" i="183"/>
  <c r="F47" i="183" s="1"/>
  <c r="E46" i="183"/>
  <c r="E45" i="183"/>
  <c r="F45" i="183" s="1"/>
  <c r="E44" i="183"/>
  <c r="F44" i="183" s="1"/>
  <c r="E43" i="183"/>
  <c r="F43" i="183" s="1"/>
  <c r="E42" i="183"/>
  <c r="F42" i="183" s="1"/>
  <c r="E41" i="183"/>
  <c r="F41" i="183" s="1"/>
  <c r="E40" i="183"/>
  <c r="F40" i="183" s="1"/>
  <c r="E39" i="183"/>
  <c r="E38" i="183"/>
  <c r="F38" i="183" s="1"/>
  <c r="E37" i="183"/>
  <c r="E36" i="183"/>
  <c r="F36" i="183" s="1"/>
  <c r="E35" i="183"/>
  <c r="E34" i="183"/>
  <c r="E33" i="183"/>
  <c r="E32" i="183"/>
  <c r="F32" i="183" s="1"/>
  <c r="E31" i="183"/>
  <c r="F31" i="183" s="1"/>
  <c r="E30" i="183"/>
  <c r="E29" i="183"/>
  <c r="E28" i="183"/>
  <c r="F28" i="183" s="1"/>
  <c r="E27" i="183"/>
  <c r="F27" i="183" s="1"/>
  <c r="E26" i="183"/>
  <c r="F26" i="183" s="1"/>
  <c r="E25" i="183"/>
  <c r="F25" i="183" s="1"/>
  <c r="E24" i="183"/>
  <c r="F24" i="183" s="1"/>
  <c r="E23" i="183"/>
  <c r="F23" i="183" s="1"/>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2" i="179" l="1"/>
  <c r="L20" i="179"/>
  <c r="L19" i="179"/>
  <c r="L16" i="179"/>
  <c r="L15" i="179"/>
  <c r="L14" i="179"/>
  <c r="L13" i="179"/>
  <c r="L12" i="179"/>
  <c r="L25" i="179" s="1"/>
  <c r="L27" i="179" s="1"/>
  <c r="D14" i="171" l="1"/>
  <c r="D12" i="171"/>
  <c r="A10" i="169"/>
  <c r="A16" i="169"/>
  <c r="A15" i="169"/>
  <c r="A14" i="169"/>
  <c r="K18" i="169"/>
  <c r="G18" i="169"/>
  <c r="G15" i="169"/>
  <c r="I13" i="169"/>
  <c r="G11" i="169"/>
  <c r="G10" i="169"/>
  <c r="G9" i="169"/>
  <c r="G7" i="169"/>
  <c r="E7" i="169"/>
  <c r="A7" i="169"/>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5"/>
  <c r="B1" i="186"/>
  <c r="B2" i="179"/>
  <c r="B2" i="188"/>
  <c r="B2" i="187"/>
  <c r="B2" i="186"/>
  <c r="B2" i="185"/>
  <c r="B2" i="177"/>
  <c r="A2" i="170"/>
  <c r="B2" i="174"/>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G30" i="108" l="1"/>
  <c r="H33" i="118"/>
  <c r="B7696" i="106"/>
  <c r="D7696" i="106" s="1"/>
  <c r="E66" i="184"/>
  <c r="N66" i="184" s="1"/>
  <c r="B7198" i="106"/>
  <c r="D7198" i="106" s="1"/>
  <c r="E65" i="184"/>
  <c r="N65" i="184" s="1"/>
  <c r="B7162" i="106"/>
  <c r="D7162" i="106" s="1"/>
  <c r="E61" i="184"/>
  <c r="N61" i="184" s="1"/>
  <c r="B7126" i="106"/>
  <c r="D7126" i="106" s="1"/>
  <c r="E57" i="184"/>
  <c r="H365" i="29"/>
  <c r="B7242" i="106" s="1"/>
  <c r="D7242" i="106" s="1"/>
  <c r="H15" i="184"/>
  <c r="B7135" i="106"/>
  <c r="D7135" i="106" s="1"/>
  <c r="E58" i="184"/>
  <c r="N58" i="184" s="1"/>
  <c r="C352" i="29"/>
  <c r="H76" i="4"/>
  <c r="B3298" i="106" s="1"/>
  <c r="D3298" i="106" s="1"/>
  <c r="D31" i="108"/>
  <c r="E16" i="184"/>
  <c r="H16" i="184" s="1"/>
  <c r="B7171" i="106"/>
  <c r="D7171" i="106" s="1"/>
  <c r="E62" i="184"/>
  <c r="N62" i="184" s="1"/>
  <c r="F70" i="34"/>
  <c r="B7189" i="106"/>
  <c r="D7189" i="106" s="1"/>
  <c r="E64" i="184"/>
  <c r="N64" i="184" s="1"/>
  <c r="B7153" i="106"/>
  <c r="D7153" i="106" s="1"/>
  <c r="E60" i="184"/>
  <c r="N60" i="184" s="1"/>
  <c r="B6289" i="106"/>
  <c r="D6289" i="106" s="1"/>
  <c r="H12" i="184"/>
  <c r="F42" i="34"/>
  <c r="C342" i="29"/>
  <c r="B7216" i="106" s="1"/>
  <c r="D7216" i="106"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L151" i="29"/>
  <c r="C266" i="5"/>
  <c r="J24" i="12"/>
  <c r="B7730" i="106"/>
  <c r="D7730" i="106" s="1"/>
  <c r="L16" i="11" l="1"/>
  <c r="B2061" i="106" s="1"/>
  <c r="D2061" i="106" s="1"/>
  <c r="N23" i="3"/>
  <c r="B284" i="106" s="1"/>
  <c r="D284" i="106" s="1"/>
  <c r="K342" i="29"/>
  <c r="F13" i="34" s="1"/>
  <c r="F41" i="108"/>
  <c r="G43" i="108" s="1"/>
  <c r="B5527" i="106"/>
  <c r="D5527" i="106" s="1"/>
  <c r="B6216" i="106"/>
  <c r="D6216" i="106" s="1"/>
  <c r="E367" i="29"/>
  <c r="B3635" i="106"/>
  <c r="B7235" i="106"/>
  <c r="D7235" i="106" s="1"/>
  <c r="H19" i="184"/>
  <c r="L20" i="184" s="1"/>
  <c r="J16" i="4"/>
  <c r="B6226" i="106" s="1"/>
  <c r="D6226" i="106" s="1"/>
  <c r="E19" i="184"/>
  <c r="B7215" i="106"/>
  <c r="D7215" i="106" s="1"/>
  <c r="B7220" i="106"/>
  <c r="D7220" i="106" s="1"/>
  <c r="F75" i="34"/>
  <c r="B7886" i="106" s="1"/>
  <c r="D7886" i="106" s="1"/>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F8" i="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E39" i="3" s="1"/>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<sst xmlns="http://schemas.openxmlformats.org/spreadsheetml/2006/main" count="5515" uniqueCount="2232">
  <si>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</si>
  <si>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</si>
  <si>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</si>
  <si>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</si>
  <si>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</si>
  <si>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</si>
  <si>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</si>
  <si>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</si>
  <si>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</si>
  <si>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</si>
  <si>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</si>
  <si>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</si>
  <si>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</si>
  <si>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</si>
  <si>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</si>
  <si>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</si>
  <si>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</si>
  <si>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</si>
  <si>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</si>
  <si>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</si>
  <si>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</si>
  <si>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</si>
  <si>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</si>
  <si>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</si>
  <si>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</si>
  <si>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</si>
  <si>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</si>
  <si>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</si>
  <si>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</si>
  <si>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</si>
  <si>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</si>
  <si>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</si>
  <si>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</si>
  <si>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</si>
  <si>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</si>
  <si>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</si>
  <si>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</si>
  <si>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</si>
  <si>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</si>
  <si>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</si>
  <si>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</si>
  <si>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</si>
  <si>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</si>
  <si>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</si>
  <si>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</si>
  <si>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</si>
  <si>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</si>
  <si>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</si>
  <si>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</si>
  <si>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</si>
  <si>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</si>
  <si>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</si>
  <si>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</si>
  <si>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</si>
  <si>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</si>
  <si>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</si>
  <si>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</si>
  <si>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</si>
  <si>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</si>
  <si>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</si>
  <si>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</si>
  <si>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</si>
  <si>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</si>
  <si>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</si>
  <si>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</si>
  <si>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</si>
  <si>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</si>
  <si>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</si>
  <si>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</si>
  <si>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</si>
  <si>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</si>
  <si>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</si>
  <si>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</si>
  <si>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</si>
  <si>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</si>
  <si>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</si>
  <si>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</si>
  <si>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</si>
  <si>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</si>
  <si>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</si>
  <si>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</si>
  <si>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</si>
  <si>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</si>
  <si>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</si>
  <si>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</si>
  <si>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</si>
  <si>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</si>
  <si>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</si>
  <si>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</si>
  <si>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</si>
  <si>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</si>
  <si>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</si>
  <si>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</si>
  <si>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</si>
  <si>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</si>
  <si>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</si>
  <si>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</si>
  <si>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</si>
  <si>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</si>
  <si>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</si>
  <si>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</si>
  <si>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</si>
  <si>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</si>
  <si>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</si>
  <si>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</si>
  <si>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</si>
  <si>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</si>
  <si>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</si>
  <si>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</si>
  <si>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</si>
  <si>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</si>
  <si>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</si>
  <si>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</si>
  <si>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</si>
  <si>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</si>
  <si>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</si>
  <si>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</si>
  <si>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</si>
  <si>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</si>
  <si>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</si>
  <si>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</si>
  <si>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</si>
  <si>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</si>
  <si>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</si>
  <si>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</si>
  <si>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</si>
  <si>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</si>
  <si>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</si>
  <si>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</si>
  <si>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</si>
  <si>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</si>
  <si>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</si>
  <si>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</si>
  <si>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</si>
  <si>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</si>
  <si>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</si>
  <si>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</si>
  <si>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</si>
  <si>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</si>
  <si>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</si>
  <si>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</si>
  <si>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</si>
  <si>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</si>
  <si>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</si>
  <si>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</si>
  <si>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</si>
  <si>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</si>
  <si>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</si>
  <si>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</si>
  <si>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</si>
  <si>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</si>
  <si>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</si>
  <si>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</si>
  <si>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</si>
  <si>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</si>
  <si>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</si>
  <si>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</si>
  <si>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</si>
  <si>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</si>
  <si>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</si>
  <si>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</si>
  <si>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</si>
  <si>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</si>
  <si>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</si>
  <si>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</si>
  <si>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</si>
  <si>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</si>
  <si>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</si>
  <si>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</si>
  <si>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</si>
  <si>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</si>
  <si>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</si>
  <si>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</si>
  <si>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</si>
  <si>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</si>
  <si>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</si>
  <si>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</si>
  <si>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</si>
  <si>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</si>
  <si>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</si>
  <si>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</si>
  <si>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</si>
  <si>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</si>
  <si>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</si>
  <si>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</si>
  <si>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</si>
  <si>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</si>
  <si>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</si>
  <si>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</si>
  <si>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</si>
  <si>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</si>
  <si>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</si>
  <si>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</si>
  <si>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</si>
  <si>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</si>
  <si>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</si>
  <si>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</si>
  <si>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</si>
  <si>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</si>
  <si>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</si>
  <si>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</si>
  <si>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</si>
  <si>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</si>
  <si>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</si>
  <si>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</si>
  <si>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</si>
  <si>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</si>
  <si>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</si>
  <si>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</si>
  <si>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</si>
  <si>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</si>
  <si>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</si>
  <si>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</si>
  <si>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</si>
  <si>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</si>
  <si>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</si>
  <si>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</si>
  <si>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</si>
  <si>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</si>
  <si>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</si>
  <si>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</si>
  <si>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</si>
  <si>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</si>
  <si>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</si>
  <si>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</si>
  <si>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</si>
  <si>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</si>
  <si>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</si>
  <si>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</si>
  <si>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</si>
  <si>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</si>
  <si>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</si>
  <si>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</si>
  <si>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</si>
  <si>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</si>
  <si>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</si>
  <si>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</si>
  <si>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</si>
  <si>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</si>
  <si>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</si>
  <si>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</si>
  <si>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</si>
  <si>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</si>
  <si>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</si>
  <si>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</si>
  <si>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</si>
  <si>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</si>
  <si>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</si>
  <si>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</si>
  <si>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</si>
  <si>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</si>
  <si>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</si>
  <si>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</si>
  <si>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</si>
  <si>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</si>
  <si>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</si>
  <si>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</si>
  <si>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</si>
  <si>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</si>
  <si>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</si>
  <si>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</si>
  <si>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</si>
  <si>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</si>
  <si>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</si>
  <si>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</si>
  <si>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</si>
  <si>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</si>
  <si>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</si>
  <si>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</si>
  <si>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</si>
  <si>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</si>
  <si>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</si>
  <si>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</si>
  <si>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</si>
  <si>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</si>
  <si>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</si>
  <si>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</si>
  <si>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</si>
  <si>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</si>
  <si>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</si>
  <si>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</si>
  <si>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</si>
  <si>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</si>
  <si>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</si>
  <si>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</si>
  <si>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</si>
  <si>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</si>
  <si>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</si>
  <si>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</si>
  <si>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</si>
  <si>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</si>
  <si>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</si>
  <si>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</si>
  <si>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</si>
  <si>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</si>
  <si>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</si>
  <si>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</si>
  <si>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</si>
  <si>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</si>
  <si>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</si>
  <si>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</si>
  <si>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</si>
  <si>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</si>
  <si>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</si>
  <si>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</si>
  <si>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</si>
  <si>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</si>
  <si>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</si>
  <si>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</si>
  <si>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</si>
  <si>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</si>
  <si>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</si>
  <si>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</si>
  <si>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</si>
  <si>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</si>
  <si>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</si>
  <si>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</si>
  <si>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</si>
  <si>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</si>
  <si>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</si>
  <si>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</si>
  <si>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</si>
  <si>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</si>
  <si>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</si>
  <si>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</si>
  <si>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</si>
  <si>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</si>
  <si>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</si>
  <si>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</si>
  <si>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</si>
  <si>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</si>
  <si>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</si>
  <si>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</si>
  <si>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</si>
  <si>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</si>
  <si>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</si>
  <si>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</si>
  <si>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</si>
  <si>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</si>
  <si>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</si>
  <si>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</si>
  <si>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</si>
  <si>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</si>
  <si>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</si>
  <si>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</si>
  <si>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</si>
  <si>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</si>
  <si>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</si>
  <si>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</si>
  <si>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</si>
  <si>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</si>
  <si>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</si>
  <si>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</si>
  <si>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</si>
  <si>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</si>
  <si>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</si>
  <si>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</si>
  <si>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</si>
  <si>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</si>
  <si>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</si>
  <si>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</si>
  <si>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</si>
  <si>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</si>
  <si>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</si>
  <si>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</si>
  <si>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</si>
  <si>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</si>
  <si>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</si>
  <si>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</si>
  <si>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</si>
  <si>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</si>
  <si>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</si>
  <si>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</si>
  <si>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</si>
  <si>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</si>
  <si>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</si>
  <si>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</si>
  <si>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</si>
  <si>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</si>
  <si>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</si>
  <si>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</si>
  <si>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</si>
  <si>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</si>
  <si>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</si>
  <si>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</si>
  <si>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</si>
  <si>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</si>
  <si>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</si>
  <si>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</si>
  <si>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</si>
  <si>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</si>
  <si>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</si>
  <si>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</si>
  <si>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</si>
  <si>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</si>
  <si>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</si>
  <si>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</si>
  <si>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</si>
  <si>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</si>
  <si>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</si>
  <si>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</si>
  <si>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</si>
  <si>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</si>
  <si>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</si>
  <si>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</si>
  <si>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</si>
  <si>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</si>
  <si>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</si>
  <si>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</si>
  <si>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</si>
  <si>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</si>
  <si>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</si>
  <si>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</si>
  <si>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</si>
  <si>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</si>
  <si>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</si>
  <si>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</si>
  <si>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</si>
  <si>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</si>
  <si>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</si>
  <si>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</si>
  <si>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</si>
  <si>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</si>
  <si>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</si>
  <si>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</si>
  <si>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</si>
  <si>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</si>
  <si>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</si>
  <si>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</si>
  <si>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</si>
  <si>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</si>
  <si>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</si>
  <si>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</si>
  <si>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</si>
  <si>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</si>
  <si>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</si>
  <si>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</si>
  <si>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</si>
  <si>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</si>
  <si>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</si>
  <si>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</si>
  <si>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</si>
  <si>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</si>
  <si>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</si>
  <si>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</si>
  <si>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</si>
  <si>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</si>
  <si>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</si>
  <si>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</si>
  <si>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</si>
  <si>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</si>
  <si>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</si>
  <si>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</si>
  <si>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</si>
  <si>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</si>
  <si>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</si>
  <si>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</si>
  <si>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</si>
  <si>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</si>
  <si>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</si>
  <si>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</si>
  <si>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</si>
  <si>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</si>
  <si>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</si>
  <si>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</si>
  <si>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</si>
  <si>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</si>
  <si>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</si>
  <si>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</si>
  <si>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</si>
  <si>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</si>
  <si>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</si>
  <si>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</si>
  <si>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</si>
  <si>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</si>
  <si>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</si>
  <si>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</si>
  <si>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</si>
  <si>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</si>
  <si>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</si>
  <si>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</si>
  <si>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</si>
  <si>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</si>
  <si>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</si>
  <si>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</si>
  <si>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</si>
  <si>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</si>
  <si>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</si>
  <si>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</si>
  <si>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</si>
  <si>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</si>
  <si>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</si>
  <si>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</si>
  <si>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</si>
  <si>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</si>
  <si>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</si>
  <si>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</si>
  <si>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</si>
  <si>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</si>
  <si>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</si>
  <si>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</si>
  <si>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</si>
  <si>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</si>
  <si>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</si>
  <si>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</si>
  <si>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</si>
  <si>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</si>
  <si>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</si>
  <si>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</si>
  <si>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</si>
  <si>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</si>
  <si>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</si>
  <si>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</si>
  <si>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</si>
  <si>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</si>
  <si>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</si>
  <si>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</si>
  <si>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</si>
  <si>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</si>
  <si>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</si>
  <si>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</si>
  <si>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</si>
  <si>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</si>
  <si>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</si>
  <si>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</si>
  <si>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</si>
  <si>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</si>
  <si>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</si>
  <si>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</si>
  <si>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</si>
  <si>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</si>
  <si>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</si>
  <si>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</si>
  <si>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</si>
  <si>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</si>
  <si>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</si>
  <si>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</si>
  <si>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</si>
  <si>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</si>
  <si>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</si>
  <si>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</si>
  <si>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</si>
  <si>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</si>
  <si>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</si>
  <si>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</si>
  <si>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</si>
  <si>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</si>
  <si>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</si>
  <si>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</si>
  <si>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</si>
  <si>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</si>
  <si>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</si>
  <si>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</si>
  <si>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</si>
  <si>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</si>
  <si>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</si>
  <si>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</si>
  <si>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</si>
  <si>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</si>
  <si>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</si>
  <si>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</si>
  <si>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</si>
  <si>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</si>
  <si>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</si>
  <si>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</si>
  <si>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</si>
  <si>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</si>
  <si>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</si>
  <si>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</si>
  <si>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</si>
  <si>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</si>
  <si>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</si>
  <si>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</si>
  <si>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</si>
  <si>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</si>
  <si>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</si>
  <si>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</si>
  <si>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</si>
  <si>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</si>
  <si>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</si>
  <si>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</si>
  <si>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</si>
  <si>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</si>
  <si>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</si>
  <si>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</si>
  <si>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</si>
  <si>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</si>
  <si>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</si>
  <si>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</si>
  <si>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</si>
  <si>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</si>
  <si>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</si>
  <si>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</si>
  <si>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</si>
  <si>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</si>
  <si>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</si>
  <si>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</si>
  <si>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</si>
  <si>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</si>
  <si>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</si>
  <si>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</si>
  <si>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</si>
  <si>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</si>
  <si>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</si>
  <si>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</si>
  <si>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</si>
  <si>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</si>
  <si>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</si>
  <si>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</si>
  <si>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</si>
  <si>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</si>
  <si>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</si>
  <si>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</si>
  <si>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</si>
  <si>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</si>
  <si>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</si>
  <si>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</si>
  <si>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</si>
  <si>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</si>
  <si>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</si>
  <si>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</si>
  <si>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</si>
  <si>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</si>
  <si>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</si>
  <si>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</si>
  <si>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</si>
  <si>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</si>
  <si>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</si>
  <si>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</si>
  <si>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</si>
  <si>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</si>
  <si>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</si>
  <si>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</si>
  <si>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</si>
  <si>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</si>
  <si>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</si>
  <si>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</si>
  <si>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</si>
  <si>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</si>
  <si>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</si>
  <si>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</si>
  <si>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</si>
  <si>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</si>
  <si>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</si>
  <si>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</si>
  <si>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</si>
  <si>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</si>
  <si>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</si>
  <si>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</si>
  <si>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</si>
  <si>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</si>
  <si>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</si>
  <si>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</si>
  <si>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</si>
  <si>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</si>
  <si>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</si>
  <si>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</si>
  <si>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</si>
  <si>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</si>
  <si>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</si>
  <si>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</si>
  <si>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</si>
  <si>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</si>
  <si>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</si>
  <si>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</si>
  <si>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</si>
  <si>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</si>
  <si>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</si>
  <si>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</si>
  <si>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</si>
  <si>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</si>
  <si>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</si>
  <si>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</si>
  <si>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</si>
  <si>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</si>
  <si>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</si>
  <si>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</si>
  <si>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</si>
  <si>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</si>
  <si>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</si>
  <si>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</si>
  <si>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</si>
  <si>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</si>
  <si>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</si>
  <si>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</si>
  <si>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</si>
  <si>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</si>
  <si>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</si>
  <si>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</si>
  <si>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</si>
  <si>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</si>
  <si>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</si>
  <si>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</si>
  <si>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</si>
  <si>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</si>
  <si>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</si>
  <si>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</si>
  <si>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</si>
  <si>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</si>
  <si>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</si>
  <si>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</si>
  <si>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</si>
  <si>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</si>
  <si>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</si>
  <si>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</si>
  <si>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</si>
  <si>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</si>
  <si>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</si>
  <si>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</si>
  <si>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</si>
  <si>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</si>
  <si>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</si>
  <si>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</si>
  <si>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</si>
  <si>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</si>
  <si>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</si>
  <si>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</si>
  <si>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</si>
  <si>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</si>
  <si>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</si>
  <si>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</si>
  <si>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</si>
  <si>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</si>
  <si>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</si>
  <si>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</si>
  <si>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</si>
  <si>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</si>
  <si>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</si>
  <si>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</si>
  <si>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</si>
  <si>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</si>
  <si>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</si>
  <si>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</si>
  <si>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</si>
  <si>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</si>
  <si>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</si>
  <si>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</si>
  <si>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</si>
  <si>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</si>
  <si>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</si>
  <si>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</si>
  <si>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</si>
  <si>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</si>
  <si>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</si>
  <si>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</si>
  <si>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</si>
  <si>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</si>
  <si>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</si>
  <si>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</si>
  <si>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</si>
  <si>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</si>
  <si>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</si>
  <si>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</si>
  <si>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</si>
  <si>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</si>
  <si>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</si>
  <si>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</si>
  <si>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</si>
  <si>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</si>
  <si>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</si>
  <si>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</si>
  <si>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</si>
  <si>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</si>
  <si>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</si>
  <si>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</si>
  <si>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</si>
  <si>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</si>
  <si>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</si>
  <si>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</si>
  <si>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</si>
  <si>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</si>
  <si>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</si>
  <si>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</si>
  <si>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</si>
  <si>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</si>
  <si>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</si>
  <si>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</si>
  <si>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</si>
  <si>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</si>
  <si>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</si>
  <si>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</si>
  <si>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</si>
  <si>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</si>
  <si>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</si>
  <si>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</si>
  <si>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</si>
  <si>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</si>
  <si>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</si>
  <si>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</si>
  <si>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</si>
  <si>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</si>
  <si>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</si>
  <si>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</si>
  <si>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</si>
  <si>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</si>
  <si>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</si>
  <si>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</si>
  <si>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</si>
  <si>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</si>
  <si>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</si>
  <si>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</si>
  <si>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</si>
  <si>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</si>
  <si>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</si>
  <si>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</si>
  <si>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</si>
  <si>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</si>
  <si>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</si>
  <si>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</si>
  <si>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</si>
  <si>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</si>
  <si>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</si>
  <si>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</si>
  <si>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</si>
  <si>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</si>
  <si>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</si>
  <si>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</si>
  <si>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</si>
  <si>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</si>
  <si>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</si>
  <si>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</si>
  <si>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</si>
  <si>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</si>
  <si>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</si>
  <si>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</si>
  <si>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</si>
  <si>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</si>
  <si>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</si>
  <si>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</si>
  <si>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</si>
  <si>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</si>
  <si>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</si>
  <si>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</si>
  <si>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</si>
  <si>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</si>
  <si>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</si>
  <si>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</si>
  <si>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</si>
  <si>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</si>
  <si>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</si>
  <si>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</si>
  <si>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</si>
  <si>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</si>
  <si>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</si>
  <si>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</si>
  <si>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</si>
  <si>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</si>
  <si>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</si>
  <si>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</si>
  <si>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</si>
  <si>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</si>
  <si>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</si>
  <si>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</si>
  <si>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</si>
  <si>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</si>
  <si>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</si>
  <si>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</si>
  <si>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</si>
  <si>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</si>
  <si>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</si>
  <si>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</si>
  <si>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</si>
  <si>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</si>
  <si>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</si>
  <si>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</si>
  <si>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</si>
  <si>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</si>
  <si>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</si>
  <si>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</si>
  <si>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</si>
  <si>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</si>
  <si>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</si>
  <si>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</si>
  <si>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</si>
  <si>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</si>
  <si>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</si>
  <si>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</si>
  <si>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</si>
  <si>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</si>
  <si>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</si>
  <si>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</si>
  <si>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</si>
  <si>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</si>
  <si>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</si>
  <si>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</si>
  <si>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</si>
  <si>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</si>
  <si>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</si>
  <si>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</si>
  <si>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</si>
  <si>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</si>
  <si>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</si>
  <si>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</si>
  <si>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</si>
  <si>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</si>
  <si>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</si>
  <si>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</si>
  <si>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</si>
  <si>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</si>
  <si>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</si>
  <si>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</si>
  <si>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</si>
  <si>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</si>
  <si>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</si>
  <si>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</si>
  <si>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</si>
  <si>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</si>
  <si>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</si>
  <si>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</si>
  <si>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</si>
  <si>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</si>
  <si>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</si>
  <si>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</si>
  <si>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</si>
  <si>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</si>
  <si>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</si>
  <si>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</si>
  <si>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</si>
  <si>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</si>
  <si>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</si>
  <si>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</si>
  <si>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</si>
  <si>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</si>
  <si>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</si>
  <si>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</si>
  <si>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</si>
  <si>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</si>
  <si>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</si>
  <si>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</si>
  <si>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</si>
  <si>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</si>
  <si>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</si>
  <si>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</si>
  <si>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</si>
  <si>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</si>
  <si>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</si>
  <si>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</si>
  <si>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</si>
  <si>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</si>
  <si>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</si>
  <si>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</si>
  <si>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</si>
  <si>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</si>
  <si>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</si>
  <si>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</si>
  <si>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</si>
  <si>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</si>
  <si>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</si>
  <si>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</si>
  <si>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</si>
  <si>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</si>
  <si>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</si>
  <si>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</si>
  <si>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</si>
  <si>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</si>
  <si>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</si>
  <si>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</si>
  <si>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</si>
  <si>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</si>
  <si>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</si>
  <si>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</si>
  <si>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</si>
  <si>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</si>
  <si>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</si>
  <si>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</si>
  <si>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</si>
  <si>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</si>
  <si>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</si>
  <si>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</si>
  <si>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</si>
  <si>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</si>
  <si>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</si>
  <si>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</si>
  <si>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</si>
  <si>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</si>
  <si>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</si>
  <si>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</si>
  <si>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</si>
  <si>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</si>
  <si>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</si>
  <si>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</si>
  <si>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</si>
  <si>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</si>
  <si>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</si>
  <si>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</si>
  <si>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</si>
  <si>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</si>
  <si>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</si>
  <si>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</si>
  <si>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</si>
  <si>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</si>
  <si>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</si>
  <si>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</si>
  <si>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</si>
  <si>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</si>
  <si>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</si>
  <si>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</si>
  <si>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</si>
  <si>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</si>
  <si>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</si>
  <si>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</si>
  <si>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</si>
  <si>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</si>
  <si>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</si>
  <si>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</si>
  <si>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</si>
  <si>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</si>
  <si>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</si>
  <si>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</si>
  <si>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</si>
  <si>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</si>
  <si>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</si>
  <si>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</si>
  <si>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</si>
  <si>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</si>
  <si>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</si>
  <si>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</si>
  <si>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</si>
  <si>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</si>
  <si>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</si>
  <si>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</si>
  <si>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</si>
  <si>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</si>
  <si>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</si>
  <si>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</si>
  <si>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</si>
  <si>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</si>
  <si>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</si>
  <si>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</si>
  <si>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</si>
  <si>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</si>
  <si>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</si>
  <si>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</si>
  <si>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</si>
  <si>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</si>
  <si>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</si>
  <si>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</si>
  <si>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</si>
  <si>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</si>
  <si>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</si>
  <si>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</si>
  <si>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</si>
  <si>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</si>
  <si>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</si>
  <si>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</si>
  <si>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</si>
  <si>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</si>
  <si>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</si>
  <si>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</si>
  <si>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</si>
  <si>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</si>
  <si>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</si>
  <si>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</si>
  <si>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</si>
  <si>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</si>
  <si>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</si>
  <si>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</si>
  <si>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</si>
  <si>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</si>
  <si>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</si>
  <si>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</si>
  <si>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</si>
  <si>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</si>
  <si>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</si>
  <si>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</si>
  <si>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</si>
  <si>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</si>
  <si>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</si>
  <si>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</si>
  <si>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</si>
  <si>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</si>
  <si>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</si>
  <si>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</si>
  <si>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</si>
  <si>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</si>
  <si>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</si>
  <si>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</si>
  <si>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</si>
  <si>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</si>
  <si>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</si>
  <si>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</si>
  <si>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</si>
  <si>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</si>
  <si>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</si>
  <si>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</si>
  <si>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</si>
  <si>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</si>
  <si>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</si>
  <si>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</si>
  <si>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</si>
  <si>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</si>
  <si>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</si>
  <si>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</si>
  <si>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</si>
  <si>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</si>
  <si>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</si>
  <si>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</si>
  <si>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</si>
  <si>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</si>
  <si>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</si>
  <si>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</si>
  <si>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</si>
  <si>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</si>
  <si>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</si>
  <si>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</si>
  <si>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</si>
  <si>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</si>
  <si>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</si>
  <si>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</si>
  <si>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</si>
  <si>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</si>
  <si>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</si>
  <si>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</si>
  <si>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</si>
  <si>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</si>
  <si>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</si>
  <si>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</si>
  <si>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</si>
  <si>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</si>
  <si>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</si>
  <si>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</si>
  <si>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</si>
  <si>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</si>
  <si>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</si>
  <si>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</si>
  <si>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</si>
  <si>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</si>
  <si>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</si>
  <si>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</si>
  <si>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</si>
  <si>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</si>
  <si>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</si>
  <si>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</si>
  <si>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</si>
  <si>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</si>
  <si>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</si>
  <si>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</si>
  <si>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</si>
  <si>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</si>
  <si>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</si>
  <si>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</si>
  <si>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</si>
  <si>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</si>
  <si>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</si>
  <si>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</si>
  <si>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</si>
  <si>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</si>
  <si>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</si>
  <si>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</si>
  <si>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</si>
  <si>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</si>
  <si>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</si>
  <si>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</si>
  <si>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</si>
  <si>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</si>
  <si>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</si>
  <si>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</si>
  <si>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</si>
  <si>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</si>
  <si>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</si>
  <si>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</si>
  <si>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</si>
  <si>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</si>
  <si>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</si>
  <si>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</si>
  <si>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</si>
  <si>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</si>
  <si>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</si>
  <si>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</si>
  <si>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</si>
  <si>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</si>
  <si>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</si>
  <si>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</si>
  <si>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</si>
  <si>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</si>
  <si>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</si>
  <si>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</si>
  <si>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</si>
  <si>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</si>
  <si>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</si>
  <si>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</si>
  <si>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</si>
  <si>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</si>
  <si>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</si>
  <si>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</si>
  <si>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</si>
  <si>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</si>
  <si>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</si>
  <si>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</si>
  <si>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</si>
  <si>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</si>
  <si>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</si>
  <si>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</si>
  <si>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</si>
  <si>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</si>
  <si>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</si>
  <si>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</si>
  <si>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</si>
  <si>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</si>
  <si>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</si>
  <si>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</si>
  <si>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</si>
  <si>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</si>
  <si>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</si>
  <si>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</si>
  <si>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</si>
  <si>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</si>
  <si>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</si>
  <si>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</si>
  <si>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</si>
  <si>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</si>
  <si>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</si>
  <si>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</si>
  <si>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</si>
  <si>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</si>
  <si>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</si>
  <si>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</si>
  <si>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</si>
  <si>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</si>
  <si>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</si>
  <si>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</si>
  <si>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</si>
  <si>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</si>
  <si>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</si>
  <si>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</si>
  <si>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</si>
  <si>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</si>
  <si>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</si>
  <si>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</si>
  <si>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</si>
  <si>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</si>
  <si>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</si>
  <si>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</si>
  <si>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</si>
  <si>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</si>
  <si>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</si>
  <si>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</si>
  <si>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</si>
  <si>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</si>
  <si>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</si>
  <si>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</si>
  <si>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</si>
  <si>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</si>
  <si>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</si>
  <si>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</si>
  <si>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</si>
  <si>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</si>
  <si>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</si>
  <si>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</si>
  <si>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</si>
  <si>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</si>
  <si>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</si>
  <si>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</si>
  <si>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</si>
  <si>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</si>
  <si>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</si>
  <si>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</si>
  <si>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</si>
  <si>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</si>
  <si>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</si>
  <si>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</si>
  <si>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</si>
  <si>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</si>
  <si>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</si>
  <si>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</si>
  <si>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</si>
  <si>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</si>
  <si>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</si>
  <si>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</si>
  <si>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</si>
  <si>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</si>
  <si>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</si>
  <si>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</si>
  <si>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</si>
  <si>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</si>
  <si>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</si>
  <si>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</si>
  <si>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</si>
  <si>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</si>
  <si>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</si>
  <si>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</si>
  <si>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</si>
  <si>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</si>
  <si>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</si>
  <si>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</si>
  <si>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</si>
  <si>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</si>
  <si>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</si>
  <si>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</si>
  <si>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</si>
  <si>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</si>
  <si>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</si>
  <si>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</si>
  <si>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</si>
  <si>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</si>
  <si>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</si>
  <si>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</si>
  <si>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</si>
  <si>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</si>
  <si>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</si>
  <si>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</si>
  <si>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</si>
  <si>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</si>
  <si>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</si>
  <si>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</si>
  <si>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</si>
  <si>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</si>
  <si>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</si>
  <si>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</si>
  <si>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</si>
  <si>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</si>
  <si>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</si>
  <si>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</si>
  <si>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</si>
  <si>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</si>
  <si>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</si>
  <si>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</si>
  <si>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</si>
  <si>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</si>
  <si>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</si>
  <si>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</si>
  <si>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</si>
  <si>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</si>
  <si>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</si>
  <si>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</si>
  <si>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</si>
  <si>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</si>
  <si>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</si>
  <si>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</si>
  <si>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</si>
  <si>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</si>
  <si>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</si>
  <si>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</si>
  <si>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</si>
  <si>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</si>
  <si>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</si>
  <si>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</si>
  <si>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</si>
  <si>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</si>
  <si>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</si>
  <si>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</si>
  <si>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</si>
  <si>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</si>
  <si>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</si>
  <si>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</si>
  <si>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</si>
  <si>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</si>
  <si>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</si>
  <si>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</si>
  <si>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</si>
  <si>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</si>
  <si>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</si>
  <si>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</si>
  <si>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</si>
  <si>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</si>
  <si>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</si>
  <si>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</si>
  <si>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</si>
  <si>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</si>
  <si>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</si>
  <si>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</si>
  <si>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</si>
  <si>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</si>
  <si>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</si>
  <si>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</si>
  <si>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</si>
  <si>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</si>
  <si>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</si>
  <si>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</si>
  <si>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</si>
  <si>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</si>
  <si>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</si>
  <si>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</si>
  <si>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</si>
  <si>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</si>
  <si>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</si>
  <si>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</si>
  <si>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</si>
  <si>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</si>
  <si>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</si>
  <si>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</si>
  <si>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</si>
  <si>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</si>
  <si>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</si>
  <si>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</si>
  <si>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</si>
  <si>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</si>
  <si>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</si>
  <si>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</si>
  <si>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</si>
  <si>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</si>
  <si>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</si>
  <si>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</si>
  <si>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</si>
  <si>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</si>
  <si>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</si>
  <si>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</si>
  <si>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</si>
  <si>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</si>
  <si>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</si>
  <si>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</si>
  <si>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</si>
  <si>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</si>
  <si>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</si>
  <si>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</si>
  <si>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</si>
  <si>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</si>
  <si>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</si>
  <si>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</si>
  <si>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</si>
  <si>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</si>
  <si>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</si>
  <si>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</si>
  <si>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</si>
  <si>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</si>
  <si>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</si>
  <si>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</si>
  <si>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</si>
  <si>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</si>
  <si>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</si>
  <si>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</si>
  <si>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</si>
  <si>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</si>
  <si>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</si>
  <si>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</si>
  <si>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</si>
  <si>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</si>
  <si>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</si>
  <si>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</si>
  <si>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</si>
  <si>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</si>
  <si>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</si>
  <si>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</si>
  <si>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</si>
  <si>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</si>
  <si>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</si>
  <si>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</si>
  <si>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</si>
  <si>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</si>
  <si>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</si>
  <si>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</si>
  <si>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</si>
  <si>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</si>
  <si>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</si>
  <si>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</si>
  <si>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</si>
  <si>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</si>
  <si>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</si>
  <si>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</si>
  <si>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</si>
  <si>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</si>
  <si>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</si>
  <si>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</si>
  <si>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</si>
  <si>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</si>
  <si>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</si>
  <si>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</si>
  <si>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</si>
  <si>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</si>
  <si>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</si>
  <si>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</si>
  <si>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</si>
  <si>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</si>
  <si>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</si>
  <si>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</si>
  <si>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</si>
  <si>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</si>
  <si>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</si>
  <si>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</si>
  <si>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</si>
  <si>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</si>
  <si>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</si>
  <si>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</si>
  <si>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</si>
  <si>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</si>
  <si>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</si>
  <si>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</si>
  <si>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</si>
  <si>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</si>
  <si>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</si>
  <si>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</si>
  <si>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</si>
  <si>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</si>
  <si>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</si>
  <si>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</si>
  <si>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</si>
  <si>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</si>
  <si>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</si>
  <si>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</si>
  <si>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</si>
  <si>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</si>
  <si>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</si>
  <si>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</si>
  <si>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</si>
  <si>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</si>
  <si>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</si>
  <si>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</si>
  <si>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</si>
  <si>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</si>
  <si>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</si>
  <si>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</si>
  <si>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</si>
  <si>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</si>
  <si>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</si>
  <si>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</si>
  <si>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</si>
  <si>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</si>
  <si>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</si>
  <si>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</si>
  <si>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</si>
  <si>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</si>
  <si>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</si>
  <si>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</si>
  <si>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</si>
  <si>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</si>
  <si>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</si>
  <si>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</si>
  <si>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</si>
  <si>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</si>
  <si>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</si>
  <si>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</si>
  <si>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</si>
  <si>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</si>
  <si>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</si>
  <si>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</si>
  <si>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</si>
  <si>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</si>
  <si>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</si>
  <si>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</si>
  <si>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</si>
  <si>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</si>
  <si>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</si>
  <si>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</si>
  <si>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</si>
  <si>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</si>
  <si>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</si>
  <si>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</si>
  <si>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</si>
  <si>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</si>
  <si>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</si>
  <si>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</si>
  <si>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</si>
  <si>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</si>
  <si>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</si>
  <si>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</si>
  <si>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</si>
  <si>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</si>
  <si>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</si>
  <si>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</si>
  <si>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</si>
  <si>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</si>
  <si>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</si>
  <si>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</si>
  <si>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</si>
  <si>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</si>
  <si>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</si>
  <si>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</si>
  <si>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</si>
  <si>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</si>
  <si>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</si>
  <si>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</si>
  <si>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</si>
  <si>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</si>
  <si>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</si>
  <si>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</si>
  <si>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</si>
  <si>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</si>
  <si>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</si>
  <si>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</si>
  <si>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</si>
  <si>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</si>
  <si>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</si>
  <si>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</si>
  <si>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</si>
  <si>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</si>
  <si>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</si>
  <si>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</si>
  <si>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</si>
  <si>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</si>
  <si>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</si>
  <si>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</si>
  <si>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</si>
  <si>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</si>
  <si>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</si>
  <si>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</si>
  <si>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</si>
  <si>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</si>
  <si>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</si>
  <si>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</si>
  <si>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</si>
  <si>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</si>
  <si>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</si>
  <si>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</si>
  <si>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</si>
  <si>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</si>
  <si>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</si>
  <si>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</si>
  <si>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</si>
  <si>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</si>
  <si>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</si>
  <si>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</si>
  <si>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</si>
  <si>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</si>
  <si>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</si>
  <si>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</si>
  <si>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</si>
  <si>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</si>
  <si>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</si>
  <si>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</si>
  <si>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</si>
  <si>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</si>
  <si>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</si>
  <si>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</si>
  <si>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</si>
  <si>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</si>
  <si>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</si>
  <si>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</si>
  <si>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</si>
  <si>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</si>
  <si>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</si>
  <si>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</si>
  <si>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</si>
  <si>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</si>
  <si>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</si>
  <si>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</si>
  <si>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</si>
  <si>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</si>
  <si>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</si>
  <si>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</si>
  <si>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</si>
  <si>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</si>
  <si>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</si>
  <si>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</si>
  <si>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</si>
  <si>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</si>
  <si>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</si>
  <si>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</si>
  <si>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</si>
  <si>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</si>
  <si>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</si>
  <si>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</si>
  <si>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</si>
  <si>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</si>
  <si>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</si>
  <si>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</si>
  <si>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</si>
  <si>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</si>
  <si>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</si>
  <si>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</si>
  <si>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</si>
  <si>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</si>
  <si>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</si>
  <si>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</si>
  <si>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</si>
  <si>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</si>
  <si>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</si>
  <si>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</si>
  <si>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</si>
  <si>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</si>
  <si>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</si>
  <si>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</si>
  <si>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</si>
  <si>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</si>
  <si>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</si>
  <si>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</si>
  <si>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</si>
  <si>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</si>
  <si>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</si>
  <si>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</si>
  <si>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</si>
  <si>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</si>
  <si>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</si>
  <si>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</si>
  <si>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</si>
  <si>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</si>
  <si>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</si>
  <si>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</si>
  <si>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</si>
  <si>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</si>
  <si>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</si>
  <si>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</si>
  <si>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</si>
  <si>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</si>
  <si>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</si>
  <si>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</si>
  <si>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</si>
  <si>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</si>
  <si>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</si>
  <si>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</si>
  <si>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</si>
  <si>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</si>
  <si>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</si>
  <si>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</si>
  <si>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</si>
  <si>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</si>
  <si>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</si>
  <si>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</si>
  <si>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</si>
  <si>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</si>
  <si>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</si>
  <si>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</si>
  <si>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</si>
  <si>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</si>
  <si>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</si>
  <si>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</si>
  <si>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</si>
  <si>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</si>
  <si>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</si>
  <si>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</si>
  <si>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</si>
  <si>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</si>
  <si>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</si>
  <si>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</si>
  <si>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</si>
  <si>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</si>
  <si>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</si>
  <si>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</si>
  <si>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</si>
  <si>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</si>
  <si>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</si>
  <si>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</si>
  <si>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</si>
  <si>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</si>
  <si>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</si>
  <si>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</si>
  <si>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</si>
  <si>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</si>
  <si>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</si>
  <si>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</si>
  <si>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</si>
  <si>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</si>
  <si>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</si>
  <si>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</si>
  <si>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</si>
  <si>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</si>
  <si>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</si>
  <si>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</si>
  <si>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</si>
  <si>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</si>
  <si>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</si>
  <si>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</si>
  <si>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</si>
  <si>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</si>
  <si>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</si>
  <si>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</si>
  <si>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</si>
  <si>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</si>
  <si>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</si>
  <si>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</si>
  <si>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</si>
  <si>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</si>
  <si>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</si>
  <si>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</si>
  <si>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</si>
  <si>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</si>
  <si>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</si>
  <si>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</si>
  <si>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</si>
  <si>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</si>
  <si>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</si>
  <si>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</si>
  <si>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</si>
  <si>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</si>
  <si>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</si>
  <si>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</si>
  <si>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</si>
  <si>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</si>
  <si>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</si>
  <si>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</si>
  <si>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</si>
  <si>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</si>
  <si>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</si>
  <si>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</si>
  <si>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</si>
  <si>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</si>
  <si>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</si>
  <si>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</si>
  <si>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</si>
  <si>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</si>
  <si>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</si>
  <si>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</si>
  <si>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</si>
  <si>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</si>
  <si>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</si>
  <si>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</si>
  <si>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</si>
  <si>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</si>
  <si>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</si>
  <si>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</si>
  <si>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</si>
  <si>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</si>
  <si>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</si>
  <si>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</si>
  <si>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</si>
  <si>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</si>
  <si>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</si>
  <si>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</si>
  <si>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</si>
  <si>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</si>
  <si>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</si>
  <si>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</si>
  <si>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</si>
  <si>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</si>
  <si>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</si>
  <si>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</si>
  <si>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</si>
  <si>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</si>
  <si>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</si>
  <si>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</si>
  <si>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</si>
  <si>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</si>
  <si>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</si>
  <si>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</si>
  <si>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</si>
  <si>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</si>
  <si>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</si>
  <si>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</si>
  <si>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</si>
  <si>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</si>
  <si>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</si>
  <si>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</si>
  <si>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</si>
  <si>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</si>
  <si>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</si>
  <si>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</si>
  <si>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</si>
  <si>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</si>
  <si>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</si>
  <si>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</si>
  <si>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</si>
  <si>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</si>
  <si>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</si>
  <si>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</si>
  <si>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</si>
  <si>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</si>
  <si>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</si>
  <si>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</si>
  <si>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</si>
  <si>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</si>
  <si>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</si>
  <si>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</si>
  <si>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</si>
  <si>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</si>
  <si>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</si>
  <si>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</si>
  <si>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</si>
  <si>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</si>
  <si>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</si>
  <si>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</si>
  <si>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</si>
  <si>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</si>
  <si>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</si>
  <si>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</si>
  <si>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</si>
  <si>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</si>
  <si>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</si>
  <si>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</si>
  <si>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</si>
  <si>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</si>
  <si>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</si>
  <si>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</si>
  <si>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</si>
  <si>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</si>
  <si>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</si>
  <si>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</si>
  <si>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</si>
  <si>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</si>
  <si>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</si>
  <si>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</si>
  <si>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</si>
  <si>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</si>
  <si>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</si>
  <si>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</si>
  <si>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</si>
  <si>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</si>
  <si>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</si>
  <si>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</si>
  <si>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</si>
  <si>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</si>
  <si>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</si>
  <si>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</si>
  <si>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</si>
  <si>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</si>
  <si>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</si>
  <si>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</si>
  <si>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</si>
  <si>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</si>
  <si>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</si>
  <si>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</si>
  <si>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</si>
  <si>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</si>
  <si>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</si>
  <si>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</si>
  <si>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</si>
  <si>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</si>
  <si>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</si>
  <si>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</si>
  <si>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</si>
  <si>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</si>
  <si>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</si>
  <si>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</si>
  <si>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</si>
  <si>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</si>
  <si>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</si>
  <si>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</si>
  <si>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</si>
  <si>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</si>
  <si>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</si>
  <si>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</si>
  <si>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</si>
  <si>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</si>
  <si>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</si>
  <si>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</si>
  <si>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</si>
  <si>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</si>
  <si>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</si>
  <si>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</si>
  <si>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</si>
  <si>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</si>
  <si>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</si>
  <si>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</si>
  <si>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</si>
  <si>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</si>
  <si>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</si>
  <si>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</si>
  <si>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</si>
  <si>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</si>
  <si>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</si>
  <si>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</si>
  <si>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</si>
  <si>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</si>
  <si>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</si>
  <si>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</si>
  <si>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</si>
  <si>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</si>
  <si>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</si>
  <si>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</si>
  <si>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</si>
  <si>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</si>
  <si>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</si>
  <si>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</si>
  <si>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</si>
  <si>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</si>
  <si>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</si>
  <si>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</si>
  <si>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</si>
  <si>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</si>
  <si>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</si>
  <si>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</si>
  <si>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</si>
  <si>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</si>
  <si>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</si>
  <si>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</si>
  <si>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</si>
  <si>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</si>
  <si>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</si>
  <si>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</si>
  <si>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</si>
  <si>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</si>
  <si>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</si>
  <si>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</si>
  <si>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</si>
  <si>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</si>
  <si>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</si>
  <si>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</si>
  <si>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</si>
  <si>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</si>
  <si>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</si>
  <si>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</si>
  <si>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</si>
  <si>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</si>
  <si>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</si>
  <si>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</si>
  <si>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</si>
  <si>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</si>
  <si>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</si>
  <si>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</si>
  <si>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</si>
  <si>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</si>
  <si>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</si>
  <si>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</si>
  <si>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</si>
  <si>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</si>
  <si>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</si>
  <si>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</si>
  <si>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</si>
  <si>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</si>
  <si>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</si>
  <si>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</si>
  <si>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</si>
  <si>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</si>
  <si>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</si>
  <si>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</si>
  <si>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</si>
  <si>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</si>
  <si>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</si>
  <si>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</si>
  <si>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</si>
  <si>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</si>
  <si>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</si>
  <si>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</si>
  <si>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</si>
  <si>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</si>
  <si>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</si>
  <si>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</si>
  <si>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</si>
  <si>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</si>
  <si>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</si>
  <si>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</si>
  <si>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</si>
  <si>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</si>
  <si>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</si>
  <si>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</si>
  <si>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</si>
  <si>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</si>
  <si>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</si>
  <si>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</si>
  <si>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</si>
  <si>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</si>
  <si>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</si>
  <si>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</si>
  <si>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</si>
  <si>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</si>
  <si>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</si>
  <si>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</si>
  <si>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</si>
  <si>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</si>
  <si>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</si>
  <si>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</si>
  <si>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</si>
  <si>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</si>
  <si>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</si>
  <si>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</si>
  <si>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</si>
  <si>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</si>
  <si>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</si>
  <si>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</si>
  <si>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</si>
  <si>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</si>
  <si>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</si>
  <si>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</si>
  <si>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</si>
  <si>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</si>
  <si>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</si>
  <si>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</si>
  <si>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</si>
  <si>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</si>
  <si>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</si>
  <si>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</si>
  <si>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</si>
  <si>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</si>
  <si>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114 West 114th Street</t>
  </si>
  <si>
    <t>Riverdale, IL</t>
  </si>
  <si>
    <t>noheltyk@district148.net</t>
  </si>
  <si>
    <t>Dr. Kevin Nohelty</t>
  </si>
  <si>
    <t>(708) 841-2290</t>
  </si>
  <si>
    <t>(708) 841-5048</t>
  </si>
  <si>
    <t>Sikich LLP</t>
  </si>
  <si>
    <t>Anthony Cervini, CPA</t>
  </si>
  <si>
    <t>1415 W. Diehl Rd, Suite 400</t>
  </si>
  <si>
    <t>Naperville</t>
  </si>
  <si>
    <t>IL</t>
  </si>
  <si>
    <t>(630) 566-8400</t>
  </si>
  <si>
    <t>(630) 566-8401</t>
  </si>
  <si>
    <t>066-003284</t>
  </si>
  <si>
    <t xml:space="preserve">Dolton West School District #148 does not maintain detailed historical cost records of its general fixed assets. The amount by which this disclosure would affect the financial statements is not reasonably determinable. </t>
  </si>
  <si>
    <t>Series 2009A Limited School Bonds</t>
  </si>
  <si>
    <t>Series 2009B Taxable Limited School Bonds</t>
  </si>
  <si>
    <t>Series 2009D Capital Appreciation School Bonds</t>
  </si>
  <si>
    <t>Series 2009E Taxable School Bonds</t>
  </si>
  <si>
    <t>Series 2018A General Obligation Refunding Bonds</t>
  </si>
  <si>
    <t>Series 2018B Taxable General Obligation Refunding School Bonds</t>
  </si>
  <si>
    <t>Series 2008 Debt Certificates</t>
  </si>
  <si>
    <t>Bond Premiums</t>
  </si>
  <si>
    <t>Series 2018C Taxable General Obligation Refunding School Bonds</t>
  </si>
  <si>
    <t>Series 2019A General Obligation Refunding School Bonds</t>
  </si>
  <si>
    <t>Series 2019B Taxable General Obligation Refunding School Bonds</t>
  </si>
  <si>
    <t>Capital Appreciation Bonds</t>
  </si>
  <si>
    <t>Debt Certificates</t>
  </si>
  <si>
    <t xml:space="preserve">Bond Premiums </t>
  </si>
  <si>
    <t>None</t>
  </si>
  <si>
    <t>Revenues 9-14, Account 1999 - Erate Grant Funding, Rebate, Other Miscellaneous Local Revenues</t>
  </si>
  <si>
    <t>Revenues 9-14, Account 3999 - Miscellaneous State Revenues</t>
  </si>
  <si>
    <t>Revenues 9-14, Account 4399 - Title I School Improvement and Accountability</t>
  </si>
  <si>
    <t>Revenues 9-14, Account 4499 - Title IV Student Support / Academic Research</t>
  </si>
  <si>
    <t>Expenditures 15-22, Account 2490 - Title I School Administration Costs</t>
  </si>
  <si>
    <t>Expenditures 15-22, Account 2900 - Title I Supplies</t>
  </si>
  <si>
    <t>Expenditures 15-22, Account 5400 - Bond Issuance Costs</t>
  </si>
  <si>
    <t>To ensure in-kind amounts are not double counted on the SEFA</t>
  </si>
  <si>
    <t>US Department of Education (Passed Through ISBE)</t>
  </si>
  <si>
    <t>Title I Low Income (M)</t>
  </si>
  <si>
    <t>Title I School Improvement and Accountability (M)</t>
  </si>
  <si>
    <t>Title II Teacher Quality</t>
  </si>
  <si>
    <t>Preschool Expansion Grant</t>
  </si>
  <si>
    <t>Title IV Student Support / Academic Research</t>
  </si>
  <si>
    <t>84.010A</t>
  </si>
  <si>
    <t>84.367A</t>
  </si>
  <si>
    <t>84.419B</t>
  </si>
  <si>
    <t>84.424A</t>
  </si>
  <si>
    <t>2020-4300</t>
  </si>
  <si>
    <t>2019-4300</t>
  </si>
  <si>
    <t>2018-4300</t>
  </si>
  <si>
    <t>2020-4331</t>
  </si>
  <si>
    <t>2019-4331</t>
  </si>
  <si>
    <t>2019-4932</t>
  </si>
  <si>
    <t>2018-4932</t>
  </si>
  <si>
    <t>2019-4902</t>
  </si>
  <si>
    <t>2018-4902</t>
  </si>
  <si>
    <t>2019-4400</t>
  </si>
  <si>
    <t>2018-4400</t>
  </si>
  <si>
    <t>IDEA Room and Board</t>
  </si>
  <si>
    <t>84.027A</t>
  </si>
  <si>
    <t>2018-4625</t>
  </si>
  <si>
    <t>Total - US Department of Education (Passed through ISBE)</t>
  </si>
  <si>
    <t>Subtotal, All Federal Programs</t>
  </si>
  <si>
    <t>US Deparment of Agriculture (Passed through ISBE)</t>
  </si>
  <si>
    <t>School Breakfast</t>
  </si>
  <si>
    <t xml:space="preserve"> School Breakfast</t>
  </si>
  <si>
    <t>Child and Adult Care Food Program</t>
  </si>
  <si>
    <t>Commodity Food Program</t>
  </si>
  <si>
    <t>2020-4220</t>
  </si>
  <si>
    <t>2019-4220</t>
  </si>
  <si>
    <t>2018-4220</t>
  </si>
  <si>
    <t>2020-4210</t>
  </si>
  <si>
    <t>2019-4210</t>
  </si>
  <si>
    <t>2018-4210</t>
  </si>
  <si>
    <t>2020-4226</t>
  </si>
  <si>
    <t>2019-4226</t>
  </si>
  <si>
    <t>2018-4215</t>
  </si>
  <si>
    <t>2020-4225</t>
  </si>
  <si>
    <t>2020-4211</t>
  </si>
  <si>
    <t>2019-4211</t>
  </si>
  <si>
    <t>US Deparment of Education (Passed through ECHO)</t>
  </si>
  <si>
    <t>Special Education Cluster</t>
  </si>
  <si>
    <t>IDEA Flow Through</t>
  </si>
  <si>
    <t>2020-4620</t>
  </si>
  <si>
    <t>2018-4620</t>
  </si>
  <si>
    <t>Total - US Department of Education (Passed through ECHO)</t>
  </si>
  <si>
    <t>US Department of Health and Human Services (Passed through IL Dept. of Health Care and Family Services)</t>
  </si>
  <si>
    <t>Medicaid Outreach</t>
  </si>
  <si>
    <t>Total - US Department of Health and Human Services (Passed through IL Dept. of Health Care and Family Services)</t>
  </si>
  <si>
    <t>Total, All Federal Programs</t>
  </si>
  <si>
    <r>
      <t xml:space="preserve">The accompanying Schedule of Expenditures of Federal Awards includes the federal grant activity of </t>
    </r>
    <r>
      <rPr>
        <b/>
        <sz val="9"/>
        <rFont val="Calibri"/>
        <family val="2"/>
        <scheme val="minor"/>
      </rPr>
      <t>Dolton West Elementary School District #148</t>
    </r>
    <r>
      <rPr>
        <sz val="9"/>
        <rFont val="Calibri"/>
        <family val="2"/>
        <scheme val="minor"/>
      </rPr>
      <t xml:space="preserve"> and is presented on the </t>
    </r>
    <r>
      <rPr>
        <b/>
        <sz val="9"/>
        <rFont val="Calibri"/>
        <family val="2"/>
        <scheme val="minor"/>
      </rPr>
      <t>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</si>
  <si>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t>Adverse/Qualified</t>
  </si>
  <si>
    <t>Unmodified</t>
  </si>
  <si>
    <t>Title I Grants to Local Educational Agencies (Low Income &amp; School Improvement and Accountability)</t>
  </si>
  <si>
    <t>2020-4400</t>
  </si>
  <si>
    <t>2020-4932</t>
  </si>
  <si>
    <t>2019-001</t>
  </si>
  <si>
    <t>The District should have a system in place to govern their financial processes in order to record transactions correctly and create timely and accurate reports.  Additionally, this system should segregate various duties to individuals within the District.</t>
  </si>
  <si>
    <t>2019-002</t>
  </si>
  <si>
    <t>2019-003</t>
  </si>
  <si>
    <t>During the course of our audit, we determined that the District has a lack of overall financial oversight and a lack of segregation of duties.</t>
  </si>
  <si>
    <t>During our audit, we determined that the District had debt in excess of the statutory debt limit.</t>
  </si>
  <si>
    <t>The Illinois State Board of Education requires Districts to submit an expenditure report for certain of its federal programs at specified dates throughout the award period.</t>
  </si>
  <si>
    <t>This comment is repeated as of June 30, 2020 in finding number 2020-001</t>
  </si>
  <si>
    <t>This comment is repeated as of June 30, 2020 in finding number 2020-002</t>
  </si>
  <si>
    <t>This comment is repeated as of June 30, 2020 in finding number 2020-003</t>
  </si>
  <si>
    <t>Adjusting audit entries were proposed, and reviewed and approved by management, in order to correct errors as a result of the lack of oversight.</t>
  </si>
  <si>
    <t>There is a small number of staff in Finance at the District and there is a reliance on information being entered into the system by the Treasurer's Office with little or no review.</t>
  </si>
  <si>
    <t>The District should perform reconciliations of all balance sheet accounts on a regular basis, and reconciliations and reviews of various revenue and expenditure accounts, including salary accounts subject to the Maintenance of Effort reporting, should be done throughout the course of the year.   
The District should create a month-end and year-end checklist to follow for financial reporting and closing purposes.  This would help ensure that procedures are consistent and can continue to be followed in the event of turnover. 
The District should implement a level of review of all cash and investment reconciliations on a monthly basis.</t>
  </si>
  <si>
    <t>See Corrective Action Plan provided by the School District.</t>
  </si>
  <si>
    <t>No school districts maintaining grades K through 8 or 9 through 12 shall become indebted in any manner or for any purpose to an amount, including existing indebtedness, in the aggregate exceeding 6.9% on the value of the taxable property therein to be ascertained by the last assessment for State and county taxes or, until January 1, 1983, if greater, the sum that is produced by multiplying the school district's 1978 equalized assessed valuation by the debt limitation percentage in effect on January 1, 1979, previous to the incurring of such indebtedness.</t>
  </si>
  <si>
    <t>The District is unable to issue new debt except to refund any existing debt.</t>
  </si>
  <si>
    <t>The District is unable to issue new debt, therefore, cannot issue any new debt for any capital projects in the District.</t>
  </si>
  <si>
    <t>The equalized assessed value of taxable property in the District declined causing the District to not be in compliance with the statutory debt limit.</t>
  </si>
  <si>
    <t>The District should continue its plan to reduce its outstanding debt to comply with the legal debt limit established by Illinois Compiled Statutes.</t>
  </si>
  <si>
    <t>Title I - Low Income 2020</t>
  </si>
  <si>
    <t>Illinois State Board of Education</t>
  </si>
  <si>
    <t>Department of Education</t>
  </si>
  <si>
    <t>The District must track its expenditures of federal awards and submit an expenditure report periodically to the Illinois State Board of Education.</t>
  </si>
  <si>
    <t>As a result of the error, the School District may be subject to additional review from the Illinois State Board of Education.</t>
  </si>
  <si>
    <t>The error was caused by oversight during clerical administration of the program and appear to be isolated occurrences.</t>
  </si>
  <si>
    <t>We recommend the School District increase oversight over the federal award program expense report submission process.</t>
  </si>
  <si>
    <t>We reviewed the Expenditure Reports Due/Status report from the Illinois State Board of Education and noted that both the September 30, 2019 and June 30, 2020 reports were filed after their respective due dates of October 20, 2019, and July 20, 2020.</t>
  </si>
  <si>
    <t>N/A</t>
  </si>
  <si>
    <t>ED-Special Education Programs-Purchased Services</t>
  </si>
  <si>
    <t>Ed-Improvement of Instruction Services-Purchased</t>
  </si>
  <si>
    <t>ED-Educational Media Services Purchased</t>
  </si>
  <si>
    <t>ED-Board of Education Services Purchased</t>
  </si>
  <si>
    <t>ED-Food Services Purchased Services</t>
  </si>
  <si>
    <t>ED-Community Services-Other</t>
  </si>
  <si>
    <t>Maxim Healthcare</t>
  </si>
  <si>
    <t>Tiny Eye Therapy</t>
  </si>
  <si>
    <t>GTA LLC</t>
  </si>
  <si>
    <t>Special Education Services</t>
  </si>
  <si>
    <t>Speical Education Systems</t>
  </si>
  <si>
    <t>Milestone Therapy</t>
  </si>
  <si>
    <t>ProveIT</t>
  </si>
  <si>
    <t>Ancel Glink</t>
  </si>
  <si>
    <t>Discovery Benefits</t>
  </si>
  <si>
    <t>Ottosen Dinalfo Hasenbalg &amp; Castaldo</t>
  </si>
  <si>
    <t>Preferred Meal Systems</t>
  </si>
  <si>
    <t>Pap Consulting</t>
  </si>
  <si>
    <t>O&amp;M Operation &amp; Maintenance of Plant Services</t>
  </si>
  <si>
    <t>Accurate Biometrics</t>
  </si>
  <si>
    <t>Amber Mechanical</t>
  </si>
  <si>
    <t>Balanced Environments</t>
  </si>
  <si>
    <t>Johnson Controls</t>
  </si>
  <si>
    <t>Kone Elevator</t>
  </si>
  <si>
    <t>Smithereen Pest Management</t>
  </si>
  <si>
    <t>Sonitrol Great Lakes</t>
  </si>
  <si>
    <t>Tyssenkrupp Elevator</t>
  </si>
  <si>
    <t>Total Automation</t>
  </si>
  <si>
    <t>Urban Elevator</t>
  </si>
  <si>
    <t>Unifirst Corporation</t>
  </si>
  <si>
    <t>Waste Management</t>
  </si>
  <si>
    <t>Vanguard Energy Services</t>
  </si>
  <si>
    <t>Constellation New Energy</t>
  </si>
  <si>
    <t>TR-Pupil Transportation Services Purchased Services</t>
  </si>
  <si>
    <t>TF-Insurance Payments-Purchased Services</t>
  </si>
  <si>
    <t>Alltown Bus Service</t>
  </si>
  <si>
    <t>First Student</t>
  </si>
  <si>
    <t>Sikich</t>
  </si>
  <si>
    <t>S.S.C.I.P.</t>
  </si>
  <si>
    <t>S.E.L.F.</t>
  </si>
  <si>
    <t>ECHO - Exceptional Children Have Opportunities</t>
  </si>
  <si>
    <t>SSCIP - Suburban School Cooperative Insurance Pool</t>
  </si>
  <si>
    <t>Thornton Township Treasurer Office</t>
  </si>
  <si>
    <t>South Cook Intermediate Service Center</t>
  </si>
  <si>
    <t>Revenues 9-14, Account 4998 - Commodity food program</t>
  </si>
  <si>
    <t>Total Special Education Cluster</t>
  </si>
  <si>
    <t>Child Nutrition Cluster</t>
  </si>
  <si>
    <t>Total Child Nutrition Cluster</t>
  </si>
  <si>
    <t>Medicaid Cluster</t>
  </si>
  <si>
    <t>Total Medicaid Cluster</t>
  </si>
  <si>
    <t>Total - US Department of Agriculture (Passed through ISBE)</t>
  </si>
  <si>
    <t>Certain accounts that we had tested had not been properly reconciled to appropriate supporting documentation.  This included payroll withholding liabilities and certain revenue and expenditure accounts.  
Per our discussions with the District, we noted that there is no review by the District of cash reconciliations or investment income reconciliations performed at the Treasurer’s Office throughout the year. Timely preparation and review of complete and accurate cash reconciliations is a key to maintaining adequate controls over both cash receipts and disbursements.  An unreconciled difference can obscure significant but offsetting items that would be a cause for investigation if the items were apparent.  
The District had failed a prior year submission of their Maintenance of Effort reporting, however, this was due to the incorrect classification of various salaries posted to the general ledger.  This required the District to review their prior year accounts and properly reclassify certain salary accounts to be appropriately stated, and then to amend and resubmit the AFR report to ISBE.  Sikich notes this has occurred in each of the past two fiscal years. The District's revised submissions did meet the Maintenance of Effort reporting.</t>
  </si>
  <si>
    <t>Short-Term Long-Term Debt 24, Any Differences: Issuance costs, paying agent fees</t>
  </si>
  <si>
    <t>See opinion page in PDF</t>
  </si>
  <si>
    <t>Ottosen Dinalfo Hasenbalg &amp; Castaldo, Ltd.</t>
  </si>
  <si>
    <t>Dolton SD 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</si>
</sst>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57" fillId="0" borderId="0" xfId="3" applyFont="1" applyAlignment="1" applyProtection="1">
      <alignment horizontal="left" vertical="top" wrapText="1"/>
      <protection locked="0"/>
    </xf>
    <xf numFmtId="164" fontId="62" fillId="0" borderId="0" xfId="0" applyNumberFormat="1" applyFont="1" applyFill="1"/>
    <xf numFmtId="0" fontId="57" fillId="0" borderId="0" xfId="3" applyFont="1" applyBorder="1" applyAlignment="1" applyProtection="1">
      <alignment horizontal="left" wrapText="1"/>
      <protection locked="0"/>
    </xf>
    <xf numFmtId="179" fontId="57" fillId="0" borderId="0" xfId="3" applyNumberFormat="1" applyFont="1" applyBorder="1" applyAlignment="1" applyProtection="1">
      <alignment vertical="top"/>
      <protection locked="0"/>
    </xf>
    <xf numFmtId="179" fontId="57" fillId="0" borderId="0" xfId="3" applyNumberFormat="1" applyFont="1" applyBorder="1" applyAlignment="1" applyProtection="1">
      <alignment horizontal="left" vertical="top"/>
      <protection locked="0"/>
    </xf>
    <xf numFmtId="0" fontId="57" fillId="0" borderId="0" xfId="3" applyFont="1" applyBorder="1" applyAlignment="1" applyProtection="1">
      <alignment vertical="top"/>
      <protection locked="0"/>
    </xf>
    <xf numFmtId="0" fontId="57" fillId="0" borderId="0" xfId="3" applyFont="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22" xfId="3" applyNumberFormat="1" applyFont="1" applyFill="1" applyBorder="1" applyAlignment="1" applyProtection="1">
      <alignment horizontal="center" shrinkToFit="1"/>
      <protection locked="0"/>
    </xf>
    <xf numFmtId="14" fontId="57" fillId="0" borderId="0" xfId="3" applyNumberFormat="1" applyFont="1" applyBorder="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943841</xdr:colOff>
          <xdr:row>0</xdr:row>
          <xdr:rowOff>0</xdr:rowOff>
        </xdr:from>
        <xdr:to>
          <xdr:col>1</xdr:col>
          <xdr:colOff>1858241</xdr:colOff>
          <xdr:row>4</xdr:row>
          <xdr:rowOff>123825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15DBC408-B857-4B02-B2C4-7D3658C012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76200</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view="pageBreakPreview" zoomScale="90" zoomScaleNormal="100" zoomScaleSheet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401</v>
      </c>
      <c r="J1" s="2089"/>
      <c r="K1" s="2089"/>
      <c r="L1" s="2089"/>
      <c r="M1" s="2089"/>
      <c r="N1" s="2089"/>
      <c r="O1" s="2089"/>
      <c r="P1" s="2089"/>
      <c r="Q1" s="2089"/>
      <c r="R1" s="2089"/>
      <c r="S1" s="2089"/>
    </row>
    <row r="2" spans="1:32" ht="12" customHeight="1" x14ac:dyDescent="0.2">
      <c r="A2" s="1830" t="str">
        <f>"Due to ISBE on "</f>
        <v xml:space="preserve">Due to ISBE on </v>
      </c>
      <c r="B2" s="2131">
        <f>+'AFR20'!F4</f>
        <v>44151</v>
      </c>
      <c r="C2" s="2131"/>
      <c r="D2" s="2132"/>
      <c r="I2" s="2090" t="s">
        <v>2001</v>
      </c>
      <c r="J2" s="2089"/>
      <c r="K2" s="2089"/>
      <c r="L2" s="2089"/>
      <c r="M2" s="2089"/>
      <c r="N2" s="2089"/>
      <c r="O2" s="2089"/>
      <c r="P2" s="2089"/>
      <c r="Q2" s="2089"/>
      <c r="R2" s="2089"/>
      <c r="S2" s="2089"/>
    </row>
    <row r="3" spans="1:32" ht="12" customHeight="1" x14ac:dyDescent="0.2">
      <c r="A3" s="1833"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520</v>
      </c>
      <c r="J4" s="2089"/>
      <c r="K4" s="2089"/>
      <c r="L4" s="2089"/>
      <c r="M4" s="2089"/>
      <c r="N4" s="2089"/>
      <c r="O4" s="2089"/>
      <c r="P4" s="2089"/>
      <c r="Q4" s="2089"/>
      <c r="R4" s="2089"/>
      <c r="S4" s="2089"/>
    </row>
    <row r="5" spans="1:32" ht="14.1" customHeight="1" x14ac:dyDescent="0.2">
      <c r="B5" s="101" t="s">
        <v>2049</v>
      </c>
      <c r="C5" s="26" t="s">
        <v>903</v>
      </c>
      <c r="D5" s="81"/>
      <c r="E5" s="81"/>
      <c r="H5" s="38"/>
      <c r="I5" s="2098" t="s">
        <v>674</v>
      </c>
      <c r="J5" s="2097"/>
      <c r="K5" s="2097"/>
      <c r="L5" s="2097"/>
      <c r="M5" s="2097"/>
      <c r="N5" s="2097"/>
      <c r="O5" s="2097"/>
      <c r="P5" s="2097"/>
      <c r="Q5" s="2097"/>
      <c r="R5" s="2097"/>
      <c r="S5" s="2097"/>
      <c r="AF5" s="1826"/>
    </row>
    <row r="6" spans="1:32" ht="14.1" customHeight="1" x14ac:dyDescent="0.2">
      <c r="B6" s="101"/>
      <c r="C6" s="26" t="s">
        <v>904</v>
      </c>
      <c r="D6" s="81"/>
      <c r="E6" s="81"/>
      <c r="I6" s="2096" t="s">
        <v>876</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668</v>
      </c>
      <c r="J9" s="2094"/>
      <c r="K9" s="2094"/>
      <c r="L9" s="2094"/>
      <c r="M9" s="2094"/>
      <c r="N9" s="2094"/>
      <c r="O9" s="2094"/>
      <c r="P9" s="2094"/>
      <c r="Q9" s="2094"/>
      <c r="R9" s="2094"/>
      <c r="S9" s="2095"/>
      <c r="T9" s="2146" t="s">
        <v>529</v>
      </c>
      <c r="U9" s="2147"/>
      <c r="V9" s="2147"/>
      <c r="W9" s="2147"/>
      <c r="X9" s="2147"/>
      <c r="Y9" s="2147"/>
      <c r="Z9" s="2147"/>
      <c r="AA9" s="2148"/>
    </row>
    <row r="10" spans="1:32" ht="13.5" customHeight="1" x14ac:dyDescent="0.2">
      <c r="A10" s="2153" t="s">
        <v>669</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948</v>
      </c>
      <c r="B11" s="2157"/>
      <c r="C11" s="2157"/>
      <c r="D11" s="2157"/>
      <c r="E11" s="2157"/>
      <c r="F11" s="2157"/>
      <c r="G11" s="2157"/>
      <c r="H11" s="2158"/>
      <c r="I11" s="27"/>
      <c r="J11" s="71"/>
      <c r="K11" s="27"/>
      <c r="O11" s="144" t="s">
        <v>2049</v>
      </c>
      <c r="P11" s="97" t="s">
        <v>199</v>
      </c>
      <c r="Q11" s="30"/>
      <c r="R11" s="28"/>
      <c r="S11" s="27"/>
      <c r="T11" s="2150"/>
      <c r="U11" s="2151"/>
      <c r="V11" s="2151"/>
      <c r="W11" s="2151"/>
      <c r="X11" s="2151"/>
      <c r="Y11" s="2151"/>
      <c r="Z11" s="2151"/>
      <c r="AA11" s="215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9">
        <v>7016148002</v>
      </c>
      <c r="B13" s="2110"/>
      <c r="C13" s="2110"/>
      <c r="D13" s="2110"/>
      <c r="E13" s="2110"/>
      <c r="F13" s="2110"/>
      <c r="G13" s="2110"/>
      <c r="H13" s="2111"/>
      <c r="I13" s="31"/>
      <c r="J13" s="30"/>
      <c r="K13" s="28"/>
      <c r="L13" s="30"/>
      <c r="M13" s="30"/>
      <c r="N13" s="30"/>
      <c r="O13" s="30"/>
      <c r="P13" s="30"/>
      <c r="Q13" s="30"/>
      <c r="R13" s="30"/>
      <c r="S13" s="30"/>
      <c r="T13" s="2115" t="s">
        <v>2057</v>
      </c>
      <c r="U13" s="2116"/>
      <c r="V13" s="2116"/>
      <c r="W13" s="2116"/>
      <c r="X13" s="2116"/>
      <c r="Y13" s="2117"/>
      <c r="Z13" s="2117"/>
      <c r="AA13" s="211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2" t="s">
        <v>2050</v>
      </c>
      <c r="B15" s="2113"/>
      <c r="C15" s="2113"/>
      <c r="D15" s="2113"/>
      <c r="E15" s="2113"/>
      <c r="F15" s="2113"/>
      <c r="G15" s="2113"/>
      <c r="H15" s="2114"/>
      <c r="T15" s="2119" t="s">
        <v>2058</v>
      </c>
      <c r="U15" s="2076"/>
      <c r="V15" s="2076"/>
      <c r="W15" s="2076"/>
      <c r="X15" s="2076"/>
      <c r="Y15" s="2120"/>
      <c r="Z15" s="2120"/>
      <c r="AA15" s="212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2" t="s">
        <v>2231</v>
      </c>
      <c r="B17" s="2083"/>
      <c r="C17" s="2083"/>
      <c r="D17" s="2083"/>
      <c r="E17" s="2083"/>
      <c r="F17" s="2083"/>
      <c r="G17" s="2083"/>
      <c r="H17" s="2108"/>
      <c r="T17" s="2126" t="s">
        <v>2059</v>
      </c>
      <c r="U17" s="2127"/>
      <c r="V17" s="2127"/>
      <c r="W17" s="2127"/>
      <c r="X17" s="2127"/>
      <c r="Y17" s="2127"/>
      <c r="Z17" s="2127"/>
      <c r="AA17" s="2128"/>
    </row>
    <row r="18" spans="1:27" ht="13.5" customHeight="1" x14ac:dyDescent="0.2">
      <c r="A18" s="82" t="s">
        <v>526</v>
      </c>
      <c r="B18" s="73"/>
      <c r="C18" s="69"/>
      <c r="D18" s="73"/>
      <c r="E18" s="73"/>
      <c r="F18" s="73"/>
      <c r="G18" s="73"/>
      <c r="H18" s="53"/>
      <c r="I18" s="2107" t="s">
        <v>670</v>
      </c>
      <c r="J18" s="2058"/>
      <c r="K18" s="2058"/>
      <c r="L18" s="2058"/>
      <c r="M18" s="2058"/>
      <c r="N18" s="2058"/>
      <c r="O18" s="2058"/>
      <c r="P18" s="2058"/>
      <c r="Q18" s="2058"/>
      <c r="R18" s="2058"/>
      <c r="S18" s="2059"/>
      <c r="T18" s="82" t="s">
        <v>705</v>
      </c>
      <c r="U18" s="48"/>
      <c r="V18" s="69"/>
      <c r="W18" s="47"/>
      <c r="X18" s="82" t="s">
        <v>263</v>
      </c>
      <c r="Y18" s="78"/>
      <c r="Z18" s="154" t="s">
        <v>671</v>
      </c>
      <c r="AA18" s="44"/>
    </row>
    <row r="19" spans="1:27" ht="13.5" customHeight="1" x14ac:dyDescent="0.2">
      <c r="A19" s="2112" t="s">
        <v>2051</v>
      </c>
      <c r="B19" s="2068"/>
      <c r="C19" s="2068"/>
      <c r="D19" s="2068"/>
      <c r="E19" s="2068"/>
      <c r="F19" s="2068"/>
      <c r="G19" s="2068"/>
      <c r="H19" s="2048"/>
      <c r="I19" s="30"/>
      <c r="J19" s="96"/>
      <c r="K19" s="40"/>
      <c r="L19" s="38"/>
      <c r="M19" s="109" t="s">
        <v>311</v>
      </c>
      <c r="P19" s="27"/>
      <c r="Q19" s="27"/>
      <c r="R19" s="27"/>
      <c r="S19" s="31"/>
      <c r="T19" s="2112" t="s">
        <v>2060</v>
      </c>
      <c r="U19" s="2047"/>
      <c r="V19" s="2047"/>
      <c r="W19" s="2048"/>
      <c r="X19" s="2124" t="s">
        <v>2061</v>
      </c>
      <c r="Y19" s="2125"/>
      <c r="Z19" s="2122">
        <v>60563</v>
      </c>
      <c r="AA19" s="212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6" t="s">
        <v>2052</v>
      </c>
      <c r="B21" s="2047"/>
      <c r="C21" s="2047"/>
      <c r="D21" s="2047"/>
      <c r="E21" s="2047"/>
      <c r="F21" s="2047"/>
      <c r="G21" s="2047"/>
      <c r="H21" s="2048"/>
      <c r="I21" s="2102" t="s">
        <v>672</v>
      </c>
      <c r="J21" s="2097"/>
      <c r="K21" s="2097"/>
      <c r="L21" s="2097"/>
      <c r="M21" s="2097"/>
      <c r="N21" s="2097"/>
      <c r="O21" s="2097"/>
      <c r="P21" s="2097"/>
      <c r="Q21" s="2097"/>
      <c r="R21" s="2097"/>
      <c r="S21" s="2103"/>
      <c r="T21" s="2137" t="s">
        <v>2062</v>
      </c>
      <c r="U21" s="2138"/>
      <c r="V21" s="2138"/>
      <c r="W21" s="2138"/>
      <c r="X21" s="2143" t="s">
        <v>2063</v>
      </c>
      <c r="Y21" s="2144"/>
      <c r="Z21" s="2144"/>
      <c r="AA21" s="2145"/>
    </row>
    <row r="22" spans="1:27" ht="13.5" customHeight="1" x14ac:dyDescent="0.2">
      <c r="A22" s="84" t="s">
        <v>527</v>
      </c>
      <c r="B22" s="56"/>
      <c r="C22" s="56"/>
      <c r="D22" s="56"/>
      <c r="E22" s="56"/>
      <c r="F22" s="56"/>
      <c r="G22" s="56"/>
      <c r="H22" s="57"/>
      <c r="I22" s="2104" t="s">
        <v>1411</v>
      </c>
      <c r="J22" s="2105"/>
      <c r="K22" s="2105"/>
      <c r="L22" s="2105"/>
      <c r="M22" s="2105"/>
      <c r="N22" s="2105"/>
      <c r="O22" s="2105"/>
      <c r="P22" s="2105"/>
      <c r="Q22" s="2105"/>
      <c r="R22" s="2105"/>
      <c r="S22" s="2106"/>
      <c r="T22" s="82" t="s">
        <v>1498</v>
      </c>
      <c r="U22" s="48"/>
      <c r="V22" s="69"/>
      <c r="W22" s="48"/>
      <c r="X22" s="155" t="s">
        <v>1306</v>
      </c>
      <c r="Z22" s="43"/>
      <c r="AA22" s="44"/>
    </row>
    <row r="23" spans="1:27" ht="13.5" customHeight="1" x14ac:dyDescent="0.2">
      <c r="A23" s="2099" t="s">
        <v>2053</v>
      </c>
      <c r="B23" s="2100"/>
      <c r="C23" s="2100"/>
      <c r="D23" s="2100"/>
      <c r="E23" s="2100"/>
      <c r="F23" s="2100"/>
      <c r="G23" s="2100"/>
      <c r="H23" s="2101"/>
      <c r="T23" s="2082" t="s">
        <v>2064</v>
      </c>
      <c r="U23" s="2136"/>
      <c r="V23" s="2136"/>
      <c r="W23" s="2136"/>
      <c r="X23" s="2140">
        <v>44530</v>
      </c>
      <c r="Y23" s="2141"/>
      <c r="Z23" s="2141"/>
      <c r="AA23" s="2142"/>
    </row>
    <row r="24" spans="1:27" ht="14.1" customHeight="1" x14ac:dyDescent="0.2">
      <c r="A24" s="85" t="s">
        <v>671</v>
      </c>
      <c r="B24" s="46"/>
      <c r="C24" s="46"/>
      <c r="D24" s="46"/>
      <c r="E24" s="46"/>
      <c r="F24" s="46"/>
      <c r="G24" s="46"/>
      <c r="H24" s="58"/>
      <c r="J24" s="2069">
        <f>IF(B5="x",IF(AUDITCHECK!D29="AFR form Incomplete.","",IF(AUDITCHECK!D29="Deficit reduction plan is required.","School District must complete a deficit reduction plan in the 2020-2021 Budget",)),"")</f>
        <v>0</v>
      </c>
      <c r="K24" s="2069"/>
      <c r="L24" s="2069"/>
      <c r="M24" s="2069"/>
      <c r="N24" s="2069"/>
      <c r="O24" s="2069"/>
      <c r="P24" s="2069"/>
      <c r="Q24" s="2069"/>
      <c r="R24" s="2069"/>
      <c r="S24" s="2070"/>
      <c r="T24" s="102" t="s">
        <v>527</v>
      </c>
      <c r="U24" s="103"/>
      <c r="V24" s="103"/>
      <c r="W24" s="103"/>
      <c r="X24" s="104"/>
      <c r="Y24" s="104"/>
      <c r="Z24" s="104"/>
      <c r="AA24" s="105"/>
    </row>
    <row r="25" spans="1:27" ht="14.1" customHeight="1" x14ac:dyDescent="0.2">
      <c r="A25" s="2046">
        <v>60827</v>
      </c>
      <c r="B25" s="2047"/>
      <c r="C25" s="2047"/>
      <c r="D25" s="2047"/>
      <c r="E25" s="2047"/>
      <c r="F25" s="2047"/>
      <c r="G25" s="2047"/>
      <c r="H25" s="2048"/>
      <c r="I25" s="110"/>
      <c r="J25" s="2071"/>
      <c r="K25" s="2071"/>
      <c r="L25" s="2071"/>
      <c r="M25" s="2071"/>
      <c r="N25" s="2071"/>
      <c r="O25" s="2071"/>
      <c r="P25" s="2071"/>
      <c r="Q25" s="2071"/>
      <c r="R25" s="2071"/>
      <c r="S25" s="2072"/>
      <c r="T25" s="2133"/>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7" t="s">
        <v>1493</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2049</v>
      </c>
      <c r="C29" s="121" t="s">
        <v>814</v>
      </c>
      <c r="D29" s="111"/>
      <c r="E29" s="133"/>
      <c r="F29" s="137" t="s">
        <v>1304</v>
      </c>
      <c r="G29" s="111"/>
      <c r="I29" s="51"/>
      <c r="J29" s="144" t="s">
        <v>2049</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2049</v>
      </c>
      <c r="C30" s="121" t="s">
        <v>1153</v>
      </c>
      <c r="D30" s="28"/>
      <c r="E30" s="28"/>
      <c r="F30" s="136"/>
      <c r="G30" s="111"/>
      <c r="H30" s="111"/>
      <c r="I30" s="51"/>
      <c r="J30" s="144" t="s">
        <v>2049</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2049</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2" t="s">
        <v>2054</v>
      </c>
      <c r="B38" s="2083"/>
      <c r="C38" s="2083"/>
      <c r="D38" s="2083"/>
      <c r="E38" s="2083"/>
      <c r="F38" s="2047"/>
      <c r="G38" s="2047"/>
      <c r="H38" s="2048"/>
      <c r="I38" s="2075"/>
      <c r="J38" s="2076"/>
      <c r="K38" s="2076"/>
      <c r="L38" s="2076"/>
      <c r="M38" s="2076"/>
      <c r="N38" s="2076"/>
      <c r="O38" s="2076"/>
      <c r="P38" s="2077"/>
      <c r="Q38" s="2077"/>
      <c r="R38" s="2077"/>
      <c r="S38" s="2078"/>
      <c r="T38" s="2119"/>
      <c r="U38" s="2076"/>
      <c r="V38" s="2076"/>
      <c r="W38" s="2076"/>
      <c r="X38" s="2077"/>
      <c r="Y38" s="2077"/>
      <c r="Z38" s="2077"/>
      <c r="AA38" s="2078"/>
    </row>
    <row r="39" spans="1:27" ht="12" customHeight="1" x14ac:dyDescent="0.2">
      <c r="A39" s="2052" t="s">
        <v>527</v>
      </c>
      <c r="B39" s="2053"/>
      <c r="C39" s="69"/>
      <c r="D39" s="66"/>
      <c r="E39" s="66"/>
      <c r="F39" s="76"/>
      <c r="G39" s="66"/>
      <c r="H39" s="53"/>
      <c r="I39" s="2052" t="s">
        <v>527</v>
      </c>
      <c r="J39" s="2053"/>
      <c r="K39" s="2053"/>
      <c r="L39" s="2053"/>
      <c r="M39" s="2053"/>
      <c r="N39" s="64"/>
      <c r="O39" s="69"/>
      <c r="P39" s="69"/>
      <c r="Q39" s="75"/>
      <c r="R39" s="69"/>
      <c r="S39" s="53"/>
      <c r="T39" s="69" t="s">
        <v>527</v>
      </c>
      <c r="U39" s="48"/>
      <c r="V39" s="69"/>
      <c r="W39" s="47"/>
      <c r="X39" s="75"/>
      <c r="Y39" s="43"/>
      <c r="Z39" s="43"/>
      <c r="AA39" s="44"/>
    </row>
    <row r="40" spans="1:27" ht="13.5" customHeight="1" x14ac:dyDescent="0.2">
      <c r="A40" s="2060" t="s">
        <v>2053</v>
      </c>
      <c r="B40" s="2061"/>
      <c r="C40" s="2062"/>
      <c r="D40" s="2062"/>
      <c r="E40" s="2062"/>
      <c r="F40" s="2063"/>
      <c r="G40" s="2063"/>
      <c r="H40" s="2064"/>
      <c r="I40" s="2085"/>
      <c r="J40" s="2086"/>
      <c r="K40" s="2086"/>
      <c r="L40" s="2086"/>
      <c r="M40" s="2086"/>
      <c r="N40" s="2086"/>
      <c r="O40" s="2086"/>
      <c r="P40" s="2086"/>
      <c r="Q40" s="2086"/>
      <c r="R40" s="2086"/>
      <c r="S40" s="2087"/>
      <c r="T40" s="2085"/>
      <c r="U40" s="2139"/>
      <c r="V40" s="2086"/>
      <c r="W40" s="2086"/>
      <c r="X40" s="2086"/>
      <c r="Y40" s="2086"/>
      <c r="Z40" s="2086"/>
      <c r="AA40" s="208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4" t="s">
        <v>2055</v>
      </c>
      <c r="B42" s="2066"/>
      <c r="C42" s="2067"/>
      <c r="D42" s="2065" t="s">
        <v>2056</v>
      </c>
      <c r="E42" s="2066"/>
      <c r="F42" s="2066"/>
      <c r="G42" s="2066"/>
      <c r="H42" s="2067"/>
      <c r="I42" s="2049"/>
      <c r="J42" s="2050"/>
      <c r="K42" s="2050"/>
      <c r="L42" s="2050"/>
      <c r="M42" s="2050"/>
      <c r="N42" s="2050"/>
      <c r="O42" s="2051"/>
      <c r="P42" s="2084"/>
      <c r="Q42" s="2050"/>
      <c r="R42" s="2050"/>
      <c r="S42" s="2051"/>
      <c r="T42" s="2049"/>
      <c r="U42" s="2050"/>
      <c r="V42" s="2050"/>
      <c r="W42" s="2051"/>
      <c r="X42" s="2084"/>
      <c r="Y42" s="2050"/>
      <c r="Z42" s="2050"/>
      <c r="AA42" s="205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view="pageBreakPreview" colorId="8" zoomScale="115" zoomScaleNormal="110" zoomScaleSheetLayoutView="115"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7"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8"/>
      <c r="B3" s="1293"/>
      <c r="C3" s="1294"/>
      <c r="D3" s="1295" t="s">
        <v>254</v>
      </c>
      <c r="E3" s="1294"/>
      <c r="F3" s="1295" t="s">
        <v>255</v>
      </c>
    </row>
    <row r="4" spans="1:8" ht="13.7" customHeight="1" x14ac:dyDescent="0.2">
      <c r="A4" s="579" t="s">
        <v>1144</v>
      </c>
      <c r="B4" s="1720">
        <f>'Revenues 9-14'!C5</f>
        <v>5799662</v>
      </c>
      <c r="C4" s="1721">
        <v>2180256</v>
      </c>
      <c r="D4" s="1722">
        <f>B4-C4</f>
        <v>3619406</v>
      </c>
      <c r="E4" s="1721">
        <v>7191115</v>
      </c>
      <c r="F4" s="1722">
        <f>E4-C4</f>
        <v>5010859</v>
      </c>
    </row>
    <row r="5" spans="1:8" ht="13.7" customHeight="1" x14ac:dyDescent="0.2">
      <c r="A5" s="579" t="s">
        <v>864</v>
      </c>
      <c r="B5" s="1723">
        <f>'Revenues 9-14'!D5</f>
        <v>733455</v>
      </c>
      <c r="C5" s="1663">
        <v>251109</v>
      </c>
      <c r="D5" s="1724">
        <f t="shared" ref="D5:D18" si="0">B5-C5</f>
        <v>482346</v>
      </c>
      <c r="E5" s="1663">
        <v>828230</v>
      </c>
      <c r="F5" s="1724">
        <f>E5-C5</f>
        <v>577121</v>
      </c>
    </row>
    <row r="6" spans="1:8" ht="13.7" customHeight="1" x14ac:dyDescent="0.2">
      <c r="A6" s="579" t="s">
        <v>407</v>
      </c>
      <c r="B6" s="1723">
        <f>'Revenues 9-14'!E5</f>
        <v>3649973</v>
      </c>
      <c r="C6" s="1663">
        <v>1467714</v>
      </c>
      <c r="D6" s="1724">
        <f t="shared" si="0"/>
        <v>2182259</v>
      </c>
      <c r="E6" s="1663">
        <v>4840947</v>
      </c>
      <c r="F6" s="1724">
        <f t="shared" ref="F6:F18" si="1">E6-C6</f>
        <v>3373233</v>
      </c>
    </row>
    <row r="7" spans="1:8" ht="13.7" customHeight="1" x14ac:dyDescent="0.2">
      <c r="A7" s="579" t="s">
        <v>154</v>
      </c>
      <c r="B7" s="1723">
        <f>'Revenues 9-14'!F5</f>
        <v>798152</v>
      </c>
      <c r="C7" s="1663">
        <v>376559</v>
      </c>
      <c r="D7" s="1724">
        <f t="shared" si="0"/>
        <v>421593</v>
      </c>
      <c r="E7" s="1663">
        <v>1242000</v>
      </c>
      <c r="F7" s="1724">
        <f t="shared" si="1"/>
        <v>865441</v>
      </c>
    </row>
    <row r="8" spans="1:8" ht="13.7" customHeight="1" x14ac:dyDescent="0.2">
      <c r="A8" s="579" t="s">
        <v>1168</v>
      </c>
      <c r="B8" s="1723">
        <f>'Revenues 9-14'!G5</f>
        <v>598512</v>
      </c>
      <c r="C8" s="1663">
        <v>40741</v>
      </c>
      <c r="D8" s="1724">
        <f t="shared" si="0"/>
        <v>557771</v>
      </c>
      <c r="E8" s="1663">
        <v>134375</v>
      </c>
      <c r="F8" s="1724">
        <f t="shared" si="1"/>
        <v>93634</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56420</v>
      </c>
      <c r="C10" s="1663">
        <v>22828</v>
      </c>
      <c r="D10" s="1724">
        <f t="shared" si="0"/>
        <v>33592</v>
      </c>
      <c r="E10" s="1663">
        <v>75294</v>
      </c>
      <c r="F10" s="1724">
        <f t="shared" si="1"/>
        <v>52466</v>
      </c>
    </row>
    <row r="11" spans="1:8" x14ac:dyDescent="0.2">
      <c r="A11" s="579" t="s">
        <v>405</v>
      </c>
      <c r="B11" s="1723">
        <f>'Revenues 9-14'!J5</f>
        <v>557842</v>
      </c>
      <c r="C11" s="1663">
        <v>294698</v>
      </c>
      <c r="D11" s="1724">
        <f t="shared" si="0"/>
        <v>263144</v>
      </c>
      <c r="E11" s="1663">
        <v>972000</v>
      </c>
      <c r="F11" s="1724">
        <f t="shared" si="1"/>
        <v>677302</v>
      </c>
    </row>
    <row r="12" spans="1:8" ht="13.7" customHeight="1" x14ac:dyDescent="0.2">
      <c r="A12" s="579" t="s">
        <v>156</v>
      </c>
      <c r="B12" s="1723">
        <f>'Revenues 9-14'!K5</f>
        <v>112839</v>
      </c>
      <c r="C12" s="1663">
        <v>45717</v>
      </c>
      <c r="D12" s="1724">
        <f t="shared" si="0"/>
        <v>67122</v>
      </c>
      <c r="E12" s="1663">
        <v>150587</v>
      </c>
      <c r="F12" s="1724">
        <f t="shared" si="1"/>
        <v>104870</v>
      </c>
    </row>
    <row r="13" spans="1:8" ht="13.7" customHeight="1" x14ac:dyDescent="0.2">
      <c r="A13" s="579" t="s">
        <v>929</v>
      </c>
      <c r="B13" s="1723">
        <f>SUM('Revenues 9-14'!C6:D6)</f>
        <v>0</v>
      </c>
      <c r="C13" s="1663">
        <v>45656</v>
      </c>
      <c r="D13" s="1724">
        <f t="shared" si="0"/>
        <v>-45656</v>
      </c>
      <c r="E13" s="1663">
        <v>150587</v>
      </c>
      <c r="F13" s="1724">
        <f t="shared" si="1"/>
        <v>104931</v>
      </c>
    </row>
    <row r="14" spans="1:8" ht="13.7" customHeight="1" x14ac:dyDescent="0.2">
      <c r="A14" s="579" t="s">
        <v>406</v>
      </c>
      <c r="B14" s="1723">
        <f>SUM('Revenues 9-14'!C7:D7,'Revenues 9-14'!F7:H7)</f>
        <v>0</v>
      </c>
      <c r="C14" s="1663">
        <v>182625</v>
      </c>
      <c r="D14" s="1724">
        <f t="shared" si="0"/>
        <v>-182625</v>
      </c>
      <c r="E14" s="1663">
        <v>602349</v>
      </c>
      <c r="F14" s="1724">
        <f t="shared" si="1"/>
        <v>419724</v>
      </c>
    </row>
    <row r="15" spans="1:8" ht="13.7" customHeight="1" x14ac:dyDescent="0.2">
      <c r="A15" s="579" t="s">
        <v>1147</v>
      </c>
      <c r="B15" s="1723">
        <f>SUM('Revenues 9-14'!D9:E9,'Revenues 9-14'!H9)</f>
        <v>0</v>
      </c>
      <c r="C15" s="1663"/>
      <c r="D15" s="1724">
        <f t="shared" si="0"/>
        <v>0</v>
      </c>
      <c r="E15" s="1663"/>
      <c r="F15" s="1724">
        <f t="shared" si="1"/>
        <v>0</v>
      </c>
    </row>
    <row r="16" spans="1:8" ht="13.7" customHeight="1" x14ac:dyDescent="0.2">
      <c r="A16" s="579" t="s">
        <v>1148</v>
      </c>
      <c r="B16" s="1723">
        <f>'Revenues 9-14'!G8</f>
        <v>0</v>
      </c>
      <c r="C16" s="1663">
        <v>157961</v>
      </c>
      <c r="D16" s="1724">
        <f t="shared" si="0"/>
        <v>-157961</v>
      </c>
      <c r="E16" s="1663">
        <v>621000</v>
      </c>
      <c r="F16" s="1724">
        <f t="shared" si="1"/>
        <v>463039</v>
      </c>
    </row>
    <row r="17" spans="1:6" ht="13.7" customHeight="1" x14ac:dyDescent="0.2">
      <c r="A17" s="579" t="s">
        <v>1149</v>
      </c>
      <c r="B17" s="1723">
        <f>'Revenues 9-14'!C10</f>
        <v>0</v>
      </c>
      <c r="C17" s="1663"/>
      <c r="D17" s="1724">
        <f t="shared" si="0"/>
        <v>0</v>
      </c>
      <c r="E17" s="1663"/>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1" t="s">
        <v>1150</v>
      </c>
      <c r="B19" s="1725">
        <f>SUM(B4:B18)</f>
        <v>12306855</v>
      </c>
      <c r="C19" s="1725">
        <f>SUM(C4:C18)</f>
        <v>5065864</v>
      </c>
      <c r="D19" s="1725">
        <f>SUM(D4:D18)</f>
        <v>7240991</v>
      </c>
      <c r="E19" s="1725">
        <f>SUM(E4:E18)</f>
        <v>16808484</v>
      </c>
      <c r="F19" s="1725">
        <f>SUM(F4:F18)</f>
        <v>11742620</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view="pageBreakPreview" colorId="8" zoomScale="145" zoomScaleNormal="100" zoomScaleSheetLayoutView="145"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624</v>
      </c>
      <c r="B1" s="2317"/>
      <c r="C1" s="585"/>
    </row>
    <row r="2" spans="1:7" ht="33.75" x14ac:dyDescent="0.2">
      <c r="A2" s="2324" t="s">
        <v>1777</v>
      </c>
      <c r="B2" s="232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6" t="s">
        <v>1103</v>
      </c>
      <c r="B3" s="2327"/>
      <c r="C3" s="2320"/>
      <c r="D3" s="2321"/>
      <c r="E3" s="2321"/>
      <c r="F3" s="2322"/>
    </row>
    <row r="4" spans="1:7" ht="12.75" customHeight="1" thickBot="1" x14ac:dyDescent="0.25">
      <c r="A4" s="2314" t="s">
        <v>625</v>
      </c>
      <c r="B4" s="2315"/>
      <c r="C4" s="1655"/>
      <c r="D4" s="1655"/>
      <c r="E4" s="1655"/>
      <c r="F4" s="1731">
        <f>SUM(C4+D4)-E4</f>
        <v>0</v>
      </c>
    </row>
    <row r="5" spans="1:7" ht="15.75" customHeight="1" thickTop="1" x14ac:dyDescent="0.2">
      <c r="A5" s="2318" t="s">
        <v>1100</v>
      </c>
      <c r="B5" s="2313"/>
      <c r="C5" s="2307"/>
      <c r="D5" s="2308"/>
      <c r="E5" s="2308"/>
      <c r="F5" s="230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1146</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10" t="s">
        <v>626</v>
      </c>
      <c r="B15" s="2311"/>
      <c r="C15" s="1731">
        <f>SUM(C6:C14)</f>
        <v>0</v>
      </c>
      <c r="D15" s="1731">
        <f>SUM(D6:D14)</f>
        <v>0</v>
      </c>
      <c r="E15" s="1731">
        <f>SUM(E6:E14)</f>
        <v>0</v>
      </c>
      <c r="F15" s="1731">
        <f>SUM(F6:F14)</f>
        <v>0</v>
      </c>
      <c r="G15" s="473"/>
    </row>
    <row r="16" spans="1:7" s="197" customFormat="1" ht="15.75" customHeight="1" thickTop="1" x14ac:dyDescent="0.2">
      <c r="A16" s="2323" t="s">
        <v>1101</v>
      </c>
      <c r="B16" s="2313"/>
      <c r="C16" s="2307"/>
      <c r="D16" s="2308"/>
      <c r="E16" s="2308"/>
      <c r="F16" s="2309"/>
    </row>
    <row r="17" spans="1:11" ht="12.75" customHeight="1" thickBot="1" x14ac:dyDescent="0.25">
      <c r="A17" s="2305" t="s">
        <v>64</v>
      </c>
      <c r="B17" s="2306"/>
      <c r="C17" s="1732"/>
      <c r="D17" s="1663"/>
      <c r="E17" s="1732"/>
      <c r="F17" s="1731">
        <f>SUM(C17+D17)-E17</f>
        <v>0</v>
      </c>
    </row>
    <row r="18" spans="1:11" ht="12.75" customHeight="1" thickTop="1" thickBot="1" x14ac:dyDescent="0.25">
      <c r="A18" s="2305" t="s">
        <v>6</v>
      </c>
      <c r="B18" s="2306"/>
      <c r="C18" s="1732"/>
      <c r="D18" s="1663"/>
      <c r="E18" s="1732"/>
      <c r="F18" s="1731">
        <f>SUM(C18+D18)-E18</f>
        <v>0</v>
      </c>
    </row>
    <row r="19" spans="1:11" ht="12.75" customHeight="1" thickTop="1" thickBot="1" x14ac:dyDescent="0.25">
      <c r="A19" s="2305" t="s">
        <v>384</v>
      </c>
      <c r="B19" s="2306"/>
      <c r="C19" s="1732"/>
      <c r="D19" s="1663"/>
      <c r="E19" s="1732"/>
      <c r="F19" s="1731">
        <f>SUM(C19+D19)-E19</f>
        <v>0</v>
      </c>
    </row>
    <row r="20" spans="1:11" ht="12.75" customHeight="1" thickTop="1" thickBot="1" x14ac:dyDescent="0.25">
      <c r="A20" s="2305" t="s">
        <v>444</v>
      </c>
      <c r="B20" s="2306"/>
      <c r="C20" s="1732"/>
      <c r="D20" s="1663"/>
      <c r="E20" s="1732"/>
      <c r="F20" s="1731">
        <f>SUM(C20+D20)-E20</f>
        <v>0</v>
      </c>
    </row>
    <row r="21" spans="1:11" ht="14.25" thickTop="1" thickBot="1" x14ac:dyDescent="0.25">
      <c r="A21" s="2310" t="s">
        <v>627</v>
      </c>
      <c r="B21" s="2311"/>
      <c r="C21" s="1731">
        <f>SUM(C17:C20)</f>
        <v>0</v>
      </c>
      <c r="D21" s="1731">
        <f>SUM(D17:D20)</f>
        <v>0</v>
      </c>
      <c r="E21" s="1731">
        <f>SUM(E17:E20)</f>
        <v>0</v>
      </c>
      <c r="F21" s="1731">
        <f>SUM(F17:F20)</f>
        <v>0</v>
      </c>
      <c r="G21" s="473"/>
    </row>
    <row r="22" spans="1:11" ht="15.75" customHeight="1" thickTop="1" x14ac:dyDescent="0.2">
      <c r="A22" s="2312" t="s">
        <v>1102</v>
      </c>
      <c r="B22" s="2313"/>
      <c r="C22" s="2307"/>
      <c r="D22" s="2308"/>
      <c r="E22" s="2308"/>
      <c r="F22" s="2309"/>
    </row>
    <row r="23" spans="1:11" ht="13.5" thickBot="1" x14ac:dyDescent="0.25">
      <c r="A23" s="2314" t="s">
        <v>628</v>
      </c>
      <c r="B23" s="2315"/>
      <c r="C23" s="1655"/>
      <c r="D23" s="1655"/>
      <c r="E23" s="1655"/>
      <c r="F23" s="1731">
        <f>SUM(C23+D23)-E23</f>
        <v>0</v>
      </c>
      <c r="G23" s="473"/>
    </row>
    <row r="24" spans="1:11" ht="15.75" customHeight="1" thickTop="1" x14ac:dyDescent="0.2">
      <c r="A24" s="2312" t="s">
        <v>2004</v>
      </c>
      <c r="B24" s="2313"/>
      <c r="C24" s="2307"/>
      <c r="D24" s="2308"/>
      <c r="E24" s="2308"/>
      <c r="F24" s="2309"/>
    </row>
    <row r="25" spans="1:11" ht="13.5" thickBot="1" x14ac:dyDescent="0.25">
      <c r="A25" s="2314" t="s">
        <v>2005</v>
      </c>
      <c r="B25" s="2315"/>
      <c r="C25" s="1655"/>
      <c r="D25" s="1655"/>
      <c r="E25" s="1655"/>
      <c r="F25" s="1731">
        <f>SUM(C25+D25)-E25</f>
        <v>0</v>
      </c>
      <c r="G25" s="473"/>
    </row>
    <row r="26" spans="1:11" ht="15.75" customHeight="1" thickTop="1" x14ac:dyDescent="0.2">
      <c r="A26" s="2318" t="s">
        <v>651</v>
      </c>
      <c r="B26" s="2313"/>
      <c r="C26" s="589"/>
      <c r="D26" s="589"/>
      <c r="E26" s="589"/>
      <c r="F26" s="590"/>
    </row>
    <row r="27" spans="1:11" ht="13.5" thickBot="1" x14ac:dyDescent="0.25">
      <c r="A27" s="2310" t="s">
        <v>1060</v>
      </c>
      <c r="B27" s="2311"/>
      <c r="C27" s="1663"/>
      <c r="D27" s="1663"/>
      <c r="E27" s="1663"/>
      <c r="F27" s="1731">
        <f>SUM(C27+D27)-E27</f>
        <v>0</v>
      </c>
      <c r="G27" s="473"/>
    </row>
    <row r="28" spans="1:11" ht="7.5" customHeight="1" thickTop="1" x14ac:dyDescent="0.2">
      <c r="A28" s="489"/>
    </row>
    <row r="29" spans="1:11" ht="23.25" customHeight="1" x14ac:dyDescent="0.2">
      <c r="A29" s="2316" t="s">
        <v>577</v>
      </c>
      <c r="B29" s="2317"/>
      <c r="C29" s="591"/>
      <c r="D29" s="591"/>
      <c r="E29" s="591"/>
      <c r="F29" s="591"/>
      <c r="G29" s="591"/>
      <c r="H29" s="591"/>
      <c r="I29" s="591"/>
      <c r="J29" s="591"/>
    </row>
    <row r="30" spans="1:11" ht="33.75" x14ac:dyDescent="0.2">
      <c r="A30" s="1296" t="s">
        <v>1061</v>
      </c>
      <c r="B30" s="592" t="s">
        <v>1113</v>
      </c>
      <c r="C30" s="592" t="s">
        <v>578</v>
      </c>
      <c r="D30" s="592" t="s">
        <v>1653</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2066</v>
      </c>
      <c r="B31" s="595"/>
      <c r="C31" s="1733">
        <v>6020000</v>
      </c>
      <c r="D31" s="1734">
        <v>2</v>
      </c>
      <c r="E31" s="1733">
        <v>5835000</v>
      </c>
      <c r="F31" s="1733"/>
      <c r="G31" s="1733">
        <v>-5605000</v>
      </c>
      <c r="H31" s="1733">
        <v>230000</v>
      </c>
      <c r="I31" s="1735">
        <f>((E31+F31)-H31)+G31</f>
        <v>0</v>
      </c>
      <c r="J31" s="1733"/>
      <c r="K31" s="596"/>
    </row>
    <row r="32" spans="1:11" ht="12" customHeight="1" x14ac:dyDescent="0.2">
      <c r="A32" s="594" t="s">
        <v>2067</v>
      </c>
      <c r="B32" s="595"/>
      <c r="C32" s="1733">
        <v>4160000</v>
      </c>
      <c r="D32" s="1734">
        <v>2</v>
      </c>
      <c r="E32" s="1733">
        <v>305000</v>
      </c>
      <c r="F32" s="1733"/>
      <c r="G32" s="1733"/>
      <c r="H32" s="1733">
        <v>305000</v>
      </c>
      <c r="I32" s="1735">
        <f>((E32+F32)-H32)+G32</f>
        <v>0</v>
      </c>
      <c r="J32" s="1733"/>
      <c r="K32" s="596"/>
    </row>
    <row r="33" spans="1:11" ht="12" customHeight="1" x14ac:dyDescent="0.2">
      <c r="A33" s="594" t="s">
        <v>2068</v>
      </c>
      <c r="B33" s="595"/>
      <c r="C33" s="1733">
        <v>7080633</v>
      </c>
      <c r="D33" s="1734">
        <v>7</v>
      </c>
      <c r="E33" s="1733">
        <v>3388762</v>
      </c>
      <c r="F33" s="1733"/>
      <c r="G33" s="1733">
        <v>-1898626</v>
      </c>
      <c r="H33" s="1733"/>
      <c r="I33" s="1735">
        <f t="shared" ref="I33:I48" si="1">((E33+F33)-H33)+G33</f>
        <v>1490136</v>
      </c>
      <c r="J33" s="1733">
        <v>1490136</v>
      </c>
      <c r="K33" s="596"/>
    </row>
    <row r="34" spans="1:11" ht="12" customHeight="1" x14ac:dyDescent="0.2">
      <c r="A34" s="594" t="s">
        <v>2069</v>
      </c>
      <c r="B34" s="595"/>
      <c r="C34" s="1733">
        <v>7350000</v>
      </c>
      <c r="D34" s="1734">
        <v>2</v>
      </c>
      <c r="E34" s="1733">
        <v>1070000</v>
      </c>
      <c r="F34" s="1733"/>
      <c r="G34" s="1733"/>
      <c r="H34" s="1733">
        <v>1070000</v>
      </c>
      <c r="I34" s="1735">
        <f t="shared" si="1"/>
        <v>0</v>
      </c>
      <c r="J34" s="1733"/>
      <c r="K34" s="597"/>
    </row>
    <row r="35" spans="1:11" ht="12" customHeight="1" x14ac:dyDescent="0.2">
      <c r="A35" s="594" t="s">
        <v>2070</v>
      </c>
      <c r="B35" s="595"/>
      <c r="C35" s="1736">
        <v>5600000</v>
      </c>
      <c r="D35" s="1734">
        <v>3</v>
      </c>
      <c r="E35" s="1736">
        <v>5600000</v>
      </c>
      <c r="F35" s="1736"/>
      <c r="G35" s="1736"/>
      <c r="H35" s="1736">
        <v>765000</v>
      </c>
      <c r="I35" s="1735">
        <f t="shared" si="1"/>
        <v>4835000</v>
      </c>
      <c r="J35" s="1736">
        <v>4835000</v>
      </c>
      <c r="K35" s="597"/>
    </row>
    <row r="36" spans="1:11" ht="12" customHeight="1" x14ac:dyDescent="0.2">
      <c r="A36" s="594" t="s">
        <v>2071</v>
      </c>
      <c r="B36" s="595"/>
      <c r="C36" s="1733">
        <v>6320000</v>
      </c>
      <c r="D36" s="1734">
        <v>3</v>
      </c>
      <c r="E36" s="1733">
        <v>6320000</v>
      </c>
      <c r="F36" s="1733"/>
      <c r="G36" s="1733"/>
      <c r="H36" s="1733">
        <v>545000</v>
      </c>
      <c r="I36" s="1735">
        <f t="shared" si="1"/>
        <v>5775000</v>
      </c>
      <c r="J36" s="1733">
        <v>5775000</v>
      </c>
      <c r="K36" s="598"/>
    </row>
    <row r="37" spans="1:11" ht="12" customHeight="1" x14ac:dyDescent="0.2">
      <c r="A37" s="594" t="s">
        <v>2074</v>
      </c>
      <c r="B37" s="595"/>
      <c r="C37" s="1573">
        <v>760000</v>
      </c>
      <c r="D37" s="1737">
        <v>3</v>
      </c>
      <c r="E37" s="1573">
        <v>760000</v>
      </c>
      <c r="F37" s="1573"/>
      <c r="G37" s="1573"/>
      <c r="H37" s="1573">
        <v>170000</v>
      </c>
      <c r="I37" s="1735">
        <f t="shared" si="1"/>
        <v>590000</v>
      </c>
      <c r="J37" s="1573">
        <v>590000</v>
      </c>
      <c r="K37" s="597"/>
    </row>
    <row r="38" spans="1:11" ht="12" customHeight="1" x14ac:dyDescent="0.2">
      <c r="A38" s="594" t="s">
        <v>2075</v>
      </c>
      <c r="B38" s="595"/>
      <c r="C38" s="1733">
        <v>5290000</v>
      </c>
      <c r="D38" s="1738">
        <v>3</v>
      </c>
      <c r="E38" s="1739"/>
      <c r="F38" s="1739">
        <v>5290000</v>
      </c>
      <c r="G38" s="1739"/>
      <c r="H38" s="1739"/>
      <c r="I38" s="1735">
        <f t="shared" si="1"/>
        <v>5290000</v>
      </c>
      <c r="J38" s="1740">
        <v>5290000</v>
      </c>
      <c r="K38" s="599"/>
    </row>
    <row r="39" spans="1:11" ht="12" customHeight="1" x14ac:dyDescent="0.2">
      <c r="A39" s="594" t="s">
        <v>2076</v>
      </c>
      <c r="B39" s="595"/>
      <c r="C39" s="1733">
        <v>4795000</v>
      </c>
      <c r="D39" s="1738">
        <v>3</v>
      </c>
      <c r="E39" s="1739"/>
      <c r="F39" s="1739">
        <v>4795000</v>
      </c>
      <c r="G39" s="1739"/>
      <c r="H39" s="1739"/>
      <c r="I39" s="1735">
        <f t="shared" si="1"/>
        <v>4795000</v>
      </c>
      <c r="J39" s="1740">
        <v>4795000</v>
      </c>
      <c r="K39" s="599"/>
    </row>
    <row r="40" spans="1:11" ht="12" customHeight="1" x14ac:dyDescent="0.2">
      <c r="A40" s="594" t="s">
        <v>2072</v>
      </c>
      <c r="B40" s="595"/>
      <c r="C40" s="1733">
        <v>2620000</v>
      </c>
      <c r="D40" s="1738">
        <v>8</v>
      </c>
      <c r="E40" s="1739">
        <v>1585000</v>
      </c>
      <c r="F40" s="1739"/>
      <c r="G40" s="1739"/>
      <c r="H40" s="1739">
        <v>140000</v>
      </c>
      <c r="I40" s="1735">
        <f t="shared" si="1"/>
        <v>1445000</v>
      </c>
      <c r="J40" s="1740">
        <v>1445000</v>
      </c>
      <c r="K40" s="599"/>
    </row>
    <row r="41" spans="1:11" ht="12" customHeight="1" x14ac:dyDescent="0.2">
      <c r="A41" s="594" t="s">
        <v>2073</v>
      </c>
      <c r="B41" s="595"/>
      <c r="C41" s="1733">
        <f>786305+423056</f>
        <v>1209361</v>
      </c>
      <c r="D41" s="1738">
        <v>9</v>
      </c>
      <c r="E41" s="1739">
        <v>722211</v>
      </c>
      <c r="F41" s="1739"/>
      <c r="G41" s="1739">
        <v>264650</v>
      </c>
      <c r="H41" s="1739"/>
      <c r="I41" s="1735">
        <f t="shared" si="1"/>
        <v>986861</v>
      </c>
      <c r="J41" s="1740">
        <v>986861</v>
      </c>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51204994</v>
      </c>
      <c r="D49" s="1741"/>
      <c r="E49" s="1735">
        <f t="shared" ref="E49:J49" si="2">SUM(E31:E48)</f>
        <v>25585973</v>
      </c>
      <c r="F49" s="1735">
        <f t="shared" si="2"/>
        <v>10085000</v>
      </c>
      <c r="G49" s="1735">
        <f t="shared" si="2"/>
        <v>-7238976</v>
      </c>
      <c r="H49" s="1735">
        <f t="shared" si="2"/>
        <v>3225000</v>
      </c>
      <c r="I49" s="1735">
        <f t="shared" si="2"/>
        <v>25206997</v>
      </c>
      <c r="J49" s="1735">
        <f t="shared" si="2"/>
        <v>25206997</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99" t="s">
        <v>579</v>
      </c>
      <c r="C52" s="2300"/>
      <c r="D52" s="2300"/>
      <c r="E52" s="603" t="s">
        <v>839</v>
      </c>
      <c r="F52" s="2301" t="s">
        <v>2077</v>
      </c>
      <c r="G52" s="2302"/>
      <c r="H52" s="596"/>
      <c r="I52" s="596"/>
      <c r="J52" s="600"/>
    </row>
    <row r="53" spans="1:11" ht="11.25" customHeight="1" x14ac:dyDescent="0.2">
      <c r="A53" s="604" t="s">
        <v>906</v>
      </c>
      <c r="B53" s="605" t="s">
        <v>944</v>
      </c>
      <c r="C53" s="600"/>
      <c r="D53" s="597"/>
      <c r="E53" s="603" t="s">
        <v>493</v>
      </c>
      <c r="F53" s="2303" t="s">
        <v>2078</v>
      </c>
      <c r="G53" s="2304"/>
      <c r="H53" s="596"/>
      <c r="I53" s="596"/>
      <c r="J53" s="600"/>
    </row>
    <row r="54" spans="1:11" ht="11.25" customHeight="1" x14ac:dyDescent="0.2">
      <c r="A54" s="606" t="s">
        <v>907</v>
      </c>
      <c r="B54" s="601" t="s">
        <v>945</v>
      </c>
      <c r="C54" s="600"/>
      <c r="D54" s="597"/>
      <c r="E54" s="603" t="s">
        <v>494</v>
      </c>
      <c r="F54" s="2303" t="s">
        <v>2079</v>
      </c>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view="pageBreakPreview" colorId="8" zoomScale="6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850</v>
      </c>
      <c r="B1" s="2329"/>
      <c r="C1" s="2329"/>
      <c r="D1" s="2329"/>
      <c r="E1" s="2329"/>
      <c r="F1" s="2329"/>
      <c r="G1" s="2330"/>
      <c r="H1" s="1297"/>
      <c r="I1" s="614"/>
      <c r="J1" s="400"/>
    </row>
    <row r="2" spans="1:11" ht="26.25" x14ac:dyDescent="0.2">
      <c r="A2" s="2347" t="s">
        <v>1657</v>
      </c>
      <c r="B2" s="2348"/>
      <c r="C2" s="2348"/>
      <c r="D2" s="2348"/>
      <c r="E2" s="2349"/>
      <c r="F2" s="615" t="s">
        <v>897</v>
      </c>
      <c r="G2" s="616" t="s">
        <v>1654</v>
      </c>
      <c r="H2" s="616" t="s">
        <v>406</v>
      </c>
      <c r="I2" s="616" t="s">
        <v>1147</v>
      </c>
      <c r="J2" s="616" t="s">
        <v>1787</v>
      </c>
      <c r="K2" s="616" t="s">
        <v>137</v>
      </c>
    </row>
    <row r="3" spans="1:11" x14ac:dyDescent="0.2">
      <c r="A3" s="2350" t="str">
        <f>"Cash Basis Fund Balance as of July 1, "&amp;'AFR20'!E2-1</f>
        <v>Cash Basis Fund Balance as of July 1, 2019</v>
      </c>
      <c r="B3" s="2351"/>
      <c r="C3" s="2351"/>
      <c r="D3" s="2351"/>
      <c r="E3" s="2352"/>
      <c r="F3" s="617"/>
      <c r="G3" s="1743"/>
      <c r="H3" s="1743"/>
      <c r="I3" s="1743"/>
      <c r="J3" s="1744"/>
      <c r="K3" s="1744"/>
    </row>
    <row r="4" spans="1:11" x14ac:dyDescent="0.2">
      <c r="A4" s="2353" t="s">
        <v>365</v>
      </c>
      <c r="B4" s="2354"/>
      <c r="C4" s="2354"/>
      <c r="D4" s="2354"/>
      <c r="E4" s="2300"/>
      <c r="F4" s="620"/>
      <c r="G4" s="1745"/>
      <c r="H4" s="1746"/>
      <c r="I4" s="1745"/>
      <c r="J4" s="1747"/>
      <c r="K4" s="1747"/>
    </row>
    <row r="5" spans="1:11" x14ac:dyDescent="0.2">
      <c r="A5" s="2331" t="s">
        <v>1059</v>
      </c>
      <c r="B5" s="2332"/>
      <c r="C5" s="2332"/>
      <c r="D5" s="2332"/>
      <c r="E5" s="2333"/>
      <c r="F5" s="622" t="s">
        <v>842</v>
      </c>
      <c r="G5" s="1748"/>
      <c r="H5" s="1743"/>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row>
    <row r="10" spans="1:11" x14ac:dyDescent="0.2">
      <c r="A10" s="2331" t="s">
        <v>1788</v>
      </c>
      <c r="B10" s="2332"/>
      <c r="C10" s="2332"/>
      <c r="D10" s="2332"/>
      <c r="E10" s="2334"/>
      <c r="F10" s="633" t="s">
        <v>856</v>
      </c>
      <c r="G10" s="1752"/>
      <c r="H10" s="1753"/>
      <c r="I10" s="1743"/>
      <c r="J10" s="1744"/>
      <c r="K10" s="1744"/>
    </row>
    <row r="11" spans="1:11" x14ac:dyDescent="0.2">
      <c r="A11" s="2331" t="s">
        <v>159</v>
      </c>
      <c r="B11" s="2332"/>
      <c r="C11" s="2332"/>
      <c r="D11" s="2332"/>
      <c r="E11" s="2333"/>
      <c r="F11" s="622" t="s">
        <v>846</v>
      </c>
      <c r="G11" s="1748"/>
      <c r="H11" s="1743"/>
      <c r="I11" s="1743"/>
      <c r="J11" s="1744"/>
      <c r="K11" s="1750"/>
    </row>
    <row r="12" spans="1:11" ht="13.5" thickBot="1" x14ac:dyDescent="0.25">
      <c r="A12" s="2358" t="s">
        <v>898</v>
      </c>
      <c r="B12" s="2359"/>
      <c r="C12" s="2359"/>
      <c r="D12" s="2359"/>
      <c r="E12" s="2360"/>
      <c r="F12" s="1432"/>
      <c r="G12" s="1754">
        <f>SUM(G5:G11)</f>
        <v>0</v>
      </c>
      <c r="H12" s="1754">
        <f>SUM(H5:H11)</f>
        <v>0</v>
      </c>
      <c r="I12" s="1754">
        <f>SUM(I5:I11)</f>
        <v>0</v>
      </c>
      <c r="J12" s="1754">
        <f>SUM(J5:J11)</f>
        <v>0</v>
      </c>
      <c r="K12" s="1754">
        <f>SUM(K5:K11)</f>
        <v>0</v>
      </c>
    </row>
    <row r="13" spans="1:11" ht="13.5" thickTop="1" x14ac:dyDescent="0.2">
      <c r="A13" s="2355" t="s">
        <v>366</v>
      </c>
      <c r="B13" s="2356"/>
      <c r="C13" s="2356"/>
      <c r="D13" s="2356"/>
      <c r="E13" s="2357"/>
      <c r="F13" s="634"/>
      <c r="G13" s="1755"/>
      <c r="H13" s="1756"/>
      <c r="I13" s="1757"/>
      <c r="J13" s="1757"/>
      <c r="K13" s="1757"/>
    </row>
    <row r="14" spans="1:11" x14ac:dyDescent="0.2">
      <c r="A14" s="2338" t="s">
        <v>452</v>
      </c>
      <c r="B14" s="2338"/>
      <c r="C14" s="2338"/>
      <c r="D14" s="2338"/>
      <c r="E14" s="2339"/>
      <c r="F14" s="635" t="s">
        <v>848</v>
      </c>
      <c r="G14" s="1752"/>
      <c r="H14" s="1743"/>
      <c r="I14" s="1748"/>
      <c r="J14" s="1750"/>
      <c r="K14" s="1744"/>
    </row>
    <row r="15" spans="1:11" x14ac:dyDescent="0.2">
      <c r="A15" s="2332" t="s">
        <v>4</v>
      </c>
      <c r="B15" s="2332"/>
      <c r="C15" s="2332"/>
      <c r="D15" s="2332"/>
      <c r="E15" s="2333"/>
      <c r="F15" s="635" t="s">
        <v>849</v>
      </c>
      <c r="G15" s="1748"/>
      <c r="H15" s="1743"/>
      <c r="I15" s="1743"/>
      <c r="J15" s="1744"/>
      <c r="K15" s="1744"/>
    </row>
    <row r="16" spans="1:11" x14ac:dyDescent="0.2">
      <c r="A16" s="2332" t="s">
        <v>294</v>
      </c>
      <c r="B16" s="2332"/>
      <c r="C16" s="2332"/>
      <c r="D16" s="2332"/>
      <c r="E16" s="2333"/>
      <c r="F16" s="635" t="s">
        <v>916</v>
      </c>
      <c r="G16" s="1749"/>
      <c r="H16" s="1745"/>
      <c r="I16" s="1745"/>
      <c r="J16" s="1747"/>
      <c r="K16" s="1747"/>
    </row>
    <row r="17" spans="1:15" x14ac:dyDescent="0.2">
      <c r="A17" s="2365" t="s">
        <v>928</v>
      </c>
      <c r="B17" s="2365"/>
      <c r="C17" s="2365"/>
      <c r="D17" s="2365"/>
      <c r="E17" s="2366"/>
      <c r="F17" s="636"/>
      <c r="G17" s="1758"/>
      <c r="H17" s="1759"/>
      <c r="I17" s="1759"/>
      <c r="J17" s="1760"/>
      <c r="K17" s="1761"/>
    </row>
    <row r="18" spans="1:15" x14ac:dyDescent="0.2">
      <c r="A18" s="2342" t="s">
        <v>364</v>
      </c>
      <c r="B18" s="2343"/>
      <c r="C18" s="2343"/>
      <c r="D18" s="2343"/>
      <c r="E18" s="2344"/>
      <c r="F18" s="635" t="s">
        <v>925</v>
      </c>
      <c r="G18" s="1752"/>
      <c r="H18" s="1752"/>
      <c r="I18" s="1752"/>
      <c r="J18" s="1744"/>
      <c r="K18" s="1762"/>
    </row>
    <row r="19" spans="1:15" ht="21.75" customHeight="1" x14ac:dyDescent="0.2">
      <c r="A19" s="2340" t="s">
        <v>1784</v>
      </c>
      <c r="B19" s="2340"/>
      <c r="C19" s="2340"/>
      <c r="D19" s="2340"/>
      <c r="E19" s="2341"/>
      <c r="F19" s="635" t="s">
        <v>926</v>
      </c>
      <c r="G19" s="1752"/>
      <c r="H19" s="1752"/>
      <c r="I19" s="1752"/>
      <c r="J19" s="1744"/>
      <c r="K19" s="1762"/>
    </row>
    <row r="20" spans="1:15" x14ac:dyDescent="0.2">
      <c r="A20" s="2342" t="s">
        <v>1789</v>
      </c>
      <c r="B20" s="2343"/>
      <c r="C20" s="2343"/>
      <c r="D20" s="2343"/>
      <c r="E20" s="2344"/>
      <c r="F20" s="635" t="s">
        <v>927</v>
      </c>
      <c r="G20" s="1752"/>
      <c r="H20" s="1752"/>
      <c r="I20" s="1752"/>
      <c r="J20" s="1744"/>
      <c r="K20" s="1762"/>
    </row>
    <row r="21" spans="1:15" ht="13.5" thickBot="1" x14ac:dyDescent="0.25">
      <c r="A21" s="2361" t="s">
        <v>632</v>
      </c>
      <c r="B21" s="2361"/>
      <c r="C21" s="2361"/>
      <c r="D21" s="2361"/>
      <c r="E21" s="2361"/>
      <c r="F21" s="1433"/>
      <c r="G21" s="1759"/>
      <c r="H21" s="1763"/>
      <c r="I21" s="1763"/>
      <c r="J21" s="1764">
        <f>SUM(J18:J20)</f>
        <v>0</v>
      </c>
      <c r="K21" s="1760"/>
    </row>
    <row r="22" spans="1:15" ht="13.5" thickTop="1" x14ac:dyDescent="0.2">
      <c r="A22" s="2332" t="s">
        <v>1790</v>
      </c>
      <c r="B22" s="2332"/>
      <c r="C22" s="2332"/>
      <c r="D22" s="2332"/>
      <c r="E22" s="2333"/>
      <c r="F22" s="635" t="s">
        <v>856</v>
      </c>
      <c r="G22" s="1752"/>
      <c r="H22" s="1743"/>
      <c r="I22" s="1743"/>
      <c r="J22" s="1765"/>
      <c r="K22" s="1744"/>
    </row>
    <row r="23" spans="1:15" ht="13.5" thickBot="1" x14ac:dyDescent="0.25">
      <c r="A23" s="2362" t="s">
        <v>899</v>
      </c>
      <c r="B23" s="2361"/>
      <c r="C23" s="2361"/>
      <c r="D23" s="2361"/>
      <c r="E23" s="2361"/>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63" t="str">
        <f>"Ending Cash Basis Fund Balance as of June 30, "&amp;'AFR20'!E2</f>
        <v>Ending Cash Basis Fund Balance as of June 30, 2020</v>
      </c>
      <c r="B24" s="2364"/>
      <c r="C24" s="2364"/>
      <c r="D24" s="2364"/>
      <c r="E24" s="236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5"/>
      <c r="I31" s="2336"/>
      <c r="J31" s="2336"/>
      <c r="K31" s="2336"/>
    </row>
    <row r="32" spans="1:15" x14ac:dyDescent="0.2">
      <c r="A32" s="649"/>
      <c r="B32" s="232"/>
      <c r="C32" s="232"/>
      <c r="D32" s="232"/>
      <c r="E32" s="645"/>
      <c r="F32" s="651" t="s">
        <v>536</v>
      </c>
      <c r="G32" s="618"/>
      <c r="H32" s="2337"/>
      <c r="I32" s="2336"/>
      <c r="J32" s="2336"/>
      <c r="K32" s="2336"/>
    </row>
    <row r="33" spans="1:11" ht="1.5" customHeight="1" x14ac:dyDescent="0.2">
      <c r="A33" s="652" t="s">
        <v>1158</v>
      </c>
      <c r="B33" s="341"/>
      <c r="C33" s="341"/>
      <c r="D33" s="341"/>
      <c r="E33" s="341"/>
      <c r="F33" s="341"/>
      <c r="G33" s="653"/>
      <c r="H33" s="2337"/>
      <c r="I33" s="2336"/>
      <c r="J33" s="2336"/>
      <c r="K33" s="2336"/>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2" t="s">
        <v>537</v>
      </c>
      <c r="B41" s="2345"/>
      <c r="C41" s="2345"/>
      <c r="D41" s="2345"/>
      <c r="E41" s="2345"/>
      <c r="F41" s="234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1785</v>
      </c>
      <c r="B46" s="382" t="s">
        <v>1655</v>
      </c>
    </row>
    <row r="47" spans="1:11" s="663" customFormat="1" ht="12.75" customHeight="1" x14ac:dyDescent="0.2">
      <c r="A47" s="661"/>
      <c r="B47" s="662" t="s">
        <v>1656</v>
      </c>
      <c r="E47" s="662"/>
      <c r="K47" s="664"/>
    </row>
    <row r="48" spans="1:11" ht="12.75" customHeight="1" x14ac:dyDescent="0.2">
      <c r="A48" s="1299"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view="pageBreakPreview" colorId="8" zoomScaleNormal="110" zoomScaleSheetLayoutView="10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1873</v>
      </c>
      <c r="B1" s="2370"/>
      <c r="C1" s="2371"/>
      <c r="D1" s="666"/>
      <c r="E1" s="667"/>
      <c r="F1" s="667"/>
      <c r="G1" s="668"/>
      <c r="H1" s="669"/>
      <c r="I1" s="670"/>
      <c r="J1" s="2367"/>
      <c r="K1" s="2368"/>
      <c r="L1" s="2368"/>
    </row>
    <row r="2" spans="1:14" ht="69.75" customHeight="1" x14ac:dyDescent="0.2">
      <c r="A2" s="671" t="s">
        <v>1658</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234520</v>
      </c>
      <c r="D5" s="1769"/>
      <c r="E5" s="1769"/>
      <c r="F5" s="1764">
        <f>(C5+D5)-E5</f>
        <v>234520</v>
      </c>
      <c r="G5" s="676"/>
      <c r="H5" s="680"/>
      <c r="I5" s="680"/>
      <c r="J5" s="680"/>
      <c r="K5" s="637"/>
      <c r="L5" s="1441">
        <f>F5-K5</f>
        <v>234520</v>
      </c>
    </row>
    <row r="6" spans="1:14" ht="14.25" thickTop="1" thickBot="1" x14ac:dyDescent="0.25">
      <c r="A6" s="629" t="s">
        <v>1106</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1107</v>
      </c>
      <c r="B8" s="679">
        <v>231</v>
      </c>
      <c r="C8" s="1770">
        <v>47322721</v>
      </c>
      <c r="D8" s="1770">
        <v>638832</v>
      </c>
      <c r="E8" s="1770"/>
      <c r="F8" s="1764">
        <f>(C8+D8)-E8</f>
        <v>47961553</v>
      </c>
      <c r="G8" s="681">
        <v>50</v>
      </c>
      <c r="H8" s="619"/>
      <c r="I8" s="619"/>
      <c r="J8" s="619"/>
      <c r="K8" s="1441">
        <f>(H8+I8)-J8</f>
        <v>0</v>
      </c>
      <c r="L8" s="1441">
        <f>F8-K8</f>
        <v>47961553</v>
      </c>
    </row>
    <row r="9" spans="1:14" ht="14.25" thickTop="1" thickBot="1" x14ac:dyDescent="0.25">
      <c r="A9" s="629" t="s">
        <v>1108</v>
      </c>
      <c r="B9" s="679">
        <v>232</v>
      </c>
      <c r="C9" s="1744"/>
      <c r="D9" s="1744"/>
      <c r="E9" s="1744"/>
      <c r="F9" s="1764">
        <f>(C9+D9)-E9</f>
        <v>0</v>
      </c>
      <c r="G9" s="681">
        <v>20</v>
      </c>
      <c r="H9" s="619"/>
      <c r="I9" s="619"/>
      <c r="J9" s="619"/>
      <c r="K9" s="1441">
        <f>(H9+I9)-J9</f>
        <v>0</v>
      </c>
      <c r="L9" s="1441">
        <f>F9-K9</f>
        <v>0</v>
      </c>
    </row>
    <row r="10" spans="1:14" ht="24" thickTop="1" thickBot="1" x14ac:dyDescent="0.25">
      <c r="A10" s="682" t="s">
        <v>1109</v>
      </c>
      <c r="B10" s="679">
        <v>240</v>
      </c>
      <c r="C10" s="1771">
        <v>3385145</v>
      </c>
      <c r="D10" s="1771"/>
      <c r="E10" s="1771"/>
      <c r="F10" s="1772">
        <f>(C10+D10)-E10</f>
        <v>3385145</v>
      </c>
      <c r="G10" s="681">
        <v>20</v>
      </c>
      <c r="H10" s="683"/>
      <c r="I10" s="683"/>
      <c r="J10" s="683"/>
      <c r="K10" s="1441">
        <f>(H10+I10)-J10</f>
        <v>0</v>
      </c>
      <c r="L10" s="1441">
        <f>F10-K10</f>
        <v>3385145</v>
      </c>
    </row>
    <row r="11" spans="1:14" ht="13.5" thickTop="1" x14ac:dyDescent="0.2">
      <c r="A11" s="1366" t="s">
        <v>1125</v>
      </c>
      <c r="B11" s="1364">
        <v>250</v>
      </c>
      <c r="C11" s="1751"/>
      <c r="D11" s="1751"/>
      <c r="E11" s="1751"/>
      <c r="F11" s="1750"/>
      <c r="G11" s="681"/>
      <c r="H11" s="632"/>
      <c r="I11" s="632"/>
      <c r="J11" s="632"/>
      <c r="K11" s="624"/>
      <c r="L11" s="624"/>
    </row>
    <row r="12" spans="1:14" ht="13.5" thickBot="1" x14ac:dyDescent="0.25">
      <c r="A12" s="684" t="s">
        <v>1110</v>
      </c>
      <c r="B12" s="679">
        <v>251</v>
      </c>
      <c r="C12" s="1770"/>
      <c r="D12" s="1770"/>
      <c r="E12" s="1770"/>
      <c r="F12" s="1764">
        <f>(C12+D12)-E12</f>
        <v>0</v>
      </c>
      <c r="G12" s="681">
        <v>10</v>
      </c>
      <c r="H12" s="619"/>
      <c r="I12" s="619"/>
      <c r="J12" s="619"/>
      <c r="K12" s="1441">
        <f>(H12+I12)-J12</f>
        <v>0</v>
      </c>
      <c r="L12" s="1441">
        <f>F12-K12</f>
        <v>0</v>
      </c>
    </row>
    <row r="13" spans="1:14" ht="14.25" thickTop="1" thickBot="1" x14ac:dyDescent="0.25">
      <c r="A13" s="684" t="s">
        <v>1111</v>
      </c>
      <c r="B13" s="679">
        <v>252</v>
      </c>
      <c r="C13" s="1770">
        <v>9098463</v>
      </c>
      <c r="D13" s="1770">
        <v>11880</v>
      </c>
      <c r="E13" s="1770"/>
      <c r="F13" s="1764">
        <f>(C13+D13)-E13</f>
        <v>9110343</v>
      </c>
      <c r="G13" s="681">
        <v>5</v>
      </c>
      <c r="H13" s="619"/>
      <c r="I13" s="619"/>
      <c r="J13" s="619"/>
      <c r="K13" s="1441">
        <f>(H13+I13)-J13</f>
        <v>0</v>
      </c>
      <c r="L13" s="1441">
        <f>F13-K13</f>
        <v>9110343</v>
      </c>
    </row>
    <row r="14" spans="1:14" ht="14.25" thickTop="1" thickBot="1" x14ac:dyDescent="0.25">
      <c r="A14" s="684" t="s">
        <v>1112</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524</v>
      </c>
      <c r="B15" s="1364">
        <v>260</v>
      </c>
      <c r="C15" s="1770"/>
      <c r="D15" s="1770"/>
      <c r="E15" s="1770"/>
      <c r="F15" s="1764">
        <f>(C15+D15)-E15</f>
        <v>0</v>
      </c>
      <c r="G15" s="685" t="s">
        <v>856</v>
      </c>
      <c r="H15" s="632"/>
      <c r="I15" s="632"/>
      <c r="J15" s="632"/>
      <c r="K15" s="632"/>
      <c r="L15" s="1441">
        <f>F15-K15</f>
        <v>0</v>
      </c>
    </row>
    <row r="16" spans="1:14" ht="15" customHeight="1" thickTop="1" thickBot="1" x14ac:dyDescent="0.25">
      <c r="A16" s="1437" t="s">
        <v>637</v>
      </c>
      <c r="B16" s="1438">
        <v>200</v>
      </c>
      <c r="C16" s="1764">
        <f>SUM(C3,C5:C6,C8:C10,C12:C15)</f>
        <v>60040849</v>
      </c>
      <c r="D16" s="1764">
        <f>SUM(D3,D5:D6,D8:D10,D12:D15)</f>
        <v>650712</v>
      </c>
      <c r="E16" s="1764">
        <f>SUM(E3,E5:E6,E8:E10,E12:E15)</f>
        <v>0</v>
      </c>
      <c r="F16" s="1764">
        <f>SUM(F3,F5:F6,F8:F10,F12:F15)</f>
        <v>60691561</v>
      </c>
      <c r="G16" s="681"/>
      <c r="H16" s="1434">
        <f>SUM(H3,H6,H8:H10,H12:H14,)</f>
        <v>0</v>
      </c>
      <c r="I16" s="1434">
        <f>SUM(I3,I6,I8:I10,I12:I14,)</f>
        <v>0</v>
      </c>
      <c r="J16" s="1434">
        <f>SUM(J3,J6,J8:J10,J12:J14,)</f>
        <v>0</v>
      </c>
      <c r="K16" s="1434">
        <f>(H16+I16)-J16</f>
        <v>0</v>
      </c>
      <c r="L16" s="1434">
        <f>F16-K16</f>
        <v>60691561</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401937</v>
      </c>
      <c r="G17" s="676">
        <v>10</v>
      </c>
      <c r="H17" s="621"/>
      <c r="I17" s="1441">
        <f>F17/G17</f>
        <v>40193.699999999997</v>
      </c>
      <c r="J17" s="621"/>
      <c r="K17" s="638"/>
      <c r="L17" s="638"/>
    </row>
    <row r="18" spans="1:12" ht="14.25" thickTop="1" thickBot="1" x14ac:dyDescent="0.25">
      <c r="A18" s="1439" t="s">
        <v>679</v>
      </c>
      <c r="B18" s="1440"/>
      <c r="C18" s="623"/>
      <c r="D18" s="623"/>
      <c r="E18" s="623"/>
      <c r="F18" s="686"/>
      <c r="G18" s="687"/>
      <c r="H18" s="624"/>
      <c r="I18" s="1434">
        <f>SUM(I16,I17)</f>
        <v>40193.699999999997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view="pageBreakPreview" colorId="8" zoomScale="60" zoomScaleNormal="10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473</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81"/>
      <c r="B5" s="2382"/>
      <c r="C5" s="2382"/>
      <c r="D5" s="2382"/>
      <c r="E5" s="2382"/>
      <c r="F5" s="2382"/>
    </row>
    <row r="6" spans="1:9" ht="13.5" customHeight="1" thickBot="1" x14ac:dyDescent="0.25">
      <c r="A6" s="2372" t="s">
        <v>1094</v>
      </c>
      <c r="B6" s="2373"/>
      <c r="C6" s="2373"/>
      <c r="D6" s="2373"/>
      <c r="E6" s="2373"/>
      <c r="F6" s="237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3">
        <f>'Expenditures 15-22'!K114</f>
        <v>32154729</v>
      </c>
      <c r="G8" s="701"/>
    </row>
    <row r="9" spans="1:9" x14ac:dyDescent="0.2">
      <c r="A9" s="705" t="s">
        <v>456</v>
      </c>
      <c r="B9" s="706" t="s">
        <v>1846</v>
      </c>
      <c r="C9" s="707"/>
      <c r="D9" s="705" t="s">
        <v>497</v>
      </c>
      <c r="E9" s="704"/>
      <c r="F9" s="1774">
        <f>'Expenditures 15-22'!K151</f>
        <v>3897154</v>
      </c>
      <c r="G9" s="708"/>
    </row>
    <row r="10" spans="1:9" x14ac:dyDescent="0.2">
      <c r="A10" s="705" t="s">
        <v>495</v>
      </c>
      <c r="B10" s="706" t="s">
        <v>1847</v>
      </c>
      <c r="C10" s="707"/>
      <c r="D10" s="705" t="s">
        <v>497</v>
      </c>
      <c r="E10" s="704"/>
      <c r="F10" s="1774">
        <f>'Expenditures 15-22'!K174</f>
        <v>4500873</v>
      </c>
      <c r="G10" s="708"/>
    </row>
    <row r="11" spans="1:9" x14ac:dyDescent="0.2">
      <c r="A11" s="705" t="s">
        <v>457</v>
      </c>
      <c r="B11" s="706" t="s">
        <v>1848</v>
      </c>
      <c r="C11" s="707"/>
      <c r="D11" s="705" t="s">
        <v>497</v>
      </c>
      <c r="E11" s="704"/>
      <c r="F11" s="1774">
        <f>'Expenditures 15-22'!K210</f>
        <v>814056</v>
      </c>
      <c r="G11" s="708"/>
    </row>
    <row r="12" spans="1:9" x14ac:dyDescent="0.2">
      <c r="A12" s="705" t="s">
        <v>458</v>
      </c>
      <c r="B12" s="706" t="s">
        <v>1849</v>
      </c>
      <c r="C12" s="707"/>
      <c r="D12" s="705" t="s">
        <v>497</v>
      </c>
      <c r="E12" s="704"/>
      <c r="F12" s="1774">
        <f>'Expenditures 15-22'!K295</f>
        <v>741432</v>
      </c>
      <c r="G12" s="708"/>
    </row>
    <row r="13" spans="1:9" x14ac:dyDescent="0.2">
      <c r="A13" s="705" t="s">
        <v>106</v>
      </c>
      <c r="B13" s="706" t="s">
        <v>1850</v>
      </c>
      <c r="C13" s="707"/>
      <c r="D13" s="705" t="s">
        <v>497</v>
      </c>
      <c r="E13" s="704"/>
      <c r="F13" s="1774">
        <f>'Expenditures 15-22'!K342</f>
        <v>312309</v>
      </c>
      <c r="G13" s="709"/>
    </row>
    <row r="14" spans="1:9" ht="12" customHeight="1" thickBot="1" x14ac:dyDescent="0.25">
      <c r="A14" s="1442"/>
      <c r="B14" s="1443"/>
      <c r="C14" s="1444"/>
      <c r="D14" s="1445" t="s">
        <v>497</v>
      </c>
      <c r="E14" s="1446" t="s">
        <v>951</v>
      </c>
      <c r="F14" s="1775">
        <f>SUM(F8:F13)</f>
        <v>42420553</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1087</v>
      </c>
      <c r="B29" s="706" t="s">
        <v>804</v>
      </c>
      <c r="C29" s="716">
        <f>'Revenues 9-14'!B149</f>
        <v>3410</v>
      </c>
      <c r="D29" s="717" t="str">
        <f>'Revenues 9-14'!A149</f>
        <v>Adult Ed (from ICCB)</v>
      </c>
      <c r="E29" s="704"/>
      <c r="F29" s="1781">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82">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1907</v>
      </c>
      <c r="C33" s="711">
        <f>'Revenues 9-14'!B222</f>
        <v>4810</v>
      </c>
      <c r="D33" s="718" t="str">
        <f>'Revenues 9-14'!A222</f>
        <v>Federal - Adult Education</v>
      </c>
      <c r="E33" s="704"/>
      <c r="F33" s="1781">
        <f>'Revenues 9-14'!D222</f>
        <v>0</v>
      </c>
      <c r="G33" s="701"/>
    </row>
    <row r="34" spans="1:7" x14ac:dyDescent="0.2">
      <c r="A34" s="705" t="s">
        <v>455</v>
      </c>
      <c r="B34" s="705" t="s">
        <v>1451</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229733</v>
      </c>
      <c r="G36" s="701"/>
    </row>
    <row r="37" spans="1:7" x14ac:dyDescent="0.2">
      <c r="A37" s="705" t="s">
        <v>455</v>
      </c>
      <c r="B37" s="705" t="s">
        <v>1453</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1">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235630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1456</v>
      </c>
      <c r="C52" s="724" t="str">
        <f>'Expenditures 15-22'!B75</f>
        <v>3000</v>
      </c>
      <c r="D52" s="723" t="s">
        <v>445</v>
      </c>
      <c r="E52" s="704"/>
      <c r="F52" s="1781">
        <f>'Expenditures 15-22'!K75-SUM('Expenditures 15-22'!G75,'Expenditures 15-22'!I75)</f>
        <v>646416</v>
      </c>
      <c r="G52" s="701"/>
    </row>
    <row r="53" spans="1:7" x14ac:dyDescent="0.2">
      <c r="A53" s="705" t="s">
        <v>455</v>
      </c>
      <c r="B53" s="705" t="s">
        <v>1457</v>
      </c>
      <c r="C53" s="724">
        <f>'Expenditures 15-22'!B102</f>
        <v>4000</v>
      </c>
      <c r="D53" s="723" t="str">
        <f>'Expenditures 15-22'!A102</f>
        <v>Total Payments to Other Govt Units</v>
      </c>
      <c r="E53" s="704"/>
      <c r="F53" s="1781">
        <f>'Expenditures 15-22'!K102</f>
        <v>2297456</v>
      </c>
      <c r="G53" s="701"/>
    </row>
    <row r="54" spans="1:7" x14ac:dyDescent="0.2">
      <c r="A54" s="705" t="s">
        <v>455</v>
      </c>
      <c r="B54" s="705" t="s">
        <v>1458</v>
      </c>
      <c r="C54" s="724" t="s">
        <v>974</v>
      </c>
      <c r="D54" s="720" t="s">
        <v>1085</v>
      </c>
      <c r="E54" s="704"/>
      <c r="F54" s="1781">
        <f>'Expenditures 15-22'!G114</f>
        <v>140492</v>
      </c>
      <c r="G54" s="701"/>
    </row>
    <row r="55" spans="1:7" x14ac:dyDescent="0.2">
      <c r="A55" s="705" t="s">
        <v>455</v>
      </c>
      <c r="B55" s="705" t="s">
        <v>1459</v>
      </c>
      <c r="C55" s="724" t="s">
        <v>974</v>
      </c>
      <c r="D55" s="720" t="s">
        <v>287</v>
      </c>
      <c r="E55" s="704"/>
      <c r="F55" s="1781">
        <f>'Expenditures 15-22'!I114</f>
        <v>401937</v>
      </c>
      <c r="G55" s="701"/>
    </row>
    <row r="56" spans="1:7" x14ac:dyDescent="0.2">
      <c r="A56" s="705" t="s">
        <v>456</v>
      </c>
      <c r="B56" s="705" t="s">
        <v>1460</v>
      </c>
      <c r="C56" s="721" t="str">
        <f>'Expenditures 15-22'!B130</f>
        <v>3000</v>
      </c>
      <c r="D56" s="727" t="s">
        <v>445</v>
      </c>
      <c r="E56" s="704"/>
      <c r="F56" s="1781">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81">
        <f>'Expenditures 15-22'!K139</f>
        <v>0</v>
      </c>
      <c r="G57" s="701"/>
    </row>
    <row r="58" spans="1:7" x14ac:dyDescent="0.2">
      <c r="A58" s="705" t="s">
        <v>456</v>
      </c>
      <c r="B58" s="705" t="s">
        <v>1852</v>
      </c>
      <c r="C58" s="721" t="s">
        <v>974</v>
      </c>
      <c r="D58" s="720" t="s">
        <v>1085</v>
      </c>
      <c r="E58" s="704"/>
      <c r="F58" s="1783">
        <f>'Expenditures 15-22'!G151</f>
        <v>729171</v>
      </c>
      <c r="G58" s="701"/>
    </row>
    <row r="59" spans="1:7" x14ac:dyDescent="0.2">
      <c r="A59" s="728" t="s">
        <v>456</v>
      </c>
      <c r="B59" s="692" t="s">
        <v>1853</v>
      </c>
      <c r="C59" s="729" t="s">
        <v>974</v>
      </c>
      <c r="D59" s="692" t="s">
        <v>287</v>
      </c>
      <c r="F59" s="1784">
        <f>'Expenditures 15-22'!I151</f>
        <v>0</v>
      </c>
      <c r="G59" s="701"/>
    </row>
    <row r="60" spans="1:7" x14ac:dyDescent="0.2">
      <c r="A60" s="728" t="s">
        <v>495</v>
      </c>
      <c r="B60" s="692" t="s">
        <v>1854</v>
      </c>
      <c r="C60" s="729">
        <v>4000</v>
      </c>
      <c r="D60" s="692" t="s">
        <v>308</v>
      </c>
      <c r="F60" s="1782">
        <f>'Expenditures 15-22'!K160</f>
        <v>0</v>
      </c>
      <c r="G60" s="701"/>
    </row>
    <row r="61" spans="1:7" x14ac:dyDescent="0.2">
      <c r="A61" s="730" t="s">
        <v>495</v>
      </c>
      <c r="B61" s="730" t="s">
        <v>1855</v>
      </c>
      <c r="C61" s="731" t="str">
        <f>'Expenditures 15-22'!B170</f>
        <v>5300</v>
      </c>
      <c r="D61" s="732" t="s">
        <v>307</v>
      </c>
      <c r="E61" s="715"/>
      <c r="F61" s="1781">
        <f>'Expenditures 15-22'!K170</f>
        <v>3225000</v>
      </c>
      <c r="G61" s="701"/>
    </row>
    <row r="62" spans="1:7" x14ac:dyDescent="0.2">
      <c r="A62" s="705" t="s">
        <v>457</v>
      </c>
      <c r="B62" s="705" t="s">
        <v>1856</v>
      </c>
      <c r="C62" s="721">
        <f>'Expenditures 15-22'!B185</f>
        <v>3000</v>
      </c>
      <c r="D62" s="712" t="s">
        <v>445</v>
      </c>
      <c r="E62" s="704"/>
      <c r="F62" s="1781">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1858</v>
      </c>
      <c r="C64" s="731" t="str">
        <f>'Expenditures 15-22'!B206</f>
        <v>5300</v>
      </c>
      <c r="D64" s="727" t="s">
        <v>307</v>
      </c>
      <c r="E64" s="704"/>
      <c r="F64" s="1781">
        <f>'Expenditures 15-22'!K206</f>
        <v>0</v>
      </c>
      <c r="G64" s="701"/>
    </row>
    <row r="65" spans="1:9" x14ac:dyDescent="0.2">
      <c r="A65" s="705" t="s">
        <v>457</v>
      </c>
      <c r="B65" s="705" t="s">
        <v>1859</v>
      </c>
      <c r="C65" s="721" t="s">
        <v>974</v>
      </c>
      <c r="D65" s="720" t="s">
        <v>1085</v>
      </c>
      <c r="E65" s="704"/>
      <c r="F65" s="1781">
        <f>'Expenditures 15-22'!G210</f>
        <v>0</v>
      </c>
      <c r="G65" s="701"/>
    </row>
    <row r="66" spans="1:9" x14ac:dyDescent="0.2">
      <c r="A66" s="705" t="s">
        <v>457</v>
      </c>
      <c r="B66" s="705" t="s">
        <v>1860</v>
      </c>
      <c r="C66" s="721" t="s">
        <v>974</v>
      </c>
      <c r="D66" s="720" t="s">
        <v>287</v>
      </c>
      <c r="E66" s="704"/>
      <c r="F66" s="1781">
        <f>'Expenditures 15-22'!I210</f>
        <v>0</v>
      </c>
      <c r="G66" s="701"/>
    </row>
    <row r="67" spans="1:9" x14ac:dyDescent="0.2">
      <c r="A67" s="705" t="s">
        <v>458</v>
      </c>
      <c r="B67" s="705" t="s">
        <v>1861</v>
      </c>
      <c r="C67" s="721" t="str">
        <f>'Expenditures 15-22'!B216</f>
        <v>1125</v>
      </c>
      <c r="D67" s="727" t="str">
        <f>'Expenditures 15-22'!A216</f>
        <v>Pre-K Programs</v>
      </c>
      <c r="E67" s="704"/>
      <c r="F67" s="1781">
        <f>'Expenditures 15-22'!K216</f>
        <v>0</v>
      </c>
      <c r="G67" s="701"/>
    </row>
    <row r="68" spans="1:9" x14ac:dyDescent="0.2">
      <c r="A68" s="705" t="s">
        <v>458</v>
      </c>
      <c r="B68" s="705" t="s">
        <v>1461</v>
      </c>
      <c r="C68" s="721" t="str">
        <f>'Expenditures 15-22'!B218</f>
        <v>1225</v>
      </c>
      <c r="D68" s="727" t="str">
        <f>'Expenditures 15-22'!A218</f>
        <v>Special Education Programs - Pre-K</v>
      </c>
      <c r="E68" s="704"/>
      <c r="F68" s="1781">
        <f>'Expenditures 15-22'!K218</f>
        <v>0</v>
      </c>
      <c r="G68" s="701"/>
    </row>
    <row r="69" spans="1:9" x14ac:dyDescent="0.2">
      <c r="A69" s="705" t="s">
        <v>458</v>
      </c>
      <c r="B69" s="705" t="s">
        <v>1862</v>
      </c>
      <c r="C69" s="721" t="str">
        <f>'Expenditures 15-22'!B220</f>
        <v>1275</v>
      </c>
      <c r="D69" s="727" t="str">
        <f>'Expenditures 15-22'!A220</f>
        <v>Remedial and Supplemental Programs - Pre-K</v>
      </c>
      <c r="E69" s="704"/>
      <c r="F69" s="1781">
        <f>'Expenditures 15-22'!K220</f>
        <v>5792</v>
      </c>
      <c r="G69" s="701"/>
    </row>
    <row r="70" spans="1:9" x14ac:dyDescent="0.2">
      <c r="A70" s="705" t="s">
        <v>458</v>
      </c>
      <c r="B70" s="705" t="s">
        <v>1863</v>
      </c>
      <c r="C70" s="721">
        <f>'Expenditures 15-22'!B221</f>
        <v>1300</v>
      </c>
      <c r="D70" s="722" t="str">
        <f>'Expenditures 15-22'!A221</f>
        <v>Adult/Continuing Education Programs</v>
      </c>
      <c r="E70" s="704"/>
      <c r="F70" s="1781">
        <f>'Expenditures 15-22'!K221</f>
        <v>0</v>
      </c>
      <c r="G70" s="701"/>
    </row>
    <row r="71" spans="1:9" x14ac:dyDescent="0.2">
      <c r="A71" s="705" t="s">
        <v>458</v>
      </c>
      <c r="B71" s="705" t="s">
        <v>1864</v>
      </c>
      <c r="C71" s="721">
        <f>'Expenditures 15-22'!B224</f>
        <v>1600</v>
      </c>
      <c r="D71" s="722" t="str">
        <f>'Expenditures 15-22'!A224</f>
        <v>Summer School Programs</v>
      </c>
      <c r="E71" s="704"/>
      <c r="F71" s="1781">
        <f>'Expenditures 15-22'!K224</f>
        <v>0</v>
      </c>
      <c r="G71" s="701"/>
    </row>
    <row r="72" spans="1:9" x14ac:dyDescent="0.2">
      <c r="A72" s="705" t="s">
        <v>458</v>
      </c>
      <c r="B72" s="705" t="s">
        <v>1865</v>
      </c>
      <c r="C72" s="721">
        <f>'Expenditures 15-22'!B280</f>
        <v>3000</v>
      </c>
      <c r="D72" s="712" t="s">
        <v>445</v>
      </c>
      <c r="E72" s="704"/>
      <c r="F72" s="1781">
        <f>'Expenditures 15-22'!K280</f>
        <v>8239</v>
      </c>
      <c r="G72" s="701"/>
    </row>
    <row r="73" spans="1:9" x14ac:dyDescent="0.2">
      <c r="A73" s="705" t="s">
        <v>458</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1867</v>
      </c>
      <c r="C74" s="721" t="s">
        <v>854</v>
      </c>
      <c r="D74" s="722" t="s">
        <v>1469</v>
      </c>
      <c r="E74" s="704"/>
      <c r="F74" s="1785">
        <f>'Expenditures 15-22'!K334</f>
        <v>0</v>
      </c>
      <c r="G74" s="701"/>
    </row>
    <row r="75" spans="1:9" x14ac:dyDescent="0.2">
      <c r="A75" s="705" t="s">
        <v>2006</v>
      </c>
      <c r="B75" s="705" t="s">
        <v>2007</v>
      </c>
      <c r="C75" s="721" t="s">
        <v>974</v>
      </c>
      <c r="D75" s="722" t="s">
        <v>1085</v>
      </c>
      <c r="E75" s="704"/>
      <c r="F75" s="1785">
        <f>'Expenditures 15-22'!G342</f>
        <v>0</v>
      </c>
      <c r="G75" s="701"/>
    </row>
    <row r="76" spans="1:9" ht="10.5" customHeight="1" x14ac:dyDescent="0.2">
      <c r="A76" s="701" t="s">
        <v>432</v>
      </c>
      <c r="B76" s="705" t="s">
        <v>2008</v>
      </c>
      <c r="C76" s="711" t="s">
        <v>974</v>
      </c>
      <c r="D76" s="701" t="s">
        <v>287</v>
      </c>
      <c r="E76" s="704"/>
      <c r="F76" s="1785">
        <f>'Expenditures 15-22'!I342</f>
        <v>0</v>
      </c>
      <c r="G76" s="703"/>
    </row>
    <row r="77" spans="1:9" ht="12" thickBot="1" x14ac:dyDescent="0.25">
      <c r="A77" s="1442"/>
      <c r="B77" s="1447"/>
      <c r="C77" s="1444"/>
      <c r="D77" s="1448" t="s">
        <v>2009</v>
      </c>
      <c r="E77" s="1446" t="s">
        <v>951</v>
      </c>
      <c r="F77" s="1786">
        <f>SUM(F18:F76)</f>
        <v>7919866</v>
      </c>
      <c r="G77" s="701"/>
    </row>
    <row r="78" spans="1:9" s="728" customFormat="1" ht="12" customHeight="1" thickTop="1" thickBot="1" x14ac:dyDescent="0.25">
      <c r="A78" s="1449"/>
      <c r="B78" s="1447"/>
      <c r="C78" s="1444"/>
      <c r="D78" s="1448" t="s">
        <v>2010</v>
      </c>
      <c r="E78" s="1446"/>
      <c r="F78" s="1787">
        <f>(F14-F77)</f>
        <v>34500687</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2117.9</v>
      </c>
      <c r="G79" s="733"/>
      <c r="H79" s="705"/>
      <c r="I79" s="705"/>
    </row>
    <row r="80" spans="1:9" s="728" customFormat="1" ht="12" customHeight="1" thickBot="1" x14ac:dyDescent="0.25">
      <c r="A80" s="1451"/>
      <c r="B80" s="1447"/>
      <c r="C80" s="1444"/>
      <c r="D80" s="1448" t="s">
        <v>2011</v>
      </c>
      <c r="E80" s="1446" t="s">
        <v>951</v>
      </c>
      <c r="F80" s="1789">
        <f>IF(F79&gt;0,F78/F79," Complete Line 79")</f>
        <v>16290.045327919164</v>
      </c>
      <c r="G80" s="705"/>
    </row>
    <row r="81" spans="1:7" s="728" customFormat="1" ht="8.25" customHeight="1" thickTop="1" x14ac:dyDescent="0.2">
      <c r="A81" s="734"/>
      <c r="B81" s="705"/>
      <c r="C81" s="707"/>
      <c r="D81" s="735"/>
      <c r="E81" s="704"/>
      <c r="F81" s="1790"/>
      <c r="G81" s="705"/>
    </row>
    <row r="82" spans="1:7" s="728" customFormat="1" ht="12" thickBot="1" x14ac:dyDescent="0.25">
      <c r="A82" s="2372" t="s">
        <v>1095</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0</v>
      </c>
      <c r="G95" s="745"/>
    </row>
    <row r="96" spans="1:7" x14ac:dyDescent="0.2">
      <c r="A96" s="741" t="s">
        <v>139</v>
      </c>
      <c r="B96" s="741" t="s">
        <v>174</v>
      </c>
      <c r="C96" s="743">
        <v>1700</v>
      </c>
      <c r="D96" s="751" t="str">
        <f>'Revenues 9-14'!A82</f>
        <v>Total District/School Activity Income</v>
      </c>
      <c r="E96" s="739"/>
      <c r="F96" s="1792">
        <f>SUM('Revenues 9-14'!C82,'Revenues 9-14'!D82)</f>
        <v>6430</v>
      </c>
      <c r="G96" s="745"/>
    </row>
    <row r="97" spans="1:7" x14ac:dyDescent="0.2">
      <c r="A97" s="741" t="s">
        <v>455</v>
      </c>
      <c r="B97" s="741" t="s">
        <v>175</v>
      </c>
      <c r="C97" s="743">
        <f>'Revenues 9-14'!B84</f>
        <v>1811</v>
      </c>
      <c r="D97" s="744" t="str">
        <f>'Revenues 9-14'!A84</f>
        <v>Rentals - Regular Textbooks</v>
      </c>
      <c r="E97" s="739"/>
      <c r="F97" s="1792">
        <f>'Revenues 9-14'!C84</f>
        <v>0</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1908</v>
      </c>
      <c r="C106" s="746">
        <v>3100</v>
      </c>
      <c r="D106" s="752" t="str">
        <f>'Revenues 9-14'!A132</f>
        <v>Total Special Education</v>
      </c>
      <c r="E106" s="739"/>
      <c r="F106" s="1792">
        <f>SUM('Revenues 9-14'!C132:D132,'Revenues 9-14'!F132)</f>
        <v>192630</v>
      </c>
      <c r="G106" s="745"/>
    </row>
    <row r="107" spans="1:7" x14ac:dyDescent="0.2">
      <c r="A107" s="741" t="s">
        <v>667</v>
      </c>
      <c r="B107" s="741" t="s">
        <v>1909</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1910</v>
      </c>
      <c r="C108" s="753">
        <v>3300</v>
      </c>
      <c r="D108" s="744" t="str">
        <f>'Revenues 9-14'!A145</f>
        <v>Total Bilingual Ed</v>
      </c>
      <c r="E108" s="739"/>
      <c r="F108" s="1792">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92">
        <f>'Revenues 9-14'!C146</f>
        <v>22263</v>
      </c>
      <c r="G109" s="745"/>
    </row>
    <row r="110" spans="1:7" x14ac:dyDescent="0.2">
      <c r="A110" s="741" t="s">
        <v>667</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0</v>
      </c>
      <c r="G111" s="745"/>
    </row>
    <row r="112" spans="1:7" x14ac:dyDescent="0.2">
      <c r="A112" s="741" t="s">
        <v>662</v>
      </c>
      <c r="B112" s="741" t="s">
        <v>1914</v>
      </c>
      <c r="C112" s="755">
        <v>3500</v>
      </c>
      <c r="D112" s="744" t="str">
        <f>'Revenues 9-14'!A155</f>
        <v>Total Transportation</v>
      </c>
      <c r="E112" s="739"/>
      <c r="F112" s="1792">
        <f>SUM('Revenues 9-14'!C155,'Revenues 9-14'!D155,'Revenues 9-14'!F155,'Revenues 9-14'!G155)</f>
        <v>659862</v>
      </c>
      <c r="G112" s="745"/>
    </row>
    <row r="113" spans="1:7" x14ac:dyDescent="0.2">
      <c r="A113" s="741" t="s">
        <v>455</v>
      </c>
      <c r="B113" s="741" t="s">
        <v>1915</v>
      </c>
      <c r="C113" s="753">
        <f>'Revenues 9-14'!B156</f>
        <v>3610</v>
      </c>
      <c r="D113" s="744" t="str">
        <f>'Revenues 9-14'!A156</f>
        <v>Learning Improvement - Change Grants</v>
      </c>
      <c r="E113" s="739"/>
      <c r="F113" s="1792">
        <f>'Revenues 9-14'!C156</f>
        <v>0</v>
      </c>
      <c r="G113" s="745"/>
    </row>
    <row r="114" spans="1:7" x14ac:dyDescent="0.2">
      <c r="A114" s="741" t="s">
        <v>662</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91">
        <f>SUM('Revenues 9-14'!C163:G163)</f>
        <v>0</v>
      </c>
      <c r="G119" s="745"/>
    </row>
    <row r="120" spans="1:7" x14ac:dyDescent="0.2">
      <c r="A120" s="756" t="s">
        <v>500</v>
      </c>
      <c r="B120" s="756" t="s">
        <v>1922</v>
      </c>
      <c r="C120" s="757">
        <f>'Revenues 9-14'!B164</f>
        <v>3815</v>
      </c>
      <c r="D120" s="758" t="str">
        <f>'Revenues 9-14'!A164</f>
        <v>State Charter Schools</v>
      </c>
      <c r="E120" s="739"/>
      <c r="F120" s="1791">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92">
        <f>'Revenues 9-14'!D167</f>
        <v>0</v>
      </c>
      <c r="G121" s="763"/>
    </row>
    <row r="122" spans="1:7" x14ac:dyDescent="0.2">
      <c r="A122" s="760" t="s">
        <v>496</v>
      </c>
      <c r="B122" s="760" t="s">
        <v>1924</v>
      </c>
      <c r="C122" s="761">
        <f>'Revenues 9-14'!B168</f>
        <v>3999</v>
      </c>
      <c r="D122" s="762" t="s">
        <v>539</v>
      </c>
      <c r="E122" s="764"/>
      <c r="F122" s="1792">
        <f>SUM('Revenues 9-14'!C168:G168,'Revenues 9-14'!J168)</f>
        <v>1327</v>
      </c>
      <c r="G122" s="763"/>
    </row>
    <row r="123" spans="1:7" x14ac:dyDescent="0.2">
      <c r="A123" s="760" t="s">
        <v>455</v>
      </c>
      <c r="B123" s="760" t="s">
        <v>1925</v>
      </c>
      <c r="C123" s="765">
        <f>'Revenues 9-14'!B177</f>
        <v>4045</v>
      </c>
      <c r="D123" s="762" t="str">
        <f>'Revenues 9-14'!A177 &amp; " (Subtract)"</f>
        <v>Head Start (Subtract)</v>
      </c>
      <c r="E123" s="739"/>
      <c r="F123" s="1792">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1927</v>
      </c>
      <c r="C125" s="765">
        <v>4100</v>
      </c>
      <c r="D125" s="766" t="str">
        <f>'Revenues 9-14'!A188</f>
        <v>Total Title V</v>
      </c>
      <c r="E125" s="739"/>
      <c r="F125" s="1792">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92">
        <f>SUM('Revenues 9-14'!C198,'Revenues 9-14'!G198)</f>
        <v>1458051</v>
      </c>
      <c r="G126" s="763"/>
    </row>
    <row r="127" spans="1:7" x14ac:dyDescent="0.2">
      <c r="A127" s="760" t="s">
        <v>662</v>
      </c>
      <c r="B127" s="760" t="s">
        <v>1929</v>
      </c>
      <c r="C127" s="765">
        <v>4300</v>
      </c>
      <c r="D127" s="766" t="str">
        <f>'Revenues 9-14'!A204</f>
        <v>Total Title I</v>
      </c>
      <c r="E127" s="739"/>
      <c r="F127" s="1792">
        <f>SUM('Revenues 9-14'!C204,'Revenues 9-14'!D204,'Revenues 9-14'!F204,'Revenues 9-14'!G204)</f>
        <v>2327665</v>
      </c>
      <c r="G127" s="763"/>
    </row>
    <row r="128" spans="1:7" x14ac:dyDescent="0.2">
      <c r="A128" s="760" t="s">
        <v>662</v>
      </c>
      <c r="B128" s="760" t="s">
        <v>1930</v>
      </c>
      <c r="C128" s="765">
        <v>4400</v>
      </c>
      <c r="D128" s="766" t="str">
        <f>'Revenues 9-14'!A209</f>
        <v>Total Title IV</v>
      </c>
      <c r="E128" s="739"/>
      <c r="F128" s="1792">
        <f>SUM('Revenues 9-14'!C209,'Revenues 9-14'!D209,'Revenues 9-14'!F209,'Revenues 9-14'!G209)</f>
        <v>11360</v>
      </c>
      <c r="G128" s="763"/>
    </row>
    <row r="129" spans="1:7" x14ac:dyDescent="0.2">
      <c r="A129" s="760" t="s">
        <v>662</v>
      </c>
      <c r="B129" s="760" t="s">
        <v>1931</v>
      </c>
      <c r="C129" s="765">
        <f>'Revenues 9-14'!B213</f>
        <v>4620</v>
      </c>
      <c r="D129" s="766" t="str">
        <f>'Revenues 9-14'!A213</f>
        <v>Fed - Spec Education - IDEA - Flow Through</v>
      </c>
      <c r="E129" s="739"/>
      <c r="F129" s="1792">
        <f>SUM('Revenues 9-14'!C213:D213,'Revenues 9-14'!F213:G213)</f>
        <v>210996</v>
      </c>
      <c r="G129" s="763"/>
    </row>
    <row r="130" spans="1:7" x14ac:dyDescent="0.2">
      <c r="A130" s="760" t="s">
        <v>662</v>
      </c>
      <c r="B130" s="760" t="s">
        <v>1932</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662</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1934</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1399</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1949</v>
      </c>
      <c r="C158" s="773" t="s">
        <v>835</v>
      </c>
      <c r="D158" s="774" t="s">
        <v>771</v>
      </c>
      <c r="E158" s="775"/>
      <c r="F158" s="1792">
        <f>SUM(F134:F157)</f>
        <v>0</v>
      </c>
      <c r="G158" s="738"/>
    </row>
    <row r="159" spans="1:7" s="703" customFormat="1" x14ac:dyDescent="0.2">
      <c r="A159" s="771" t="s">
        <v>455</v>
      </c>
      <c r="B159" s="772" t="s">
        <v>1950</v>
      </c>
      <c r="C159" s="773" t="s">
        <v>1409</v>
      </c>
      <c r="D159" s="774" t="s">
        <v>1410</v>
      </c>
      <c r="E159" s="775"/>
      <c r="F159" s="1792">
        <f>SUM('Revenues 9-14'!C253)</f>
        <v>0</v>
      </c>
      <c r="G159" s="738"/>
    </row>
    <row r="160" spans="1:7" s="703" customFormat="1" x14ac:dyDescent="0.2">
      <c r="A160" s="771" t="s">
        <v>496</v>
      </c>
      <c r="B160" s="772" t="s">
        <v>1951</v>
      </c>
      <c r="C160" s="773" t="s">
        <v>1448</v>
      </c>
      <c r="D160" s="774" t="s">
        <v>1449</v>
      </c>
      <c r="E160" s="775"/>
      <c r="F160" s="1792">
        <f>SUM('Revenues 9-14'!C254:H254,'Revenues 9-14'!J254:K254)</f>
        <v>84549</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91">
        <f>SUM('Revenues 9-14'!C259,'Revenues 9-14'!D259,'Revenues 9-14'!F259,'Revenues 9-14'!G259)</f>
        <v>300</v>
      </c>
      <c r="G165" s="763"/>
    </row>
    <row r="166" spans="1:7" x14ac:dyDescent="0.2">
      <c r="A166" s="760" t="s">
        <v>662</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92">
        <f>SUM('Revenues 9-14'!C263:D263,'Revenues 9-14'!F263:G263)</f>
        <v>53874</v>
      </c>
      <c r="G169" s="780">
        <v>6320</v>
      </c>
    </row>
    <row r="170" spans="1:7" x14ac:dyDescent="0.2">
      <c r="A170" s="760" t="s">
        <v>662</v>
      </c>
      <c r="B170" s="760" t="s">
        <v>1959</v>
      </c>
      <c r="C170" s="765">
        <f>'Revenues 9-14'!B264</f>
        <v>4992</v>
      </c>
      <c r="D170" s="766" t="str">
        <f>'Revenues 9-14'!A264</f>
        <v>Medicaid Matching Funds - Fee-for-Service Program</v>
      </c>
      <c r="E170" s="739"/>
      <c r="F170" s="1792">
        <f>SUM('Revenues 9-14'!C264:D264,'Revenues 9-14'!F264:G264)</f>
        <v>180728</v>
      </c>
      <c r="G170" s="780"/>
    </row>
    <row r="171" spans="1:7" x14ac:dyDescent="0.2">
      <c r="A171" s="781" t="s">
        <v>662</v>
      </c>
      <c r="B171" s="777" t="s">
        <v>1960</v>
      </c>
      <c r="C171" s="778">
        <f>'Revenues 9-14'!B265</f>
        <v>4998</v>
      </c>
      <c r="D171" s="779" t="str">
        <f>'Revenues 9-14'!A265</f>
        <v>Other Restricted Revenue from Federal Sources (Describe &amp; Itemize)</v>
      </c>
      <c r="E171" s="739"/>
      <c r="F171" s="1792">
        <f>SUM('Revenues 9-14'!C265:D265,'Revenues 9-14'!F265:G265)</f>
        <v>110094</v>
      </c>
      <c r="G171" s="760"/>
    </row>
    <row r="172" spans="1:7" x14ac:dyDescent="0.2">
      <c r="A172" s="1528" t="s">
        <v>5</v>
      </c>
      <c r="B172" s="1529" t="s">
        <v>1883</v>
      </c>
      <c r="C172" s="1530">
        <v>3100</v>
      </c>
      <c r="D172" s="1531" t="s">
        <v>1885</v>
      </c>
      <c r="E172" s="739"/>
      <c r="F172" s="1793">
        <v>0</v>
      </c>
      <c r="G172" s="760"/>
    </row>
    <row r="173" spans="1:7" x14ac:dyDescent="0.2">
      <c r="A173" s="1528" t="s">
        <v>658</v>
      </c>
      <c r="B173" s="1529" t="s">
        <v>1883</v>
      </c>
      <c r="C173" s="1530">
        <v>3300</v>
      </c>
      <c r="D173" s="1531" t="s">
        <v>1886</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951</v>
      </c>
      <c r="F175" s="1795">
        <f>SUM(F85:F133,F158:F173)</f>
        <v>5320129</v>
      </c>
    </row>
    <row r="176" spans="1:7" ht="12" customHeight="1" x14ac:dyDescent="0.2">
      <c r="A176" s="1442"/>
      <c r="B176" s="1452"/>
      <c r="C176" s="1453"/>
      <c r="D176" s="1454" t="s">
        <v>2012</v>
      </c>
      <c r="E176" s="1455"/>
      <c r="F176" s="1792">
        <f>'PCTC-OEPP 27-28'!F78-F175</f>
        <v>29180558</v>
      </c>
    </row>
    <row r="177" spans="1:9" ht="12" customHeight="1" x14ac:dyDescent="0.2">
      <c r="A177" s="1442"/>
      <c r="B177" s="1452"/>
      <c r="C177" s="1453"/>
      <c r="D177" s="1454" t="s">
        <v>1792</v>
      </c>
      <c r="E177" s="1455"/>
      <c r="F177" s="1792">
        <f>'Cap Outlay Deprec 26'!I18</f>
        <v>40193.699999999997</v>
      </c>
    </row>
    <row r="178" spans="1:9" ht="12" customHeight="1" x14ac:dyDescent="0.2">
      <c r="A178" s="1442"/>
      <c r="B178" s="1452"/>
      <c r="C178" s="1453"/>
      <c r="D178" s="1454" t="s">
        <v>2013</v>
      </c>
      <c r="E178" s="1455"/>
      <c r="F178" s="1792">
        <f>F176+F177</f>
        <v>29220751.699999999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2117.9</v>
      </c>
      <c r="G179" s="763"/>
      <c r="I179" s="701"/>
    </row>
    <row r="180" spans="1:9" ht="12" customHeight="1" thickBot="1" x14ac:dyDescent="0.25">
      <c r="A180" s="1442"/>
      <c r="B180" s="1456"/>
      <c r="C180" s="1453"/>
      <c r="D180" s="1454" t="s">
        <v>2015</v>
      </c>
      <c r="E180" s="1455" t="s">
        <v>1527</v>
      </c>
      <c r="F180" s="1797">
        <f>F178/F179</f>
        <v>13797.040322961424</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view="pageBreakPreview" topLeftCell="A13" zoomScaleNormal="85" zoomScaleSheetLayoutView="10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1805</v>
      </c>
      <c r="B1" s="1859"/>
      <c r="C1" s="1860"/>
      <c r="D1" s="1860"/>
      <c r="E1" s="1860"/>
      <c r="F1" s="1860"/>
    </row>
    <row r="2" spans="1:6" x14ac:dyDescent="0.25">
      <c r="A2" s="1862"/>
      <c r="B2" s="1863"/>
      <c r="C2" s="1912" t="s">
        <v>2001</v>
      </c>
      <c r="D2" s="1862"/>
      <c r="E2" s="1862"/>
      <c r="F2" s="1862"/>
    </row>
    <row r="3" spans="1:6" ht="5.25" customHeight="1" x14ac:dyDescent="0.25">
      <c r="A3" s="1864"/>
      <c r="B3" s="1865"/>
      <c r="C3" s="1864"/>
      <c r="D3" s="1864"/>
      <c r="E3" s="1864"/>
      <c r="F3" s="1864"/>
    </row>
    <row r="4" spans="1:6" ht="18.75" customHeight="1" x14ac:dyDescent="0.25">
      <c r="A4" s="2386" t="s">
        <v>1793</v>
      </c>
      <c r="B4" s="2387"/>
      <c r="C4" s="2387"/>
      <c r="D4" s="2387"/>
      <c r="E4" s="2387"/>
      <c r="F4" s="2388"/>
    </row>
    <row r="5" spans="1:6" x14ac:dyDescent="0.25">
      <c r="A5" s="2389"/>
      <c r="B5" s="2390"/>
      <c r="C5" s="2390"/>
      <c r="D5" s="2390"/>
      <c r="E5" s="2390"/>
      <c r="F5" s="2391"/>
    </row>
    <row r="6" spans="1:6" ht="18.75" x14ac:dyDescent="0.25">
      <c r="A6" s="1866" t="s">
        <v>1794</v>
      </c>
      <c r="B6" s="1867"/>
      <c r="C6" s="1868"/>
      <c r="D6" s="1868"/>
      <c r="E6" s="1868"/>
      <c r="F6" s="1869"/>
    </row>
    <row r="7" spans="1:6" ht="47.25" customHeight="1" x14ac:dyDescent="0.25">
      <c r="A7" s="2392" t="s">
        <v>1983</v>
      </c>
      <c r="B7" s="2393"/>
      <c r="C7" s="2393"/>
      <c r="D7" s="2393"/>
      <c r="E7" s="2393"/>
      <c r="F7" s="2394"/>
    </row>
    <row r="8" spans="1:6" ht="20.25" customHeight="1" x14ac:dyDescent="0.25">
      <c r="A8" s="1901" t="s">
        <v>1985</v>
      </c>
      <c r="B8" s="1902"/>
      <c r="C8" s="1902"/>
      <c r="D8" s="1902"/>
      <c r="E8" s="1870"/>
      <c r="F8" s="1871"/>
    </row>
    <row r="9" spans="1:6" ht="18" customHeight="1" x14ac:dyDescent="0.25">
      <c r="A9" s="1872" t="s">
        <v>1982</v>
      </c>
      <c r="B9" s="1874"/>
      <c r="C9" s="1874"/>
      <c r="D9" s="1874"/>
      <c r="E9" s="1870"/>
      <c r="F9" s="1871"/>
    </row>
    <row r="10" spans="1:6" ht="15.75" customHeight="1" x14ac:dyDescent="0.25">
      <c r="A10" s="2395" t="s">
        <v>1979</v>
      </c>
      <c r="B10" s="2396"/>
      <c r="C10" s="2396"/>
      <c r="D10" s="2396"/>
      <c r="E10" s="2396"/>
      <c r="F10" s="2397"/>
    </row>
    <row r="11" spans="1:6" ht="33" customHeight="1" x14ac:dyDescent="0.25">
      <c r="A11" s="2392" t="s">
        <v>1984</v>
      </c>
      <c r="B11" s="2393"/>
      <c r="C11" s="2393"/>
      <c r="D11" s="2393"/>
      <c r="E11" s="2393"/>
      <c r="F11" s="2394"/>
    </row>
    <row r="12" spans="1:6" ht="15" customHeight="1" x14ac:dyDescent="0.25">
      <c r="A12" s="1872" t="s">
        <v>1980</v>
      </c>
      <c r="B12" s="1873"/>
      <c r="C12" s="1874"/>
      <c r="D12" s="1874"/>
      <c r="E12" s="1874"/>
      <c r="F12" s="1875"/>
    </row>
    <row r="13" spans="1:6" ht="17.25" customHeight="1" x14ac:dyDescent="0.25">
      <c r="A13" s="2392" t="s">
        <v>1981</v>
      </c>
      <c r="B13" s="2393"/>
      <c r="C13" s="2393"/>
      <c r="D13" s="2393"/>
      <c r="E13" s="2393"/>
      <c r="F13" s="2394"/>
    </row>
    <row r="14" spans="1:6" ht="15" customHeight="1" x14ac:dyDescent="0.25">
      <c r="A14" s="1872" t="s">
        <v>1798</v>
      </c>
      <c r="B14" s="1873"/>
      <c r="C14" s="1874"/>
      <c r="D14" s="1874"/>
      <c r="E14" s="1874"/>
      <c r="F14" s="1875"/>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6" t="s">
        <v>1797</v>
      </c>
      <c r="C17" s="1880" t="s">
        <v>1795</v>
      </c>
      <c r="D17" s="1881">
        <v>500000</v>
      </c>
      <c r="E17" s="1881" t="str">
        <f>IF(D17&lt;25000,D17,"25,000")</f>
        <v>25,000</v>
      </c>
      <c r="F17" s="1882">
        <f>IF(D17&gt;=25000,(D17-E17),"0")</f>
        <v>475000</v>
      </c>
    </row>
    <row r="18" spans="1:7" x14ac:dyDescent="0.25">
      <c r="A18" s="2042" t="s">
        <v>2176</v>
      </c>
      <c r="B18" s="1907">
        <v>101000300</v>
      </c>
      <c r="C18" s="2043" t="s">
        <v>2182</v>
      </c>
      <c r="D18" s="1885">
        <v>174192</v>
      </c>
      <c r="E18" s="1905" t="str">
        <f t="shared" ref="E18:E81" si="0">IF(D18&lt;25000,D18,"25,000")</f>
        <v>25,000</v>
      </c>
      <c r="F18" s="1905">
        <f t="shared" ref="F18:F81" si="1">IF(D18&gt;=25000,(D18-E18),"0")</f>
        <v>149192</v>
      </c>
      <c r="G18" s="1886"/>
    </row>
    <row r="19" spans="1:7" x14ac:dyDescent="0.25">
      <c r="A19" s="2042" t="s">
        <v>2176</v>
      </c>
      <c r="B19" s="1907">
        <v>101000300</v>
      </c>
      <c r="C19" s="2043" t="s">
        <v>2183</v>
      </c>
      <c r="D19" s="1885">
        <v>10981</v>
      </c>
      <c r="E19" s="1905">
        <f t="shared" si="0"/>
        <v>10981</v>
      </c>
      <c r="F19" s="1905" t="str">
        <f t="shared" si="1"/>
        <v>0</v>
      </c>
    </row>
    <row r="20" spans="1:7" x14ac:dyDescent="0.25">
      <c r="A20" s="2042" t="s">
        <v>2177</v>
      </c>
      <c r="B20" s="1907">
        <v>102200300</v>
      </c>
      <c r="C20" s="2043" t="s">
        <v>2184</v>
      </c>
      <c r="D20" s="1885">
        <v>20000</v>
      </c>
      <c r="E20" s="1905">
        <f t="shared" si="0"/>
        <v>20000</v>
      </c>
      <c r="F20" s="1905" t="str">
        <f t="shared" si="1"/>
        <v>0</v>
      </c>
    </row>
    <row r="21" spans="1:7" x14ac:dyDescent="0.25">
      <c r="A21" s="2042" t="s">
        <v>2177</v>
      </c>
      <c r="B21" s="1907">
        <v>102200300</v>
      </c>
      <c r="C21" s="2043" t="s">
        <v>2185</v>
      </c>
      <c r="D21" s="1885">
        <v>20107</v>
      </c>
      <c r="E21" s="1905">
        <f t="shared" si="0"/>
        <v>20107</v>
      </c>
      <c r="F21" s="1905" t="str">
        <f t="shared" si="1"/>
        <v>0</v>
      </c>
    </row>
    <row r="22" spans="1:7" x14ac:dyDescent="0.25">
      <c r="A22" s="2042" t="s">
        <v>2177</v>
      </c>
      <c r="B22" s="1907">
        <v>102200300</v>
      </c>
      <c r="C22" s="2043" t="s">
        <v>2186</v>
      </c>
      <c r="D22" s="1885">
        <v>5447</v>
      </c>
      <c r="E22" s="1905">
        <f t="shared" si="0"/>
        <v>5447</v>
      </c>
      <c r="F22" s="1905" t="str">
        <f t="shared" si="1"/>
        <v>0</v>
      </c>
    </row>
    <row r="23" spans="1:7" x14ac:dyDescent="0.25">
      <c r="A23" s="2042" t="s">
        <v>2177</v>
      </c>
      <c r="B23" s="1907">
        <v>102200300</v>
      </c>
      <c r="C23" s="2043" t="s">
        <v>2187</v>
      </c>
      <c r="D23" s="1885">
        <v>311277</v>
      </c>
      <c r="E23" s="1905" t="str">
        <f t="shared" si="0"/>
        <v>25,000</v>
      </c>
      <c r="F23" s="1905">
        <f t="shared" si="1"/>
        <v>286277</v>
      </c>
    </row>
    <row r="24" spans="1:7" x14ac:dyDescent="0.25">
      <c r="A24" s="2042" t="s">
        <v>2178</v>
      </c>
      <c r="B24" s="1907">
        <v>102200300</v>
      </c>
      <c r="C24" s="2043" t="s">
        <v>2188</v>
      </c>
      <c r="D24" s="1885">
        <v>212079</v>
      </c>
      <c r="E24" s="1905" t="str">
        <f t="shared" si="0"/>
        <v>25,000</v>
      </c>
      <c r="F24" s="1905">
        <f t="shared" si="1"/>
        <v>187079</v>
      </c>
    </row>
    <row r="25" spans="1:7" x14ac:dyDescent="0.25">
      <c r="A25" s="2042" t="s">
        <v>2179</v>
      </c>
      <c r="B25" s="1907">
        <v>102300300</v>
      </c>
      <c r="C25" s="2043" t="s">
        <v>2189</v>
      </c>
      <c r="D25" s="1885">
        <v>47800</v>
      </c>
      <c r="E25" s="1905" t="str">
        <f t="shared" si="0"/>
        <v>25,000</v>
      </c>
      <c r="F25" s="1905">
        <f t="shared" si="1"/>
        <v>22800</v>
      </c>
    </row>
    <row r="26" spans="1:7" x14ac:dyDescent="0.25">
      <c r="A26" s="2042" t="s">
        <v>2179</v>
      </c>
      <c r="B26" s="1907">
        <v>102300300</v>
      </c>
      <c r="C26" s="2043" t="s">
        <v>2190</v>
      </c>
      <c r="D26" s="1885">
        <v>32979</v>
      </c>
      <c r="E26" s="1905" t="str">
        <f t="shared" si="0"/>
        <v>25,000</v>
      </c>
      <c r="F26" s="1905">
        <f t="shared" si="1"/>
        <v>7979</v>
      </c>
    </row>
    <row r="27" spans="1:7" x14ac:dyDescent="0.25">
      <c r="A27" s="2042" t="s">
        <v>2179</v>
      </c>
      <c r="B27" s="1907">
        <v>102300300</v>
      </c>
      <c r="C27" s="2043" t="s">
        <v>2191</v>
      </c>
      <c r="D27" s="1885">
        <v>75724</v>
      </c>
      <c r="E27" s="1905" t="str">
        <f t="shared" si="0"/>
        <v>25,000</v>
      </c>
      <c r="F27" s="1905">
        <f t="shared" si="1"/>
        <v>50724</v>
      </c>
    </row>
    <row r="28" spans="1:7" x14ac:dyDescent="0.25">
      <c r="A28" s="2042" t="s">
        <v>2180</v>
      </c>
      <c r="B28" s="1907">
        <v>102560300</v>
      </c>
      <c r="C28" s="2043" t="s">
        <v>2192</v>
      </c>
      <c r="D28" s="1885">
        <v>1196387</v>
      </c>
      <c r="E28" s="1905" t="str">
        <f t="shared" si="0"/>
        <v>25,000</v>
      </c>
      <c r="F28" s="1905">
        <f t="shared" si="1"/>
        <v>1171387</v>
      </c>
    </row>
    <row r="29" spans="1:7" x14ac:dyDescent="0.25">
      <c r="A29" s="2042" t="s">
        <v>2181</v>
      </c>
      <c r="B29" s="1907">
        <v>103000300</v>
      </c>
      <c r="C29" s="2043" t="s">
        <v>2193</v>
      </c>
      <c r="D29" s="1885">
        <v>11900</v>
      </c>
      <c r="E29" s="1905">
        <f t="shared" si="0"/>
        <v>11900</v>
      </c>
      <c r="F29" s="1905" t="str">
        <f t="shared" si="1"/>
        <v>0</v>
      </c>
    </row>
    <row r="30" spans="1:7" x14ac:dyDescent="0.25">
      <c r="A30" s="2042" t="s">
        <v>2194</v>
      </c>
      <c r="B30" s="1907">
        <v>202540300</v>
      </c>
      <c r="C30" s="2043" t="s">
        <v>2195</v>
      </c>
      <c r="D30" s="1885">
        <v>6147</v>
      </c>
      <c r="E30" s="1905">
        <f t="shared" si="0"/>
        <v>6147</v>
      </c>
      <c r="F30" s="1905" t="str">
        <f t="shared" si="1"/>
        <v>0</v>
      </c>
    </row>
    <row r="31" spans="1:7" x14ac:dyDescent="0.25">
      <c r="A31" s="2042" t="s">
        <v>2194</v>
      </c>
      <c r="B31" s="1907">
        <v>202540300</v>
      </c>
      <c r="C31" s="2043" t="s">
        <v>2196</v>
      </c>
      <c r="D31" s="1885">
        <v>265958</v>
      </c>
      <c r="E31" s="1905" t="str">
        <f t="shared" si="0"/>
        <v>25,000</v>
      </c>
      <c r="F31" s="1905">
        <f t="shared" si="1"/>
        <v>240958</v>
      </c>
    </row>
    <row r="32" spans="1:7" x14ac:dyDescent="0.25">
      <c r="A32" s="2042" t="s">
        <v>2194</v>
      </c>
      <c r="B32" s="1907">
        <v>202540300</v>
      </c>
      <c r="C32" s="2043" t="s">
        <v>2197</v>
      </c>
      <c r="D32" s="1885">
        <v>38209</v>
      </c>
      <c r="E32" s="1905" t="str">
        <f t="shared" si="0"/>
        <v>25,000</v>
      </c>
      <c r="F32" s="1905">
        <f t="shared" si="1"/>
        <v>13209</v>
      </c>
    </row>
    <row r="33" spans="1:6" x14ac:dyDescent="0.25">
      <c r="A33" s="2042" t="s">
        <v>2194</v>
      </c>
      <c r="B33" s="1907">
        <v>202540300</v>
      </c>
      <c r="C33" s="2043" t="s">
        <v>2198</v>
      </c>
      <c r="D33" s="1885">
        <v>13695</v>
      </c>
      <c r="E33" s="1905">
        <f t="shared" si="0"/>
        <v>13695</v>
      </c>
      <c r="F33" s="1905" t="str">
        <f t="shared" si="1"/>
        <v>0</v>
      </c>
    </row>
    <row r="34" spans="1:6" x14ac:dyDescent="0.25">
      <c r="A34" s="2042" t="s">
        <v>2194</v>
      </c>
      <c r="B34" s="1907">
        <v>202540300</v>
      </c>
      <c r="C34" s="2043" t="s">
        <v>2199</v>
      </c>
      <c r="D34" s="1885">
        <v>4365</v>
      </c>
      <c r="E34" s="1905">
        <f t="shared" si="0"/>
        <v>4365</v>
      </c>
      <c r="F34" s="1905" t="str">
        <f t="shared" si="1"/>
        <v>0</v>
      </c>
    </row>
    <row r="35" spans="1:6" x14ac:dyDescent="0.25">
      <c r="A35" s="2042" t="s">
        <v>2194</v>
      </c>
      <c r="B35" s="1907">
        <v>202540300</v>
      </c>
      <c r="C35" s="2043" t="s">
        <v>2200</v>
      </c>
      <c r="D35" s="1885">
        <v>7392</v>
      </c>
      <c r="E35" s="1905">
        <f t="shared" si="0"/>
        <v>7392</v>
      </c>
      <c r="F35" s="1905" t="str">
        <f t="shared" si="1"/>
        <v>0</v>
      </c>
    </row>
    <row r="36" spans="1:6" x14ac:dyDescent="0.25">
      <c r="A36" s="2042" t="s">
        <v>2194</v>
      </c>
      <c r="B36" s="1907">
        <v>202540300</v>
      </c>
      <c r="C36" s="2043" t="s">
        <v>2201</v>
      </c>
      <c r="D36" s="1885">
        <v>64018</v>
      </c>
      <c r="E36" s="1905" t="str">
        <f t="shared" si="0"/>
        <v>25,000</v>
      </c>
      <c r="F36" s="1905">
        <f t="shared" si="1"/>
        <v>39018</v>
      </c>
    </row>
    <row r="37" spans="1:6" x14ac:dyDescent="0.25">
      <c r="A37" s="2042" t="s">
        <v>2194</v>
      </c>
      <c r="B37" s="1907">
        <v>202540300</v>
      </c>
      <c r="C37" s="2043" t="s">
        <v>2202</v>
      </c>
      <c r="D37" s="1885">
        <v>15614</v>
      </c>
      <c r="E37" s="1905">
        <f t="shared" si="0"/>
        <v>15614</v>
      </c>
      <c r="F37" s="1905" t="str">
        <f t="shared" si="1"/>
        <v>0</v>
      </c>
    </row>
    <row r="38" spans="1:6" x14ac:dyDescent="0.25">
      <c r="A38" s="2042" t="s">
        <v>2194</v>
      </c>
      <c r="B38" s="1907">
        <v>202540300</v>
      </c>
      <c r="C38" s="2043" t="s">
        <v>2203</v>
      </c>
      <c r="D38" s="1885">
        <v>55526</v>
      </c>
      <c r="E38" s="1905" t="str">
        <f t="shared" si="0"/>
        <v>25,000</v>
      </c>
      <c r="F38" s="1905">
        <f t="shared" si="1"/>
        <v>30526</v>
      </c>
    </row>
    <row r="39" spans="1:6" x14ac:dyDescent="0.25">
      <c r="A39" s="2042" t="s">
        <v>2194</v>
      </c>
      <c r="B39" s="1908">
        <v>202540300</v>
      </c>
      <c r="C39" s="2043" t="s">
        <v>2204</v>
      </c>
      <c r="D39" s="1885">
        <v>3835</v>
      </c>
      <c r="E39" s="1905">
        <f t="shared" si="0"/>
        <v>3835</v>
      </c>
      <c r="F39" s="1905" t="str">
        <f t="shared" si="1"/>
        <v>0</v>
      </c>
    </row>
    <row r="40" spans="1:6" x14ac:dyDescent="0.25">
      <c r="A40" s="2042" t="s">
        <v>2194</v>
      </c>
      <c r="B40" s="1908">
        <v>202540300</v>
      </c>
      <c r="C40" s="2043" t="s">
        <v>2205</v>
      </c>
      <c r="D40" s="1885">
        <v>76288</v>
      </c>
      <c r="E40" s="1905" t="str">
        <f t="shared" si="0"/>
        <v>25,000</v>
      </c>
      <c r="F40" s="1905">
        <f t="shared" si="1"/>
        <v>51288</v>
      </c>
    </row>
    <row r="41" spans="1:6" x14ac:dyDescent="0.25">
      <c r="A41" s="2042" t="s">
        <v>2194</v>
      </c>
      <c r="B41" s="1908">
        <v>202540300</v>
      </c>
      <c r="C41" s="2043" t="s">
        <v>2206</v>
      </c>
      <c r="D41" s="1885">
        <v>47805</v>
      </c>
      <c r="E41" s="1905" t="str">
        <f t="shared" si="0"/>
        <v>25,000</v>
      </c>
      <c r="F41" s="1905">
        <f t="shared" si="1"/>
        <v>22805</v>
      </c>
    </row>
    <row r="42" spans="1:6" x14ac:dyDescent="0.25">
      <c r="A42" s="2042" t="s">
        <v>2194</v>
      </c>
      <c r="B42" s="1908">
        <v>202540300</v>
      </c>
      <c r="C42" s="2043" t="s">
        <v>2207</v>
      </c>
      <c r="D42" s="1885">
        <v>87111</v>
      </c>
      <c r="E42" s="1905" t="str">
        <f t="shared" si="0"/>
        <v>25,000</v>
      </c>
      <c r="F42" s="1905">
        <f t="shared" si="1"/>
        <v>62111</v>
      </c>
    </row>
    <row r="43" spans="1:6" x14ac:dyDescent="0.25">
      <c r="A43" s="2042" t="s">
        <v>2194</v>
      </c>
      <c r="B43" s="1908">
        <v>202540300</v>
      </c>
      <c r="C43" s="2043" t="s">
        <v>2208</v>
      </c>
      <c r="D43" s="1885">
        <v>402443</v>
      </c>
      <c r="E43" s="1905" t="str">
        <f t="shared" si="0"/>
        <v>25,000</v>
      </c>
      <c r="F43" s="1905">
        <f t="shared" si="1"/>
        <v>377443</v>
      </c>
    </row>
    <row r="44" spans="1:6" x14ac:dyDescent="0.25">
      <c r="A44" s="2042" t="s">
        <v>2209</v>
      </c>
      <c r="B44" s="1908">
        <v>402550300</v>
      </c>
      <c r="C44" s="2043" t="s">
        <v>2211</v>
      </c>
      <c r="D44" s="1885">
        <v>724977</v>
      </c>
      <c r="E44" s="1905" t="str">
        <f t="shared" si="0"/>
        <v>25,000</v>
      </c>
      <c r="F44" s="1905">
        <f t="shared" si="1"/>
        <v>699977</v>
      </c>
    </row>
    <row r="45" spans="1:6" x14ac:dyDescent="0.25">
      <c r="A45" s="2042" t="s">
        <v>2209</v>
      </c>
      <c r="B45" s="1908">
        <v>402550300</v>
      </c>
      <c r="C45" s="2043" t="s">
        <v>2212</v>
      </c>
      <c r="D45" s="1885">
        <v>392660</v>
      </c>
      <c r="E45" s="1905" t="str">
        <f t="shared" si="0"/>
        <v>25,000</v>
      </c>
      <c r="F45" s="1905">
        <f t="shared" si="1"/>
        <v>367660</v>
      </c>
    </row>
    <row r="46" spans="1:6" x14ac:dyDescent="0.25">
      <c r="A46" s="2042" t="s">
        <v>2210</v>
      </c>
      <c r="B46" s="1908">
        <v>802300300</v>
      </c>
      <c r="C46" s="2043" t="s">
        <v>2213</v>
      </c>
      <c r="D46" s="1885">
        <v>22800</v>
      </c>
      <c r="E46" s="1905">
        <f t="shared" si="0"/>
        <v>22800</v>
      </c>
      <c r="F46" s="1905" t="str">
        <f t="shared" si="1"/>
        <v>0</v>
      </c>
    </row>
    <row r="47" spans="1:6" x14ac:dyDescent="0.25">
      <c r="A47" s="2042" t="s">
        <v>2210</v>
      </c>
      <c r="B47" s="1908">
        <v>802300300</v>
      </c>
      <c r="C47" s="2043" t="s">
        <v>2214</v>
      </c>
      <c r="D47" s="1885">
        <v>159487</v>
      </c>
      <c r="E47" s="1905" t="str">
        <f t="shared" si="0"/>
        <v>25,000</v>
      </c>
      <c r="F47" s="1905">
        <f t="shared" si="1"/>
        <v>134487</v>
      </c>
    </row>
    <row r="48" spans="1:6" x14ac:dyDescent="0.25">
      <c r="A48" s="2042" t="s">
        <v>2210</v>
      </c>
      <c r="B48" s="1908">
        <v>802300300</v>
      </c>
      <c r="C48" s="2043" t="s">
        <v>2215</v>
      </c>
      <c r="D48" s="1885">
        <v>91704</v>
      </c>
      <c r="E48" s="1905" t="str">
        <f t="shared" si="0"/>
        <v>25,000</v>
      </c>
      <c r="F48" s="1905">
        <f t="shared" si="1"/>
        <v>66704</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4598907</v>
      </c>
      <c r="E142" s="1892">
        <f>SUM(E18:E141)</f>
        <v>142283</v>
      </c>
      <c r="F142" s="1893">
        <f>SUM(F18:F141)</f>
        <v>3981624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view="pageBreakPreview" colorId="8" zoomScale="60" zoomScaleNormal="10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8" t="s">
        <v>1659</v>
      </c>
      <c r="B5" s="2399"/>
      <c r="C5" s="2399"/>
      <c r="D5" s="2399"/>
      <c r="E5" s="2399"/>
      <c r="F5" s="2399"/>
      <c r="G5" s="240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0">
        <v>110094</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18380855</v>
      </c>
      <c r="F19" s="1801"/>
      <c r="G19" s="1803">
        <f>'Expenditures 15-22'!K33-SUM('Expenditures 15-22'!G33,'Expenditures 15-22'!I33)+'Expenditures 15-22'!D229</f>
        <v>18380855</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1591843</v>
      </c>
      <c r="F21" s="1804"/>
      <c r="G21" s="1807">
        <f>'Expenditures 15-22'!K42-SUM('Expenditures 15-22'!G42,'Expenditures 15-22'!I42)+'Expenditures 15-22'!K120-SUM('Expenditures 15-22'!G120,'Expenditures 15-22'!I120)+'Expenditures 15-22'!K180-SUM('Expenditures 15-22'!G180,'Expenditures 15-22'!I180)+'Expenditures 15-22'!D238</f>
        <v>1591843</v>
      </c>
      <c r="H21" s="817"/>
      <c r="I21" s="157"/>
    </row>
    <row r="22" spans="1:9" s="542" customFormat="1" ht="12" customHeight="1" x14ac:dyDescent="0.2">
      <c r="A22" s="824" t="s">
        <v>559</v>
      </c>
      <c r="B22" s="825"/>
      <c r="C22" s="823">
        <v>2200</v>
      </c>
      <c r="D22" s="1804"/>
      <c r="E22" s="1806">
        <f>'Expenditures 15-22'!K47-SUM('Expenditures 15-22'!G47,'Expenditures 15-22'!I47)+'Expenditures 15-22'!D243</f>
        <v>2236676</v>
      </c>
      <c r="F22" s="1804"/>
      <c r="G22" s="1807">
        <f>'Expenditures 15-22'!K47-SUM('Expenditures 15-22'!G47,'Expenditures 15-22'!I47)+'Expenditures 15-22'!D243</f>
        <v>2236676</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1813996</v>
      </c>
      <c r="F23" s="1804"/>
      <c r="G23" s="1806">
        <f>'Expenditures 15-22'!K53-SUM('Expenditures 15-22'!G53,'Expenditures 15-22'!I53)+'Expenditures 15-22'!D257+'Expenditures 15-22'!K330-SUM('Expenditures 15-22'!G330,'Expenditures 15-22'!I330)</f>
        <v>1813996</v>
      </c>
      <c r="H23" s="817"/>
      <c r="I23" s="157"/>
    </row>
    <row r="24" spans="1:9" s="542" customFormat="1" ht="12" customHeight="1" x14ac:dyDescent="0.2">
      <c r="A24" s="824" t="s">
        <v>561</v>
      </c>
      <c r="B24" s="825"/>
      <c r="C24" s="823">
        <v>2400</v>
      </c>
      <c r="D24" s="1804"/>
      <c r="E24" s="1806">
        <f>'Expenditures 15-22'!K57-SUM('Expenditures 15-22'!G57,'Expenditures 15-22'!I57)+'Expenditures 15-22'!D261</f>
        <v>1852342</v>
      </c>
      <c r="F24" s="1804"/>
      <c r="G24" s="1807">
        <f>'Expenditures 15-22'!K57-SUM('Expenditures 15-22'!G57,'Expenditures 15-22'!I57)+'Expenditures 15-22'!D261</f>
        <v>1852342</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134755</v>
      </c>
      <c r="E26" s="1806">
        <f>'Expenditures 15-22'!K122-SUM('Expenditures 15-22'!G122,'Expenditures 15-22'!I122)+E7</f>
        <v>0</v>
      </c>
      <c r="F26" s="1806">
        <f>'Expenditures 15-22'!K59-SUM('Expenditures 15-22'!G59,'Expenditures 15-22'!I59)+'Expenditures 15-22'!D263-E7</f>
        <v>134755</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520198</v>
      </c>
      <c r="E27" s="1806">
        <f>E8</f>
        <v>0</v>
      </c>
      <c r="F27" s="1806">
        <f>'Expenditures 15-22'!K60-SUM('Expenditures 15-22'!G60,'Expenditures 15-22'!I60)+'Expenditures 15-22'!D264-E8</f>
        <v>520198</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3561983</v>
      </c>
      <c r="F28" s="1808">
        <f>'Expenditures 15-22'!K61-SUM('Expenditures 15-22'!G61,'Expenditures 15-22'!I61)+'Expenditures 15-22'!K124-SUM('Expenditures 15-22'!G124,'Expenditures 15-22'!I124)+'Expenditures 15-22'!D266-E9</f>
        <v>3561983</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1196200</v>
      </c>
      <c r="F29" s="1804"/>
      <c r="G29" s="1807">
        <f>'Expenditures 15-22'!K62-SUM('Expenditures 15-22'!G62,'Expenditures 15-22'!I62)+'Expenditures 15-22'!K125-SUM('Expenditures 15-22'!G125,'Expenditures 15-22'!I125)+'Expenditures 15-22'!K182-SUM('Expenditures 15-22'!G182,'Expenditures 15-22'!I182)+'Expenditures 15-22'!D267</f>
        <v>1196200</v>
      </c>
      <c r="H29" s="815"/>
    </row>
    <row r="30" spans="1:9" ht="12" customHeight="1" x14ac:dyDescent="0.2">
      <c r="A30" s="824" t="s">
        <v>100</v>
      </c>
      <c r="B30" s="827"/>
      <c r="C30" s="823">
        <v>2560</v>
      </c>
      <c r="D30" s="1804"/>
      <c r="E30" s="1806">
        <f>'Expenditures 15-22'!K63-SUM('Expenditures 15-22'!G63,'Expenditures 15-22'!I63)+'Expenditures 15-22'!D268-E10</f>
        <v>1461985</v>
      </c>
      <c r="F30" s="1804"/>
      <c r="G30" s="1806">
        <f>'Expenditures 15-22'!K63-SUM('Expenditures 15-22'!G63,'Expenditures 15-22'!I63)+'Expenditures 15-22'!D268-E10</f>
        <v>1461985</v>
      </c>
    </row>
    <row r="31" spans="1:9" ht="12" customHeight="1" x14ac:dyDescent="0.2">
      <c r="A31" s="824" t="s">
        <v>101</v>
      </c>
      <c r="B31" s="827"/>
      <c r="C31" s="823">
        <v>2570</v>
      </c>
      <c r="D31" s="1806">
        <f>'Expenditures 15-22'!K64-SUM('Expenditures 15-22'!G64,'Expenditures 15-22'!I64)+'Expenditures 15-22'!D269-E12</f>
        <v>68671</v>
      </c>
      <c r="E31" s="1806">
        <f>E12</f>
        <v>0</v>
      </c>
      <c r="F31" s="1806">
        <f>'Expenditures 15-22'!K64-SUM('Expenditures 15-22'!G64,'Expenditures 15-22'!I64)+'Expenditures 15-22'!D269-E12</f>
        <v>68671</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1051</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399</v>
      </c>
      <c r="B36" s="827"/>
      <c r="C36" s="823">
        <v>2640</v>
      </c>
      <c r="D36" s="1806">
        <f>'Expenditures 15-22'!K70-SUM('Expenditures 15-22'!G70,'Expenditures 15-22'!I70)+'Expenditures 15-22'!D275-E13</f>
        <v>648</v>
      </c>
      <c r="E36" s="1806">
        <f>E13</f>
        <v>0</v>
      </c>
      <c r="F36" s="1806">
        <f>'Expenditures 15-22'!K70-SUM('Expenditures 15-22'!G70,'Expenditures 15-22'!I70)+'Expenditures 15-22'!D275-E13</f>
        <v>648</v>
      </c>
      <c r="G36" s="1806">
        <f>E13</f>
        <v>0</v>
      </c>
    </row>
    <row r="37" spans="1:7" ht="12" customHeight="1" x14ac:dyDescent="0.2">
      <c r="A37" s="824" t="s">
        <v>400</v>
      </c>
      <c r="B37" s="827"/>
      <c r="C37" s="823">
        <v>2660</v>
      </c>
      <c r="D37" s="1806">
        <f>'Expenditures 15-22'!K71-SUM('Expenditures 15-22'!G71,'Expenditures 15-22'!I71)+'Expenditures 15-22'!D276-E14</f>
        <v>861319</v>
      </c>
      <c r="E37" s="1806">
        <f>E14</f>
        <v>0</v>
      </c>
      <c r="F37" s="1806">
        <f>'Expenditures 15-22'!K71-SUM('Expenditures 15-22'!G71,'Expenditures 15-22'!I71)+'Expenditures 15-22'!D276-E14</f>
        <v>861319</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5707</v>
      </c>
      <c r="F38" s="1804"/>
      <c r="G38" s="1806">
        <f>'Expenditures 15-22'!K73-SUM('Expenditures 15-22'!G73,'Expenditures 15-22'!I73)+'Expenditures 15-22'!K128-SUM('Expenditures 15-22'!G128,'Expenditures 15-22'!I128)+'Expenditures 15-22'!K183-SUM('Expenditures 15-22'!G183,'Expenditures 15-22'!I183)+'Expenditures 15-22'!D278</f>
        <v>5707</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654655</v>
      </c>
      <c r="F39" s="1804"/>
      <c r="G39" s="1806">
        <f>'Expenditures 15-22'!K75-SUM('Expenditures 15-22'!G75,'Expenditures 15-22'!I75)+'Expenditures 15-22'!K130-SUM('Expenditures 15-22'!G130,'Expenditures 15-22'!I130)+'Expenditures 15-22'!K185-SUM('Expenditures 15-22'!G185,'Expenditures 15-22'!I185)+'Expenditures 15-22'!D280</f>
        <v>654655</v>
      </c>
    </row>
    <row r="40" spans="1:7" ht="12" customHeight="1" x14ac:dyDescent="0.2">
      <c r="A40" s="820" t="s">
        <v>1796</v>
      </c>
      <c r="B40" s="821"/>
      <c r="C40" s="823"/>
      <c r="D40" s="1804"/>
      <c r="E40" s="1808">
        <f>-'Contracts Paid in CY 29'!F142</f>
        <v>-3981624</v>
      </c>
      <c r="F40" s="1804"/>
      <c r="G40" s="1808">
        <f>-'Contracts Paid in CY 29'!F142</f>
        <v>-3981624</v>
      </c>
    </row>
    <row r="41" spans="1:7" ht="12" customHeight="1" x14ac:dyDescent="0.2">
      <c r="A41" s="828" t="s">
        <v>155</v>
      </c>
      <c r="B41" s="829"/>
      <c r="C41" s="830"/>
      <c r="D41" s="1808">
        <f>SUM(D19:D39)</f>
        <v>1585591</v>
      </c>
      <c r="E41" s="1808">
        <f>SUM(E19:E40)</f>
        <v>28774618</v>
      </c>
      <c r="F41" s="1808">
        <f>SUM(F19:F39)</f>
        <v>5147574</v>
      </c>
      <c r="G41" s="1808">
        <f>SUM(G19:G40)</f>
        <v>25212635</v>
      </c>
    </row>
    <row r="42" spans="1:7" x14ac:dyDescent="0.2">
      <c r="A42" s="817"/>
      <c r="B42" s="157"/>
      <c r="C42" s="831"/>
      <c r="D42" s="2401" t="s">
        <v>518</v>
      </c>
      <c r="E42" s="2402"/>
      <c r="F42" s="832" t="s">
        <v>519</v>
      </c>
      <c r="G42" s="833"/>
    </row>
    <row r="43" spans="1:7" ht="12" customHeight="1" x14ac:dyDescent="0.2">
      <c r="A43" s="817"/>
      <c r="B43" s="157"/>
      <c r="C43" s="831"/>
      <c r="D43" s="1457" t="s">
        <v>469</v>
      </c>
      <c r="E43" s="1809">
        <f>D41</f>
        <v>1585591</v>
      </c>
      <c r="F43" s="1457" t="s">
        <v>469</v>
      </c>
      <c r="G43" s="1809">
        <f>F41</f>
        <v>5147574</v>
      </c>
    </row>
    <row r="44" spans="1:7" ht="12" customHeight="1" x14ac:dyDescent="0.2">
      <c r="A44" s="817"/>
      <c r="B44" s="157"/>
      <c r="C44" s="831"/>
      <c r="D44" s="1457" t="s">
        <v>470</v>
      </c>
      <c r="E44" s="1809">
        <f>E41</f>
        <v>28774618</v>
      </c>
      <c r="F44" s="1457" t="s">
        <v>470</v>
      </c>
      <c r="G44" s="1809">
        <f>G41</f>
        <v>25212635</v>
      </c>
    </row>
    <row r="45" spans="1:7" ht="12" customHeight="1" x14ac:dyDescent="0.2">
      <c r="A45" s="817"/>
      <c r="B45" s="157"/>
      <c r="C45" s="157"/>
      <c r="D45" s="1458" t="s">
        <v>998</v>
      </c>
      <c r="E45" s="1810">
        <f>(E43/E44)</f>
        <v>5.5103807112226476E-2</v>
      </c>
      <c r="F45" s="1458" t="s">
        <v>998</v>
      </c>
      <c r="G45" s="1810">
        <f>(G43/G44)</f>
        <v>0.20416644273793674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view="pageBreakPreview" topLeftCell="B1" zoomScale="85" zoomScaleNormal="100" zoomScaleSheetLayoutView="85"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7.140625" style="1506" bestFit="1" customWidth="1"/>
    <col min="9" max="9" width="3.42578125" style="1506" bestFit="1" customWidth="1"/>
    <col min="10" max="10" width="2.28515625" style="1506" bestFit="1" customWidth="1"/>
    <col min="11" max="11" width="9" style="1506" customWidth="1"/>
    <col min="12" max="16384" width="9.140625" style="1476"/>
  </cols>
  <sheetData>
    <row r="1" spans="1:15" x14ac:dyDescent="0.2">
      <c r="A1" s="2420" t="s">
        <v>1362</v>
      </c>
      <c r="B1" s="2420"/>
      <c r="C1" s="2420"/>
      <c r="D1" s="2420"/>
      <c r="E1" s="2420"/>
      <c r="F1" s="2420"/>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21" t="s">
        <v>1528</v>
      </c>
      <c r="B5" s="2422"/>
      <c r="C5" s="2423"/>
      <c r="D5" s="2423"/>
      <c r="E5" s="2423"/>
      <c r="F5" s="2423"/>
      <c r="G5" s="1506"/>
      <c r="L5" s="1506"/>
      <c r="M5" s="1854"/>
      <c r="N5" s="1854"/>
      <c r="O5" s="1854"/>
    </row>
    <row r="6" spans="1:15" ht="12" customHeight="1" x14ac:dyDescent="0.25">
      <c r="A6" s="1479"/>
      <c r="B6" s="1480"/>
      <c r="C6" s="2424" t="str">
        <f>COVER!A17</f>
        <v>Dolton SD 148</v>
      </c>
      <c r="D6" s="2424"/>
      <c r="E6" s="2424"/>
      <c r="F6" s="1481"/>
      <c r="G6" s="1506"/>
      <c r="L6" s="1506"/>
      <c r="M6" s="1854"/>
      <c r="N6" s="1854"/>
      <c r="O6" s="1854"/>
    </row>
    <row r="7" spans="1:15" ht="11.25" customHeight="1" thickBot="1" x14ac:dyDescent="0.3">
      <c r="A7" s="1479"/>
      <c r="B7" s="1480"/>
      <c r="C7" s="2425">
        <f>COVER!A13</f>
        <v>7016148002</v>
      </c>
      <c r="D7" s="2425"/>
      <c r="E7" s="2425"/>
      <c r="F7" s="1481"/>
      <c r="G7" s="1506"/>
      <c r="L7" s="1506"/>
      <c r="M7" s="1854"/>
      <c r="N7" s="1854"/>
      <c r="O7" s="1854"/>
    </row>
    <row r="8" spans="1:15" ht="25.5" customHeight="1" thickBot="1" x14ac:dyDescent="0.25">
      <c r="A8" s="1518" t="s">
        <v>1872</v>
      </c>
      <c r="B8" s="1482"/>
      <c r="C8" s="1514" t="s">
        <v>1661</v>
      </c>
      <c r="D8" s="1513" t="s">
        <v>1662</v>
      </c>
      <c r="E8" s="1515" t="s">
        <v>1363</v>
      </c>
      <c r="F8" s="1513" t="s">
        <v>1663</v>
      </c>
      <c r="G8" s="1506"/>
      <c r="H8" s="1483" t="b">
        <v>0</v>
      </c>
      <c r="L8" s="1506"/>
      <c r="M8" s="1854"/>
      <c r="N8" s="1854"/>
      <c r="O8" s="1854"/>
    </row>
    <row r="9" spans="1:15" ht="15.75" customHeight="1" x14ac:dyDescent="0.2">
      <c r="A9" s="1484" t="s">
        <v>1524</v>
      </c>
      <c r="B9" s="1485"/>
      <c r="C9" s="1486"/>
      <c r="D9" s="1486"/>
      <c r="E9" s="1487"/>
      <c r="F9" s="1488"/>
      <c r="G9" s="1506"/>
      <c r="L9" s="1506"/>
      <c r="M9" s="1854"/>
      <c r="N9" s="1854"/>
      <c r="O9" s="1854"/>
    </row>
    <row r="10" spans="1:15" ht="27.75" customHeight="1" x14ac:dyDescent="0.2">
      <c r="A10" s="1489" t="s">
        <v>1660</v>
      </c>
      <c r="B10" s="1490"/>
      <c r="C10" s="1491"/>
      <c r="D10" s="1491"/>
      <c r="E10" s="1516" t="s">
        <v>1364</v>
      </c>
      <c r="F10" s="1517" t="s">
        <v>1365</v>
      </c>
      <c r="G10" s="1506"/>
      <c r="L10" s="1506"/>
      <c r="M10" s="1854"/>
      <c r="N10" s="1854"/>
      <c r="O10" s="1854"/>
    </row>
    <row r="11" spans="1:15" ht="12" customHeight="1" x14ac:dyDescent="0.2">
      <c r="A11" s="1492" t="s">
        <v>1366</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1368</v>
      </c>
      <c r="B13" s="1493"/>
      <c r="C13" s="1494" t="s">
        <v>2049</v>
      </c>
      <c r="D13" s="1494" t="s">
        <v>2049</v>
      </c>
      <c r="E13" s="1497" t="s">
        <v>2080</v>
      </c>
      <c r="F13" s="1496" t="s">
        <v>2216</v>
      </c>
      <c r="G13" s="1506"/>
      <c r="H13" s="1506">
        <f t="shared" si="0"/>
        <v>5</v>
      </c>
      <c r="I13" s="1506">
        <f t="shared" si="1"/>
        <v>5</v>
      </c>
      <c r="J13" s="1506">
        <f t="shared" si="2"/>
        <v>0</v>
      </c>
      <c r="L13" s="1506"/>
      <c r="M13" s="1854"/>
      <c r="N13" s="1854"/>
      <c r="O13" s="1854"/>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1371</v>
      </c>
      <c r="B16" s="1493"/>
      <c r="C16" s="1494" t="s">
        <v>2049</v>
      </c>
      <c r="D16" s="1494" t="s">
        <v>2049</v>
      </c>
      <c r="E16" s="1497" t="s">
        <v>2080</v>
      </c>
      <c r="F16" s="1496" t="s">
        <v>2192</v>
      </c>
      <c r="G16" s="1506"/>
      <c r="H16" s="1506">
        <f t="shared" si="0"/>
        <v>5</v>
      </c>
      <c r="I16" s="1506">
        <f t="shared" si="1"/>
        <v>5</v>
      </c>
      <c r="J16" s="1506">
        <f t="shared" si="2"/>
        <v>0</v>
      </c>
      <c r="L16" s="1506"/>
      <c r="M16" s="1854"/>
      <c r="N16" s="1854"/>
      <c r="O16" s="1854"/>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1509</v>
      </c>
      <c r="B19" s="1493"/>
      <c r="C19" s="1494" t="s">
        <v>2049</v>
      </c>
      <c r="D19" s="1494" t="s">
        <v>2049</v>
      </c>
      <c r="E19" s="1497" t="s">
        <v>2080</v>
      </c>
      <c r="F19" s="1496" t="s">
        <v>2217</v>
      </c>
      <c r="G19" s="1506"/>
      <c r="H19" s="1506">
        <f t="shared" si="0"/>
        <v>5</v>
      </c>
      <c r="I19" s="1506">
        <f t="shared" si="1"/>
        <v>5</v>
      </c>
      <c r="J19" s="1506">
        <f t="shared" si="2"/>
        <v>0</v>
      </c>
      <c r="L19" s="1506"/>
      <c r="M19" s="1854"/>
      <c r="N19" s="1854"/>
      <c r="O19" s="1854"/>
    </row>
    <row r="20" spans="1:15" ht="12" customHeight="1" x14ac:dyDescent="0.2">
      <c r="A20" s="1492" t="s">
        <v>1510</v>
      </c>
      <c r="B20" s="1493"/>
      <c r="C20" s="1494" t="s">
        <v>2049</v>
      </c>
      <c r="D20" s="1494" t="s">
        <v>2049</v>
      </c>
      <c r="E20" s="1497" t="s">
        <v>2080</v>
      </c>
      <c r="F20" s="1496" t="s">
        <v>2218</v>
      </c>
      <c r="G20" s="1506"/>
      <c r="H20" s="1506">
        <f t="shared" si="0"/>
        <v>5</v>
      </c>
      <c r="I20" s="1506">
        <f t="shared" si="1"/>
        <v>5</v>
      </c>
      <c r="J20" s="1506">
        <f t="shared" si="2"/>
        <v>0</v>
      </c>
      <c r="L20" s="1506"/>
      <c r="M20" s="1854"/>
      <c r="N20" s="1854"/>
      <c r="O20" s="1854"/>
    </row>
    <row r="21" spans="1:15" ht="12" customHeight="1" x14ac:dyDescent="0.2">
      <c r="A21" s="1492" t="s">
        <v>1511</v>
      </c>
      <c r="B21" s="1493"/>
      <c r="C21" s="1494" t="s">
        <v>2049</v>
      </c>
      <c r="D21" s="1494" t="s">
        <v>2049</v>
      </c>
      <c r="E21" s="1497" t="s">
        <v>2080</v>
      </c>
      <c r="F21" s="1496" t="s">
        <v>2230</v>
      </c>
      <c r="G21" s="1506"/>
      <c r="H21" s="1506">
        <f t="shared" si="0"/>
        <v>5</v>
      </c>
      <c r="I21" s="1506">
        <f t="shared" si="1"/>
        <v>5</v>
      </c>
      <c r="J21" s="1506">
        <f t="shared" si="2"/>
        <v>0</v>
      </c>
      <c r="L21" s="1506"/>
      <c r="M21" s="1854"/>
      <c r="N21" s="1854"/>
      <c r="O21" s="1854"/>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1514</v>
      </c>
      <c r="B24" s="1493"/>
      <c r="C24" s="1494" t="s">
        <v>2049</v>
      </c>
      <c r="D24" s="1494" t="s">
        <v>2049</v>
      </c>
      <c r="E24" s="1497" t="s">
        <v>2080</v>
      </c>
      <c r="F24" s="1496" t="s">
        <v>2219</v>
      </c>
      <c r="G24" s="1506"/>
      <c r="H24" s="1506">
        <f t="shared" si="0"/>
        <v>5</v>
      </c>
      <c r="I24" s="1506">
        <f t="shared" si="1"/>
        <v>5</v>
      </c>
      <c r="J24" s="1506">
        <f t="shared" si="2"/>
        <v>0</v>
      </c>
      <c r="L24" s="1506"/>
      <c r="M24" s="1854"/>
      <c r="N24" s="1854"/>
      <c r="O24" s="1854"/>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1516</v>
      </c>
      <c r="B26" s="1493"/>
      <c r="C26" s="1494" t="s">
        <v>2049</v>
      </c>
      <c r="D26" s="1494" t="s">
        <v>2049</v>
      </c>
      <c r="E26" s="1497" t="s">
        <v>2080</v>
      </c>
      <c r="F26" s="1496" t="s">
        <v>2216</v>
      </c>
      <c r="G26" s="1506"/>
      <c r="H26" s="1506">
        <f t="shared" si="0"/>
        <v>5</v>
      </c>
      <c r="I26" s="1506">
        <f t="shared" si="1"/>
        <v>5</v>
      </c>
      <c r="J26" s="1506">
        <f t="shared" si="2"/>
        <v>0</v>
      </c>
      <c r="L26" s="1506"/>
      <c r="M26" s="1854"/>
      <c r="N26" s="1854"/>
      <c r="O26" s="1854"/>
    </row>
    <row r="27" spans="1:15" ht="18.75" x14ac:dyDescent="0.2">
      <c r="A27" s="1492" t="s">
        <v>1517</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1520</v>
      </c>
      <c r="B30" s="1493"/>
      <c r="C30" s="1494" t="s">
        <v>2049</v>
      </c>
      <c r="D30" s="1494" t="s">
        <v>2049</v>
      </c>
      <c r="E30" s="1497" t="s">
        <v>2080</v>
      </c>
      <c r="F30" s="1496" t="s">
        <v>2211</v>
      </c>
      <c r="G30" s="1506"/>
      <c r="H30" s="1506">
        <f t="shared" si="0"/>
        <v>5</v>
      </c>
      <c r="I30" s="1506">
        <f t="shared" si="1"/>
        <v>5</v>
      </c>
      <c r="J30" s="1506">
        <f t="shared" si="2"/>
        <v>0</v>
      </c>
      <c r="L30" s="1506"/>
      <c r="M30" s="1854"/>
      <c r="N30" s="1854"/>
      <c r="O30" s="1854"/>
    </row>
    <row r="31" spans="1:15" ht="12" customHeight="1" x14ac:dyDescent="0.2">
      <c r="A31" s="1492" t="s">
        <v>1521</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1522</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40</v>
      </c>
      <c r="I34" s="1506">
        <f>SUM(I11:I32)</f>
        <v>40</v>
      </c>
      <c r="J34" s="1506">
        <f>SUM(J11:J32)</f>
        <v>0</v>
      </c>
      <c r="K34" s="1506">
        <f>SUM(H34:J34)</f>
        <v>80</v>
      </c>
      <c r="L34" s="1506"/>
      <c r="M34" s="1854"/>
      <c r="N34" s="1854"/>
      <c r="O34" s="1854"/>
    </row>
    <row r="35" spans="1:15" ht="12" customHeight="1" x14ac:dyDescent="0.2">
      <c r="A35" s="1499" t="s">
        <v>1375</v>
      </c>
      <c r="B35" s="1500"/>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501"/>
      <c r="B39" s="1501"/>
      <c r="C39" s="1501"/>
      <c r="D39" s="1501"/>
      <c r="E39" s="1501"/>
      <c r="F39" s="1501"/>
    </row>
    <row r="40" spans="1:15" s="1498" customFormat="1" ht="12" customHeight="1" x14ac:dyDescent="0.25">
      <c r="A40" s="1502" t="s">
        <v>1374</v>
      </c>
      <c r="B40" s="1503"/>
      <c r="C40" s="2415"/>
      <c r="D40" s="2415"/>
      <c r="E40" s="2415"/>
      <c r="F40" s="2416"/>
      <c r="H40" s="1507"/>
      <c r="I40" s="1507"/>
      <c r="J40" s="1507"/>
      <c r="K40" s="1507"/>
    </row>
    <row r="41" spans="1:15" s="1498" customFormat="1" ht="12" customHeight="1" x14ac:dyDescent="0.25">
      <c r="A41" s="2417"/>
      <c r="B41" s="2418"/>
      <c r="C41" s="2418"/>
      <c r="D41" s="2418"/>
      <c r="E41" s="2418"/>
      <c r="F41" s="2419"/>
      <c r="H41" s="1507"/>
      <c r="I41" s="1507"/>
      <c r="J41" s="1507"/>
      <c r="K41" s="1507"/>
    </row>
    <row r="42" spans="1:15" s="1498" customFormat="1" ht="12" customHeight="1" x14ac:dyDescent="0.25">
      <c r="A42" s="2417"/>
      <c r="B42" s="2418"/>
      <c r="C42" s="2418"/>
      <c r="D42" s="2418"/>
      <c r="E42" s="2418"/>
      <c r="F42" s="2419"/>
      <c r="H42" s="1507"/>
      <c r="I42" s="1507"/>
      <c r="J42" s="1507"/>
      <c r="K42" s="1507"/>
    </row>
    <row r="43" spans="1:15" s="1498" customFormat="1" ht="15" x14ac:dyDescent="0.25">
      <c r="A43" s="2406"/>
      <c r="B43" s="2407"/>
      <c r="C43" s="2407"/>
      <c r="D43" s="2407"/>
      <c r="E43" s="2407"/>
      <c r="F43" s="2408"/>
      <c r="H43" s="1507"/>
      <c r="I43" s="1507"/>
      <c r="J43" s="1507"/>
      <c r="K43" s="1507"/>
    </row>
    <row r="44" spans="1:15" s="1498" customFormat="1" ht="12" hidden="1" customHeight="1" x14ac:dyDescent="0.25">
      <c r="A44" s="2406"/>
      <c r="B44" s="2407"/>
      <c r="C44" s="2407"/>
      <c r="D44" s="2407"/>
      <c r="E44" s="2407"/>
      <c r="F44" s="240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view="pageBreakPreview" zoomScale="60" zoomScaleNormal="100" workbookViewId="0"/>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6"/>
      <c r="C6" s="1376"/>
      <c r="D6" s="1376"/>
      <c r="E6" s="1377"/>
      <c r="F6" s="1921"/>
      <c r="G6" s="1922"/>
      <c r="H6" s="838"/>
      <c r="I6" s="1923" t="s">
        <v>1020</v>
      </c>
      <c r="J6" s="2446" t="str">
        <f>COVER!A17</f>
        <v>Dolton SD 148</v>
      </c>
      <c r="K6" s="2446"/>
      <c r="L6" s="2460"/>
      <c r="M6" s="838"/>
      <c r="N6" s="1997"/>
    </row>
    <row r="7" spans="1:14" x14ac:dyDescent="0.2">
      <c r="A7" s="2461" t="s">
        <v>863</v>
      </c>
      <c r="B7" s="2462"/>
      <c r="C7" s="2462"/>
      <c r="D7" s="2462"/>
      <c r="E7" s="2463"/>
      <c r="F7" s="839"/>
      <c r="G7" s="838"/>
      <c r="H7" s="838"/>
      <c r="I7" s="1923" t="s">
        <v>368</v>
      </c>
      <c r="J7" s="2448">
        <f>COVER!A13</f>
        <v>7016148002</v>
      </c>
      <c r="K7" s="2448"/>
      <c r="L7" s="244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6"/>
      <c r="G9" s="1856"/>
      <c r="H9" s="1856"/>
      <c r="I9" s="1928" t="s">
        <v>2017</v>
      </c>
      <c r="J9" s="1856"/>
      <c r="K9" s="1856"/>
      <c r="L9" s="1857"/>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464" t="s">
        <v>477</v>
      </c>
      <c r="B11" s="2465"/>
      <c r="C11" s="2466"/>
      <c r="D11" s="1936" t="s">
        <v>865</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812</v>
      </c>
      <c r="C12" s="842"/>
      <c r="D12" s="1940">
        <v>2320</v>
      </c>
      <c r="E12" s="1943">
        <f>'Expenditures 15-22'!K50</f>
        <v>580925</v>
      </c>
      <c r="F12" s="1941"/>
      <c r="G12" s="1967">
        <f>G68</f>
        <v>0</v>
      </c>
      <c r="H12" s="1943">
        <f t="shared" ref="H12:H18" si="0">SUM(E12:G12)</f>
        <v>580925</v>
      </c>
      <c r="I12" s="1942">
        <v>508000</v>
      </c>
      <c r="J12" s="1941"/>
      <c r="K12" s="1942">
        <v>0</v>
      </c>
      <c r="L12" s="1943">
        <f t="shared" ref="L12:L18" si="1">SUM(I12:K12)</f>
        <v>508000</v>
      </c>
      <c r="M12" s="838"/>
      <c r="N12" s="1997"/>
    </row>
    <row r="13" spans="1:14" x14ac:dyDescent="0.2">
      <c r="A13" s="2002">
        <v>2</v>
      </c>
      <c r="B13" s="1939" t="s">
        <v>42</v>
      </c>
      <c r="C13" s="842"/>
      <c r="D13" s="1940">
        <v>2330</v>
      </c>
      <c r="E13" s="1943">
        <f>'Expenditures 15-22'!K51</f>
        <v>251582</v>
      </c>
      <c r="F13" s="1941"/>
      <c r="G13" s="1967">
        <f>H68</f>
        <v>0</v>
      </c>
      <c r="H13" s="1943">
        <f t="shared" si="0"/>
        <v>251582</v>
      </c>
      <c r="I13" s="1942">
        <v>166000</v>
      </c>
      <c r="J13" s="1941"/>
      <c r="K13" s="1942">
        <v>0</v>
      </c>
      <c r="L13" s="1943">
        <f t="shared" si="1"/>
        <v>166000</v>
      </c>
      <c r="M13" s="838"/>
      <c r="N13" s="1997"/>
    </row>
    <row r="14" spans="1:14" x14ac:dyDescent="0.2">
      <c r="A14" s="2002">
        <v>3</v>
      </c>
      <c r="B14" s="1939" t="s">
        <v>43</v>
      </c>
      <c r="C14" s="842"/>
      <c r="D14" s="1944">
        <v>2490</v>
      </c>
      <c r="E14" s="1943">
        <f>'Expenditures 15-22'!K56</f>
        <v>570</v>
      </c>
      <c r="F14" s="1941"/>
      <c r="G14" s="1967">
        <f>I68</f>
        <v>0</v>
      </c>
      <c r="H14" s="1943">
        <f t="shared" si="0"/>
        <v>570</v>
      </c>
      <c r="I14" s="1942">
        <v>23057</v>
      </c>
      <c r="J14" s="1941"/>
      <c r="K14" s="1942">
        <v>0</v>
      </c>
      <c r="L14" s="1943">
        <f t="shared" si="1"/>
        <v>23057</v>
      </c>
      <c r="M14" s="838"/>
      <c r="N14" s="1997"/>
    </row>
    <row r="15" spans="1:14" x14ac:dyDescent="0.2">
      <c r="A15" s="2002">
        <v>4</v>
      </c>
      <c r="B15" s="1939" t="s">
        <v>1058</v>
      </c>
      <c r="C15" s="842"/>
      <c r="D15" s="1940">
        <v>2510</v>
      </c>
      <c r="E15" s="1943">
        <f>'Expenditures 15-22'!K59</f>
        <v>134434</v>
      </c>
      <c r="F15" s="1943">
        <f>'Expenditures 15-22'!K122</f>
        <v>0</v>
      </c>
      <c r="G15" s="1967">
        <f>J68</f>
        <v>0</v>
      </c>
      <c r="H15" s="1943">
        <f t="shared" si="0"/>
        <v>134434</v>
      </c>
      <c r="I15" s="1942">
        <v>250233</v>
      </c>
      <c r="J15" s="1942">
        <v>0</v>
      </c>
      <c r="K15" s="1942">
        <v>0</v>
      </c>
      <c r="L15" s="1943">
        <f t="shared" si="1"/>
        <v>250233</v>
      </c>
      <c r="M15" s="838"/>
      <c r="N15" s="1997"/>
    </row>
    <row r="16" spans="1:14" x14ac:dyDescent="0.2">
      <c r="A16" s="2002">
        <v>5</v>
      </c>
      <c r="B16" s="1939" t="s">
        <v>101</v>
      </c>
      <c r="C16" s="842"/>
      <c r="D16" s="1940">
        <v>2570</v>
      </c>
      <c r="E16" s="1943">
        <f>'Expenditures 15-22'!K64</f>
        <v>68671</v>
      </c>
      <c r="F16" s="1941"/>
      <c r="G16" s="1967">
        <f>K68</f>
        <v>0</v>
      </c>
      <c r="H16" s="1943">
        <f t="shared" si="0"/>
        <v>68671</v>
      </c>
      <c r="I16" s="1942">
        <v>100000</v>
      </c>
      <c r="J16" s="1941"/>
      <c r="K16" s="1942">
        <v>0</v>
      </c>
      <c r="L16" s="1943">
        <f t="shared" si="1"/>
        <v>100000</v>
      </c>
      <c r="M16" s="838"/>
      <c r="N16" s="1997"/>
    </row>
    <row r="17" spans="1:14" x14ac:dyDescent="0.2">
      <c r="A17" s="2002">
        <v>6</v>
      </c>
      <c r="B17" s="1939" t="s">
        <v>1050</v>
      </c>
      <c r="C17" s="842"/>
      <c r="D17" s="1940">
        <v>2610</v>
      </c>
      <c r="E17" s="1943">
        <f>'Expenditures 15-22'!K67</f>
        <v>0</v>
      </c>
      <c r="F17" s="1941"/>
      <c r="G17" s="1967">
        <f>L68</f>
        <v>0</v>
      </c>
      <c r="H17" s="1943">
        <f t="shared" si="0"/>
        <v>0</v>
      </c>
      <c r="I17" s="1942">
        <v>0</v>
      </c>
      <c r="J17" s="1941"/>
      <c r="K17" s="1942">
        <v>0</v>
      </c>
      <c r="L17" s="1943">
        <f t="shared" si="1"/>
        <v>0</v>
      </c>
      <c r="M17" s="838"/>
      <c r="N17" s="1997"/>
    </row>
    <row r="18" spans="1:14" ht="26.25" customHeight="1" x14ac:dyDescent="0.2">
      <c r="A18" s="2003">
        <v>7</v>
      </c>
      <c r="B18" s="2467" t="s">
        <v>7</v>
      </c>
      <c r="C18" s="2468"/>
      <c r="D18" s="2469"/>
      <c r="E18" s="1945">
        <v>0</v>
      </c>
      <c r="F18" s="1945">
        <v>0</v>
      </c>
      <c r="G18" s="1942">
        <v>0</v>
      </c>
      <c r="H18" s="1946">
        <f t="shared" si="0"/>
        <v>0</v>
      </c>
      <c r="I18" s="1942">
        <v>0</v>
      </c>
      <c r="J18" s="1942">
        <v>0</v>
      </c>
      <c r="K18" s="1942">
        <v>0</v>
      </c>
      <c r="L18" s="1943">
        <f t="shared" si="1"/>
        <v>0</v>
      </c>
      <c r="M18" s="838"/>
      <c r="N18" s="1997"/>
    </row>
    <row r="19" spans="1:14" ht="13.5" thickBot="1" x14ac:dyDescent="0.25">
      <c r="A19" s="2002">
        <v>8</v>
      </c>
      <c r="B19" s="1947" t="s">
        <v>1150</v>
      </c>
      <c r="C19" s="838"/>
      <c r="D19" s="1948"/>
      <c r="E19" s="1949">
        <f t="shared" ref="E19:L19" si="2">SUM(E12:E17)-E18</f>
        <v>1036182</v>
      </c>
      <c r="F19" s="1949">
        <f t="shared" si="2"/>
        <v>0</v>
      </c>
      <c r="G19" s="1949">
        <f t="shared" ref="G19" si="3">SUM(G12:G17)-G18</f>
        <v>0</v>
      </c>
      <c r="H19" s="1949">
        <f t="shared" si="2"/>
        <v>1036182</v>
      </c>
      <c r="I19" s="1949">
        <f t="shared" si="2"/>
        <v>1047290</v>
      </c>
      <c r="J19" s="1949">
        <f t="shared" si="2"/>
        <v>0</v>
      </c>
      <c r="K19" s="1949">
        <f t="shared" si="2"/>
        <v>0</v>
      </c>
      <c r="L19" s="1949">
        <f t="shared" si="2"/>
        <v>1047290</v>
      </c>
      <c r="M19" s="838"/>
      <c r="N19" s="1997"/>
    </row>
    <row r="20" spans="1:14" ht="13.5" thickTop="1" x14ac:dyDescent="0.2">
      <c r="A20" s="2002">
        <v>9</v>
      </c>
      <c r="B20" s="2470" t="s">
        <v>2019</v>
      </c>
      <c r="C20" s="2470"/>
      <c r="D20" s="2471"/>
      <c r="E20" s="1950"/>
      <c r="F20" s="1950"/>
      <c r="G20" s="1950"/>
      <c r="H20" s="1950"/>
      <c r="I20" s="1950"/>
      <c r="J20" s="1950"/>
      <c r="K20" s="1950"/>
      <c r="L20" s="1951">
        <f>IF(AND(H19&gt;0,L19&gt;0),(((L19-H19)/H19)),"Enter Budget Data")</f>
        <v>1.0720124456900428E-2</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72"/>
      <c r="D27" s="2472"/>
      <c r="E27" s="843"/>
      <c r="F27" s="2473"/>
      <c r="G27" s="2473"/>
      <c r="H27" s="2473"/>
      <c r="I27" s="838"/>
      <c r="J27" s="838"/>
      <c r="K27" s="838"/>
      <c r="L27" s="838"/>
      <c r="M27" s="838"/>
      <c r="N27" s="1997"/>
    </row>
    <row r="28" spans="1:14" x14ac:dyDescent="0.2">
      <c r="A28" s="1996"/>
      <c r="B28" s="2006"/>
      <c r="C28" s="1956" t="s">
        <v>1025</v>
      </c>
      <c r="D28" s="844"/>
      <c r="E28" s="1957"/>
      <c r="F28" s="2474" t="s">
        <v>1491</v>
      </c>
      <c r="G28" s="2474"/>
      <c r="H28" s="2474"/>
      <c r="I28" s="838"/>
      <c r="J28" s="838"/>
      <c r="K28" s="838"/>
      <c r="L28" s="838"/>
      <c r="M28" s="838"/>
      <c r="N28" s="1997"/>
    </row>
    <row r="29" spans="1:14" x14ac:dyDescent="0.2">
      <c r="A29" s="1996"/>
      <c r="B29" s="2006"/>
      <c r="C29" s="2475"/>
      <c r="D29" s="2475"/>
      <c r="E29" s="845"/>
      <c r="F29" s="2475"/>
      <c r="G29" s="2475"/>
      <c r="H29" s="2475"/>
      <c r="I29" s="838"/>
      <c r="J29" s="838"/>
      <c r="K29" s="838"/>
      <c r="L29" s="838"/>
      <c r="M29" s="838"/>
      <c r="N29" s="1997"/>
    </row>
    <row r="30" spans="1:14" x14ac:dyDescent="0.2">
      <c r="A30" s="1996"/>
      <c r="B30" s="2006"/>
      <c r="C30" s="1959" t="s">
        <v>1543</v>
      </c>
      <c r="D30" s="838"/>
      <c r="E30" s="1958"/>
      <c r="F30" s="2459" t="s">
        <v>1492</v>
      </c>
      <c r="G30" s="2459"/>
      <c r="H30" s="245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6" t="s">
        <v>2022</v>
      </c>
      <c r="D34" s="2437"/>
      <c r="E34" s="2437"/>
      <c r="F34" s="2437"/>
      <c r="G34" s="2437"/>
      <c r="H34" s="2437"/>
      <c r="I34" s="2437"/>
      <c r="J34" s="2437"/>
      <c r="K34" s="2015"/>
      <c r="L34" s="838"/>
      <c r="M34" s="838"/>
      <c r="N34" s="1997"/>
    </row>
    <row r="35" spans="1:14" x14ac:dyDescent="0.2">
      <c r="A35" s="1996"/>
      <c r="B35" s="838"/>
      <c r="C35" s="2437"/>
      <c r="D35" s="2437"/>
      <c r="E35" s="2437"/>
      <c r="F35" s="2437"/>
      <c r="G35" s="2437"/>
      <c r="H35" s="2437"/>
      <c r="I35" s="2437"/>
      <c r="J35" s="243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6" t="s">
        <v>2023</v>
      </c>
      <c r="D37" s="2437"/>
      <c r="E37" s="2437"/>
      <c r="F37" s="2437"/>
      <c r="G37" s="2437"/>
      <c r="H37" s="2437"/>
      <c r="I37" s="2437"/>
      <c r="J37" s="2437"/>
      <c r="K37" s="2015"/>
      <c r="L37" s="2017"/>
      <c r="M37" s="838"/>
      <c r="N37" s="1997"/>
    </row>
    <row r="38" spans="1:14" x14ac:dyDescent="0.2">
      <c r="A38" s="1996"/>
      <c r="B38" s="838"/>
      <c r="C38" s="2437"/>
      <c r="D38" s="2437"/>
      <c r="E38" s="2437"/>
      <c r="F38" s="2437"/>
      <c r="G38" s="2437"/>
      <c r="H38" s="2437"/>
      <c r="I38" s="2437"/>
      <c r="J38" s="243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38" t="s">
        <v>2024</v>
      </c>
      <c r="D40" s="2439"/>
      <c r="E40" s="2439"/>
      <c r="F40" s="2439"/>
      <c r="G40" s="2439"/>
      <c r="H40" s="2439"/>
      <c r="I40" s="2439"/>
      <c r="J40" s="243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0" t="s">
        <v>2025</v>
      </c>
      <c r="B43" s="2441"/>
      <c r="C43" s="2441"/>
      <c r="D43" s="2441"/>
      <c r="E43" s="2441"/>
      <c r="F43" s="2441"/>
      <c r="G43" s="2441"/>
      <c r="H43" s="2441"/>
      <c r="I43" s="2441"/>
      <c r="J43" s="2441"/>
      <c r="K43" s="2441"/>
      <c r="L43" s="2441"/>
      <c r="M43" s="2441"/>
      <c r="N43" s="244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43" t="s">
        <v>2027</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46" t="str">
        <f>J6</f>
        <v>Dolton SD 148</v>
      </c>
      <c r="M52" s="2446"/>
      <c r="N52" s="2447"/>
    </row>
    <row r="53" spans="1:14" x14ac:dyDescent="0.2">
      <c r="A53" s="1981"/>
      <c r="B53" s="1982"/>
      <c r="C53" s="1982"/>
      <c r="D53" s="1982"/>
      <c r="E53" s="1982"/>
      <c r="F53" s="1982"/>
      <c r="G53" s="1982"/>
      <c r="H53" s="1982"/>
      <c r="I53" s="1982"/>
      <c r="J53" s="1982"/>
      <c r="K53" s="1923" t="s">
        <v>368</v>
      </c>
      <c r="L53" s="2448">
        <f>J7</f>
        <v>7016148002</v>
      </c>
      <c r="M53" s="2448"/>
      <c r="N53" s="244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0"/>
      <c r="B55" s="2451"/>
      <c r="C55" s="2451"/>
      <c r="D55" s="1969"/>
      <c r="E55" s="1969"/>
      <c r="F55" s="1969"/>
      <c r="G55" s="2452" t="s">
        <v>2028</v>
      </c>
      <c r="H55" s="2452"/>
      <c r="I55" s="2452"/>
      <c r="J55" s="2452"/>
      <c r="K55" s="2452"/>
      <c r="L55" s="2452"/>
      <c r="M55" s="2452"/>
      <c r="N55" s="2453"/>
    </row>
    <row r="56" spans="1:14" ht="63.75" x14ac:dyDescent="0.2">
      <c r="A56" s="2454" t="s">
        <v>2029</v>
      </c>
      <c r="B56" s="2455"/>
      <c r="C56" s="2456"/>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57" t="s">
        <v>295</v>
      </c>
      <c r="B57" s="2458"/>
      <c r="C57" s="245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4" t="s">
        <v>2039</v>
      </c>
      <c r="B58" s="2435"/>
      <c r="C58" s="2435"/>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28" t="s">
        <v>296</v>
      </c>
      <c r="B59" s="2429"/>
      <c r="C59" s="2429"/>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28" t="s">
        <v>236</v>
      </c>
      <c r="B60" s="2429"/>
      <c r="C60" s="2429"/>
      <c r="D60" s="1966">
        <v>2364</v>
      </c>
      <c r="E60" s="1976">
        <f>'Expenditures 15-22'!K322</f>
        <v>289509</v>
      </c>
      <c r="F60" s="1971"/>
      <c r="G60" s="2030"/>
      <c r="H60" s="2031"/>
      <c r="I60" s="2031"/>
      <c r="J60" s="2031"/>
      <c r="K60" s="2031"/>
      <c r="L60" s="2031"/>
      <c r="M60" s="2031"/>
      <c r="N60" s="1974" t="str">
        <f t="shared" ref="N60:N67" si="4">IF((SUM(G60:M60))=E60,SUM(G60:M60),"Column N does not agree with Column E")</f>
        <v>Column N does not agree with Column E</v>
      </c>
    </row>
    <row r="61" spans="1:14" ht="24.75" customHeight="1" x14ac:dyDescent="0.2">
      <c r="A61" s="2428" t="s">
        <v>696</v>
      </c>
      <c r="B61" s="2429"/>
      <c r="C61" s="2429"/>
      <c r="D61" s="1966">
        <v>2365</v>
      </c>
      <c r="E61" s="1976">
        <f>'Expenditures 15-22'!K323</f>
        <v>0</v>
      </c>
      <c r="F61" s="1971"/>
      <c r="G61" s="2030"/>
      <c r="H61" s="2031"/>
      <c r="I61" s="2031"/>
      <c r="J61" s="2031"/>
      <c r="K61" s="2031"/>
      <c r="L61" s="2031"/>
      <c r="M61" s="2031"/>
      <c r="N61" s="1974">
        <f t="shared" si="4"/>
        <v>0</v>
      </c>
    </row>
    <row r="62" spans="1:14" ht="24" customHeight="1" x14ac:dyDescent="0.2">
      <c r="A62" s="2428" t="s">
        <v>237</v>
      </c>
      <c r="B62" s="2429"/>
      <c r="C62" s="2429"/>
      <c r="D62" s="1966">
        <v>2366</v>
      </c>
      <c r="E62" s="1976">
        <f>'Expenditures 15-22'!K324</f>
        <v>0</v>
      </c>
      <c r="F62" s="1971"/>
      <c r="G62" s="2030"/>
      <c r="H62" s="2031"/>
      <c r="I62" s="2031"/>
      <c r="J62" s="2031"/>
      <c r="K62" s="2031"/>
      <c r="L62" s="2031"/>
      <c r="M62" s="2031"/>
      <c r="N62" s="1974">
        <f t="shared" si="4"/>
        <v>0</v>
      </c>
    </row>
    <row r="63" spans="1:14" ht="24" customHeight="1" x14ac:dyDescent="0.2">
      <c r="A63" s="2434" t="s">
        <v>1021</v>
      </c>
      <c r="B63" s="2435"/>
      <c r="C63" s="2435"/>
      <c r="D63" s="1966">
        <v>2367</v>
      </c>
      <c r="E63" s="1976">
        <f>'Expenditures 15-22'!K325</f>
        <v>22800</v>
      </c>
      <c r="F63" s="1971"/>
      <c r="G63" s="2030"/>
      <c r="H63" s="2031"/>
      <c r="I63" s="2031"/>
      <c r="J63" s="2031"/>
      <c r="K63" s="2031"/>
      <c r="L63" s="2031"/>
      <c r="M63" s="2031"/>
      <c r="N63" s="1974" t="str">
        <f t="shared" si="4"/>
        <v>Column N does not agree with Column E</v>
      </c>
    </row>
    <row r="64" spans="1:14" ht="24" customHeight="1" x14ac:dyDescent="0.2">
      <c r="A64" s="2428" t="s">
        <v>1022</v>
      </c>
      <c r="B64" s="2429"/>
      <c r="C64" s="2429"/>
      <c r="D64" s="1966">
        <v>2368</v>
      </c>
      <c r="E64" s="1976">
        <f>'Expenditures 15-22'!K326</f>
        <v>0</v>
      </c>
      <c r="F64" s="1971"/>
      <c r="G64" s="2030"/>
      <c r="H64" s="2031"/>
      <c r="I64" s="2031"/>
      <c r="J64" s="2031"/>
      <c r="K64" s="2031"/>
      <c r="L64" s="2031"/>
      <c r="M64" s="2031"/>
      <c r="N64" s="1974">
        <f t="shared" si="4"/>
        <v>0</v>
      </c>
    </row>
    <row r="65" spans="1:14" ht="24" customHeight="1" x14ac:dyDescent="0.2">
      <c r="A65" s="2428" t="s">
        <v>964</v>
      </c>
      <c r="B65" s="2429"/>
      <c r="C65" s="2429"/>
      <c r="D65" s="1966">
        <v>2369</v>
      </c>
      <c r="E65" s="1976">
        <f>'Expenditures 15-22'!K327</f>
        <v>0</v>
      </c>
      <c r="F65" s="1971"/>
      <c r="G65" s="2030"/>
      <c r="H65" s="2031"/>
      <c r="I65" s="2031"/>
      <c r="J65" s="2031"/>
      <c r="K65" s="2031"/>
      <c r="L65" s="2031"/>
      <c r="M65" s="2031"/>
      <c r="N65" s="1974">
        <f t="shared" si="4"/>
        <v>0</v>
      </c>
    </row>
    <row r="66" spans="1:14" ht="24" customHeight="1" x14ac:dyDescent="0.2">
      <c r="A66" s="2428" t="s">
        <v>468</v>
      </c>
      <c r="B66" s="2429"/>
      <c r="C66" s="2429"/>
      <c r="D66" s="1966">
        <v>2371</v>
      </c>
      <c r="E66" s="1976">
        <f>'Expenditures 15-22'!K328</f>
        <v>0</v>
      </c>
      <c r="F66" s="1971"/>
      <c r="G66" s="2030"/>
      <c r="H66" s="2031"/>
      <c r="I66" s="2031"/>
      <c r="J66" s="2031"/>
      <c r="K66" s="2031"/>
      <c r="L66" s="2031"/>
      <c r="M66" s="2031"/>
      <c r="N66" s="1974">
        <f t="shared" si="4"/>
        <v>0</v>
      </c>
    </row>
    <row r="67" spans="1:14" ht="24.75" customHeight="1" x14ac:dyDescent="0.2">
      <c r="A67" s="2430" t="s">
        <v>2040</v>
      </c>
      <c r="B67" s="2431"/>
      <c r="C67" s="2431"/>
      <c r="D67" s="1968">
        <v>2372</v>
      </c>
      <c r="E67" s="1977">
        <f>'Expenditures 15-22'!K329</f>
        <v>0</v>
      </c>
      <c r="F67" s="1971"/>
      <c r="G67" s="2032"/>
      <c r="H67" s="2033"/>
      <c r="I67" s="2033"/>
      <c r="J67" s="2033"/>
      <c r="K67" s="2033"/>
      <c r="L67" s="2033"/>
      <c r="M67" s="2033"/>
      <c r="N67" s="1974">
        <f t="shared" si="4"/>
        <v>0</v>
      </c>
    </row>
    <row r="68" spans="1:14" x14ac:dyDescent="0.2">
      <c r="A68" s="2432" t="s">
        <v>1150</v>
      </c>
      <c r="B68" s="2433"/>
      <c r="C68" s="2433"/>
      <c r="D68" s="1969"/>
      <c r="E68" s="1973">
        <f>SUM(E57:E67)</f>
        <v>312309</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6"/>
  <sheetViews>
    <sheetView showGridLines="0" view="pageBreakPreview" zoomScale="145" zoomScaleNormal="110" zoomScaleSheetLayoutView="145"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s="548" customFormat="1" x14ac:dyDescent="0.2">
      <c r="A5" s="2036">
        <v>1</v>
      </c>
      <c r="B5" s="548" t="s">
        <v>2081</v>
      </c>
    </row>
    <row r="6" spans="1:2" s="548" customFormat="1" x14ac:dyDescent="0.2">
      <c r="A6" s="2036">
        <v>2</v>
      </c>
      <c r="B6" s="548" t="s">
        <v>2082</v>
      </c>
    </row>
    <row r="7" spans="1:2" s="548" customFormat="1" x14ac:dyDescent="0.2">
      <c r="A7" s="2036">
        <v>3</v>
      </c>
      <c r="B7" s="548" t="s">
        <v>2083</v>
      </c>
    </row>
    <row r="8" spans="1:2" s="548" customFormat="1" x14ac:dyDescent="0.2">
      <c r="A8" s="2036">
        <v>4</v>
      </c>
      <c r="B8" s="548" t="s">
        <v>2084</v>
      </c>
    </row>
    <row r="9" spans="1:2" s="548" customFormat="1" x14ac:dyDescent="0.2">
      <c r="A9" s="2036">
        <v>5</v>
      </c>
      <c r="B9" s="548" t="s">
        <v>2220</v>
      </c>
    </row>
    <row r="10" spans="1:2" s="548" customFormat="1" x14ac:dyDescent="0.2">
      <c r="A10" s="2036">
        <v>6</v>
      </c>
      <c r="B10" s="548" t="s">
        <v>2085</v>
      </c>
    </row>
    <row r="11" spans="1:2" s="548" customFormat="1" x14ac:dyDescent="0.2">
      <c r="A11" s="2036">
        <v>7</v>
      </c>
      <c r="B11" s="548" t="s">
        <v>2086</v>
      </c>
    </row>
    <row r="12" spans="1:2" s="548" customFormat="1" x14ac:dyDescent="0.2">
      <c r="A12" s="2036">
        <v>8</v>
      </c>
      <c r="B12" s="548" t="s">
        <v>2087</v>
      </c>
    </row>
    <row r="13" spans="1:2" x14ac:dyDescent="0.2">
      <c r="A13" s="847">
        <v>9</v>
      </c>
      <c r="B13" s="548" t="s">
        <v>2228</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Dolton SD 148</v>
      </c>
    </row>
    <row r="66" spans="1:2" x14ac:dyDescent="0.2">
      <c r="B66" s="849">
        <f>COVER!A13</f>
        <v>7016148002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69" t="s">
        <v>1593</v>
      </c>
    </row>
    <row r="23" spans="1:5" x14ac:dyDescent="0.2">
      <c r="A23" s="163"/>
      <c r="B23" s="157" t="s">
        <v>1826</v>
      </c>
      <c r="D23" s="162" t="s">
        <v>631</v>
      </c>
      <c r="E23" s="1469" t="s">
        <v>952</v>
      </c>
    </row>
    <row r="24" spans="1:5" x14ac:dyDescent="0.2">
      <c r="A24" s="163" t="s">
        <v>1591</v>
      </c>
      <c r="C24" s="157" t="s">
        <v>1158</v>
      </c>
      <c r="D24" s="162" t="s">
        <v>1376</v>
      </c>
      <c r="E24" s="165" t="s">
        <v>953</v>
      </c>
    </row>
    <row r="25" spans="1:5" x14ac:dyDescent="0.2">
      <c r="A25" s="163" t="s">
        <v>1838</v>
      </c>
      <c r="C25" s="157" t="s">
        <v>1158</v>
      </c>
      <c r="D25" s="164" t="s">
        <v>21</v>
      </c>
      <c r="E25" s="1469" t="s">
        <v>2046</v>
      </c>
    </row>
    <row r="26" spans="1:5" x14ac:dyDescent="0.2">
      <c r="A26" s="163" t="s">
        <v>1839</v>
      </c>
      <c r="C26" s="157" t="s">
        <v>1158</v>
      </c>
      <c r="D26" s="164" t="s">
        <v>558</v>
      </c>
      <c r="E26" s="1469" t="s">
        <v>677</v>
      </c>
    </row>
    <row r="27" spans="1:5" x14ac:dyDescent="0.2">
      <c r="A27" s="163" t="s">
        <v>1840</v>
      </c>
      <c r="C27" s="157" t="s">
        <v>1158</v>
      </c>
      <c r="D27" s="164" t="s">
        <v>552</v>
      </c>
      <c r="E27" s="1469" t="s">
        <v>1349</v>
      </c>
    </row>
    <row r="28" spans="1:5" x14ac:dyDescent="0.2">
      <c r="A28" s="163" t="s">
        <v>1842</v>
      </c>
      <c r="D28" s="164" t="s">
        <v>678</v>
      </c>
      <c r="E28" s="1469" t="s">
        <v>1358</v>
      </c>
    </row>
    <row r="29" spans="1:5" x14ac:dyDescent="0.2">
      <c r="A29" s="163" t="s">
        <v>1843</v>
      </c>
      <c r="D29" s="164" t="s">
        <v>1377</v>
      </c>
      <c r="E29" s="1469"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62" t="s">
        <v>1055</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685</v>
      </c>
      <c r="B40" s="2159"/>
      <c r="C40" s="2159"/>
      <c r="D40" s="2159"/>
      <c r="E40" s="2159"/>
    </row>
    <row r="41" spans="1:5" x14ac:dyDescent="0.2">
      <c r="A41" s="2160" t="s">
        <v>1590</v>
      </c>
      <c r="B41" s="2160"/>
      <c r="C41" s="2160"/>
      <c r="D41" s="2160"/>
      <c r="E41" s="2160"/>
    </row>
    <row r="42" spans="1:5" ht="12.75" customHeight="1" x14ac:dyDescent="0.2">
      <c r="A42" s="2161" t="s">
        <v>1014</v>
      </c>
      <c r="B42" s="2161"/>
      <c r="C42" s="2161"/>
      <c r="D42" s="2161"/>
      <c r="E42" s="2161"/>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view="pageBreakPreview" colorId="8" zoomScale="190" zoomScaleNormal="110" zoomScaleSheetLayoutView="19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76" t="s">
        <v>1664</v>
      </c>
      <c r="B18" s="247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942975</xdr:colOff>
                <xdr:row>0</xdr:row>
                <xdr:rowOff>0</xdr:rowOff>
              </from>
              <to>
                <xdr:col>1</xdr:col>
                <xdr:colOff>1857375</xdr:colOff>
                <xdr:row>4</xdr:row>
                <xdr:rowOff>123825</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Normal="10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1668</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1970</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1669</v>
      </c>
      <c r="B6" s="2494"/>
      <c r="C6" s="2494"/>
      <c r="D6" s="2494"/>
      <c r="E6" s="2494"/>
      <c r="F6" s="249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2">
        <f>'Acct Summary 7-8'!C8</f>
        <v>33621794</v>
      </c>
      <c r="C8" s="1812">
        <f>'Acct Summary 7-8'!D8</f>
        <v>707491</v>
      </c>
      <c r="D8" s="1812">
        <f>'Acct Summary 7-8'!F8</f>
        <v>1457005</v>
      </c>
      <c r="E8" s="1812">
        <f>'Acct Summary 7-8'!I8</f>
        <v>71820</v>
      </c>
      <c r="F8" s="1812">
        <f>SUM(B8:E8)</f>
        <v>35858110</v>
      </c>
    </row>
    <row r="9" spans="1:8" s="858" customFormat="1" ht="14.25" customHeight="1" thickBot="1" x14ac:dyDescent="0.25">
      <c r="A9" s="857" t="s">
        <v>1352</v>
      </c>
      <c r="B9" s="1813">
        <f>'Acct Summary 7-8'!C17</f>
        <v>32154729</v>
      </c>
      <c r="C9" s="1813">
        <f>'Acct Summary 7-8'!D17</f>
        <v>3897154</v>
      </c>
      <c r="D9" s="1813">
        <f>'Acct Summary 7-8'!F17</f>
        <v>814056</v>
      </c>
      <c r="E9" s="1812"/>
      <c r="F9" s="1812">
        <f>SUM(B9:E9)</f>
        <v>36865939</v>
      </c>
    </row>
    <row r="10" spans="1:8" s="858" customFormat="1" ht="14.25" thickTop="1" thickBot="1" x14ac:dyDescent="0.25">
      <c r="A10" s="859" t="s">
        <v>1353</v>
      </c>
      <c r="B10" s="1814">
        <f>(B8-B9)</f>
        <v>1467065</v>
      </c>
      <c r="C10" s="1814">
        <f>(C8-C9)</f>
        <v>-3189663</v>
      </c>
      <c r="D10" s="1814">
        <f>(D8-D9)</f>
        <v>642949</v>
      </c>
      <c r="E10" s="1813">
        <f>(E8-E9)</f>
        <v>71820</v>
      </c>
      <c r="F10" s="1815">
        <f>SUM(F8-F9)</f>
        <v>-1007829</v>
      </c>
    </row>
    <row r="11" spans="1:8" s="858" customFormat="1" ht="14.25" thickTop="1" thickBot="1" x14ac:dyDescent="0.25">
      <c r="A11" s="860" t="s">
        <v>1901</v>
      </c>
      <c r="B11" s="1816">
        <f>'Acct Summary 7-8'!C81</f>
        <v>19803281</v>
      </c>
      <c r="C11" s="1816">
        <f>'Acct Summary 7-8'!D81</f>
        <v>-3881664</v>
      </c>
      <c r="D11" s="1816">
        <f>'Acct Summary 7-8'!F81</f>
        <v>364010</v>
      </c>
      <c r="E11" s="1816">
        <f>'Acct Summary 7-8'!I81</f>
        <v>955830</v>
      </c>
      <c r="F11" s="1817">
        <f>SUM(B11:E11)</f>
        <v>17241457</v>
      </c>
    </row>
    <row r="12" spans="1:8" ht="16.5" customHeight="1" thickTop="1" x14ac:dyDescent="0.2">
      <c r="A12" s="861"/>
      <c r="B12" s="862"/>
      <c r="C12" s="2481" t="str">
        <f>IF(AND(F10&lt;0,F11&gt;=0,ABS(F10*3)&gt;ABS(F11)),A16,IF(AND(F10&lt;0,F11&gt;0,ABS(F10*3)&lt;=ABS(F11)),A17,IF(AND(F10&lt;0,F11&lt;0),A16,IF(F11=0,A19,A18))))</f>
        <v>Unbalanced -  however, a deficit reduction plan is not required at this time.</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1665</v>
      </c>
      <c r="B16" s="2480"/>
      <c r="C16" s="2480"/>
      <c r="D16" s="2480"/>
      <c r="E16" s="248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view="pageBreakPreview" topLeftCell="A55" colorId="8" zoomScaleNormal="110" zoomScaleSheetLayoutView="10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02" t="s">
        <v>659</v>
      </c>
      <c r="B3" s="2503"/>
      <c r="C3" s="2503"/>
      <c r="D3" s="2504"/>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13" t="s">
        <v>1486</v>
      </c>
      <c r="D7" s="2514"/>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05" t="s">
        <v>1000</v>
      </c>
      <c r="B15" s="2506"/>
      <c r="C15" s="2506"/>
      <c r="D15" s="2507"/>
    </row>
    <row r="16" spans="1:4" s="542" customFormat="1" ht="24" customHeight="1" x14ac:dyDescent="0.2">
      <c r="A16" s="2508" t="s">
        <v>657</v>
      </c>
      <c r="B16" s="2509"/>
      <c r="C16" s="2509"/>
      <c r="D16" s="2510"/>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7" t="s">
        <v>310</v>
      </c>
      <c r="D21" s="2518"/>
    </row>
    <row r="22" spans="1:10" ht="12.75" x14ac:dyDescent="0.2">
      <c r="A22" s="918"/>
      <c r="B22" s="919">
        <v>2</v>
      </c>
      <c r="C22" s="2515" t="s">
        <v>1506</v>
      </c>
      <c r="D22" s="2516"/>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9" t="s">
        <v>532</v>
      </c>
      <c r="D43" s="252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11" t="s">
        <v>778</v>
      </c>
      <c r="D56" s="251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11" t="s">
        <v>1673</v>
      </c>
      <c r="D70" s="251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900"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1965</v>
      </c>
      <c r="F1" s="1542" t="s">
        <v>1966</v>
      </c>
      <c r="G1" s="1899" t="s">
        <v>1976</v>
      </c>
    </row>
    <row r="2" spans="1:7" ht="15.75" x14ac:dyDescent="0.25">
      <c r="A2" t="s">
        <v>260</v>
      </c>
      <c r="B2" s="135">
        <f>COVER!A13</f>
        <v>7016148002</v>
      </c>
      <c r="E2" s="1541">
        <v>2020</v>
      </c>
      <c r="F2" s="1541">
        <v>1</v>
      </c>
      <c r="G2" s="1898">
        <v>101000300</v>
      </c>
    </row>
    <row r="3" spans="1:7" ht="15" x14ac:dyDescent="0.25">
      <c r="A3" t="s">
        <v>949</v>
      </c>
      <c r="B3" s="135" t="str">
        <f>COVER!A15</f>
        <v>Cook</v>
      </c>
      <c r="E3" s="1829" t="s">
        <v>1969</v>
      </c>
      <c r="F3" s="1829" t="s">
        <v>1968</v>
      </c>
      <c r="G3" s="1898">
        <v>101000400</v>
      </c>
    </row>
    <row r="4" spans="1:7" ht="15" x14ac:dyDescent="0.25">
      <c r="A4" t="s">
        <v>999</v>
      </c>
      <c r="B4" s="135" t="str">
        <f>COVER!A17</f>
        <v>Dolton SD 148</v>
      </c>
      <c r="E4" s="1827">
        <v>44119</v>
      </c>
      <c r="F4" s="1828">
        <v>44151</v>
      </c>
      <c r="G4" s="1898">
        <v>101000600</v>
      </c>
    </row>
    <row r="5" spans="1:7" ht="15" x14ac:dyDescent="0.25">
      <c r="A5" t="s">
        <v>698</v>
      </c>
      <c r="B5" s="135" t="str">
        <f>COVER!A38</f>
        <v>Dr. Kevin Nohelty</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CASH</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1525</v>
      </c>
      <c r="B12" s="135" t="str">
        <f>IF(COVER!J29="x","Yes",IF(COVER!L29="X","No",0))</f>
        <v>Yes</v>
      </c>
      <c r="G12" s="1898">
        <v>202100600</v>
      </c>
    </row>
    <row r="13" spans="1:7" ht="15" x14ac:dyDescent="0.25">
      <c r="A13" s="1" t="s">
        <v>1526</v>
      </c>
      <c r="B13" s="135" t="str">
        <f>IF(COVER!J30="x","Yes",IF(COVER!L30="x","No",0))</f>
        <v>Yes</v>
      </c>
      <c r="G13" s="1898">
        <v>202100800</v>
      </c>
    </row>
    <row r="14" spans="1:7" ht="15" x14ac:dyDescent="0.25">
      <c r="A14" t="s">
        <v>472</v>
      </c>
      <c r="B14" s="135" t="str">
        <f>IF(COVER!J31="x","Yes",IF(COVER!L31="x","No",0))</f>
        <v>Yes</v>
      </c>
      <c r="G14" s="1898">
        <v>402100300</v>
      </c>
    </row>
    <row r="15" spans="1:7" ht="15" x14ac:dyDescent="0.25">
      <c r="A15" t="s">
        <v>572</v>
      </c>
      <c r="B15" s="135" t="str">
        <f>COVER!T23</f>
        <v>066-003284</v>
      </c>
      <c r="G15" s="1898">
        <v>402100400</v>
      </c>
    </row>
    <row r="16" spans="1:7" ht="15" x14ac:dyDescent="0.25">
      <c r="A16" t="s">
        <v>418</v>
      </c>
      <c r="B16" s="135" t="str">
        <f>COVER!T13</f>
        <v>Sikich LLP</v>
      </c>
      <c r="G16" s="1898">
        <v>402100600</v>
      </c>
    </row>
    <row r="17" spans="1:7" ht="15" x14ac:dyDescent="0.25">
      <c r="A17" t="s">
        <v>877</v>
      </c>
      <c r="B17" s="135" t="str">
        <f>COVER!T15</f>
        <v>Anthony Cervini, CPA</v>
      </c>
      <c r="G17" s="1898">
        <v>402100800</v>
      </c>
    </row>
    <row r="18" spans="1:7" ht="15" x14ac:dyDescent="0.25">
      <c r="A18" t="s">
        <v>1139</v>
      </c>
      <c r="B18" s="135" t="str">
        <f>COVER!T17</f>
        <v>1415 W. Diehl Rd, Suite 400</v>
      </c>
      <c r="G18" s="1898">
        <v>102200300</v>
      </c>
    </row>
    <row r="19" spans="1:7" ht="15" x14ac:dyDescent="0.25">
      <c r="A19" t="s">
        <v>879</v>
      </c>
      <c r="B19" s="135">
        <f>COVER!T25</f>
        <v>0</v>
      </c>
      <c r="G19" s="1898">
        <v>102200400</v>
      </c>
    </row>
    <row r="20" spans="1:7" ht="15" x14ac:dyDescent="0.25">
      <c r="A20" t="s">
        <v>880</v>
      </c>
      <c r="B20" s="135" t="str">
        <f>COVER!T19</f>
        <v>Naperville</v>
      </c>
      <c r="G20" s="1898">
        <v>102200600</v>
      </c>
    </row>
    <row r="21" spans="1:7" ht="15" x14ac:dyDescent="0.25">
      <c r="A21" t="s">
        <v>475</v>
      </c>
      <c r="B21" s="135" t="str">
        <f>COVER!X19</f>
        <v>IL</v>
      </c>
      <c r="G21" s="1898">
        <v>102200800</v>
      </c>
    </row>
    <row r="22" spans="1:7" ht="15" x14ac:dyDescent="0.25">
      <c r="A22" t="s">
        <v>881</v>
      </c>
      <c r="B22" s="135">
        <f>COVER!Z19</f>
        <v>60563</v>
      </c>
      <c r="G22" s="1898">
        <v>102300300</v>
      </c>
    </row>
    <row r="23" spans="1:7" ht="15" x14ac:dyDescent="0.25">
      <c r="A23" t="s">
        <v>1141</v>
      </c>
      <c r="B23" s="135" t="str">
        <f>COVER!T21</f>
        <v>(630) 566-8400</v>
      </c>
      <c r="G23" s="1898">
        <v>102300400</v>
      </c>
    </row>
    <row r="24" spans="1:7" ht="15" x14ac:dyDescent="0.25">
      <c r="A24" t="s">
        <v>1140</v>
      </c>
      <c r="B24" s="135">
        <f>COVER!Y21</f>
        <v>0</v>
      </c>
      <c r="G24" s="1898">
        <v>102300600</v>
      </c>
    </row>
    <row r="25" spans="1:7" ht="15" x14ac:dyDescent="0.25">
      <c r="A25" t="s">
        <v>755</v>
      </c>
      <c r="B25" s="135">
        <f>COVER!B34</f>
        <v>0</v>
      </c>
      <c r="G25" s="1898">
        <v>102300800</v>
      </c>
    </row>
    <row r="26" spans="1:7" ht="15" x14ac:dyDescent="0.25">
      <c r="A26" t="s">
        <v>1142</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Yes</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Yes</v>
      </c>
      <c r="G47" s="1898">
        <v>102540400</v>
      </c>
    </row>
    <row r="48" spans="1:7" ht="15" x14ac:dyDescent="0.25">
      <c r="A48" t="s">
        <v>479</v>
      </c>
      <c r="B48" s="135" t="str">
        <f>IF('Aud Quest 2'!B51="x","Yes",IF('Aud Quest 2'!B51&lt;&gt;"x","0"))</f>
        <v>0</v>
      </c>
      <c r="G48" s="1898">
        <v>102540600</v>
      </c>
    </row>
    <row r="49" spans="1:7" ht="15" x14ac:dyDescent="0.25">
      <c r="A49" s="1" t="s">
        <v>1463</v>
      </c>
      <c r="B49" s="135" t="str">
        <f>IF('Aud Quest 2'!B53="x","Yes",IF('Aud Quest 2'!B53&lt;&gt;"x","0"))</f>
        <v>Yes</v>
      </c>
      <c r="G49" s="1898">
        <v>102540800</v>
      </c>
    </row>
    <row r="50" spans="1:7" ht="15" x14ac:dyDescent="0.25">
      <c r="A50" s="1" t="s">
        <v>1462</v>
      </c>
      <c r="B50" s="146">
        <f>'Aud Quest 2'!H53</f>
        <v>34335</v>
      </c>
      <c r="G50" s="1898">
        <v>202540300</v>
      </c>
    </row>
    <row r="51" spans="1:7" ht="15" x14ac:dyDescent="0.25">
      <c r="A51" s="1" t="s">
        <v>1464</v>
      </c>
      <c r="B51" s="135" t="str">
        <f>IF('Aud Quest 2'!B54="x","Yes",IF('Aud Quest 2'!B54&lt;&gt;"x","0"))</f>
        <v>Yes</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20684507</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861502</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881226</v>
      </c>
      <c r="C91" s="2" t="s">
        <v>568</v>
      </c>
      <c r="D91" s="2" t="str">
        <f t="shared" si="0"/>
        <v>Error?</v>
      </c>
      <c r="G91" s="1898">
        <v>102640400</v>
      </c>
    </row>
    <row r="92" spans="1:7" ht="15" x14ac:dyDescent="0.25">
      <c r="A92" s="5">
        <v>31</v>
      </c>
      <c r="B92" s="1831">
        <f>'Assets-Liab 5-6'!C39</f>
        <v>19803281</v>
      </c>
      <c r="D92" s="2" t="str">
        <f t="shared" si="0"/>
        <v>Error?</v>
      </c>
      <c r="G92" s="1898">
        <v>102640600</v>
      </c>
    </row>
    <row r="93" spans="1:7" ht="15" x14ac:dyDescent="0.25">
      <c r="A93" s="5">
        <v>32</v>
      </c>
      <c r="B93" s="1831">
        <f>'Assets-Liab 5-6'!C41</f>
        <v>20684507</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0</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-172</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3881664</v>
      </c>
      <c r="C122" s="2" t="s">
        <v>568</v>
      </c>
      <c r="D122" s="2" t="str">
        <f t="shared" si="0"/>
        <v>Error?</v>
      </c>
      <c r="G122" s="1898">
        <v>203000300</v>
      </c>
    </row>
    <row r="123" spans="1:7" ht="15" x14ac:dyDescent="0.25">
      <c r="A123" s="5">
        <v>62</v>
      </c>
      <c r="B123" s="1831">
        <f>'Assets-Liab 5-6'!D39</f>
        <v>-3881664</v>
      </c>
      <c r="D123" s="2" t="str">
        <f t="shared" si="0"/>
        <v>Error?</v>
      </c>
      <c r="G123" s="1898">
        <v>203000400</v>
      </c>
    </row>
    <row r="124" spans="1:7" ht="15" x14ac:dyDescent="0.25">
      <c r="A124" s="5">
        <v>63</v>
      </c>
      <c r="B124" s="1831">
        <f>'Assets-Liab 5-6'!D41</f>
        <v>0</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971576</v>
      </c>
      <c r="C139" s="2" t="s">
        <v>568</v>
      </c>
      <c r="D139" s="2" t="str">
        <f t="shared" si="1"/>
        <v>Error?</v>
      </c>
    </row>
    <row r="140" spans="1:7" x14ac:dyDescent="0.2">
      <c r="A140" s="5">
        <v>79</v>
      </c>
      <c r="B140" s="1831">
        <f>'Assets-Liab 5-6'!E39</f>
        <v>-971576</v>
      </c>
      <c r="D140" s="2" t="str">
        <f t="shared" si="1"/>
        <v>Error?</v>
      </c>
    </row>
    <row r="141" spans="1:7" x14ac:dyDescent="0.2">
      <c r="A141" s="5">
        <v>80</v>
      </c>
      <c r="B141" s="1831">
        <f>'Assets-Liab 5-6'!E41</f>
        <v>0</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642950</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278940</v>
      </c>
      <c r="C169" s="2" t="s">
        <v>568</v>
      </c>
      <c r="D169" s="2" t="str">
        <f t="shared" si="1"/>
        <v>Error?</v>
      </c>
    </row>
    <row r="170" spans="1:4" x14ac:dyDescent="0.2">
      <c r="A170" s="5">
        <v>109</v>
      </c>
      <c r="B170" s="1831">
        <f>'Assets-Liab 5-6'!F39</f>
        <v>0</v>
      </c>
      <c r="D170" s="2" t="str">
        <f t="shared" si="1"/>
        <v>Error?</v>
      </c>
    </row>
    <row r="171" spans="1:4" x14ac:dyDescent="0.2">
      <c r="A171" s="5">
        <v>110</v>
      </c>
      <c r="B171" s="1831">
        <f>'Assets-Liab 5-6'!F41</f>
        <v>642950</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392571</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-110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112262</v>
      </c>
      <c r="C188" s="2" t="s">
        <v>568</v>
      </c>
      <c r="D188" s="2" t="str">
        <f t="shared" si="1"/>
        <v>Error?</v>
      </c>
    </row>
    <row r="189" spans="1:4" x14ac:dyDescent="0.2">
      <c r="A189" s="5">
        <v>128</v>
      </c>
      <c r="B189" s="1831">
        <f>'Assets-Liab 5-6'!G39</f>
        <v>-398349</v>
      </c>
      <c r="D189" s="2" t="str">
        <f t="shared" si="1"/>
        <v>Error?</v>
      </c>
    </row>
    <row r="190" spans="1:4" x14ac:dyDescent="0.2">
      <c r="A190" s="5">
        <v>129</v>
      </c>
      <c r="B190" s="1831">
        <f>'Assets-Liab 5-6'!G41</f>
        <v>392571</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52006</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55030</v>
      </c>
      <c r="C211" s="2" t="s">
        <v>568</v>
      </c>
      <c r="D211" s="2" t="str">
        <f t="shared" si="2"/>
        <v>Error?</v>
      </c>
    </row>
    <row r="212" spans="1:4" x14ac:dyDescent="0.2">
      <c r="A212" s="5">
        <v>151</v>
      </c>
      <c r="B212" s="1831">
        <f>'Assets-Liab 5-6'!H39</f>
        <v>-3024</v>
      </c>
      <c r="D212" s="2" t="str">
        <f t="shared" si="2"/>
        <v>Error?</v>
      </c>
    </row>
    <row r="213" spans="1:4" x14ac:dyDescent="0.2">
      <c r="A213" s="12">
        <v>152</v>
      </c>
      <c r="B213" s="1831">
        <f>'Assets-Liab 5-6'!H41</f>
        <v>52006</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234520</v>
      </c>
      <c r="D273" s="2" t="str">
        <f t="shared" si="3"/>
        <v>Error?</v>
      </c>
    </row>
    <row r="274" spans="1:4" x14ac:dyDescent="0.2">
      <c r="A274" s="5">
        <v>213</v>
      </c>
      <c r="B274" s="1831">
        <f>'Assets-Liab 5-6'!M17</f>
        <v>47961553</v>
      </c>
      <c r="D274" s="2" t="str">
        <f t="shared" si="3"/>
        <v>Error?</v>
      </c>
    </row>
    <row r="275" spans="1:4" x14ac:dyDescent="0.2">
      <c r="A275" s="5">
        <v>214</v>
      </c>
      <c r="B275" s="1831">
        <f>'Assets-Liab 5-6'!M18</f>
        <v>3397025</v>
      </c>
      <c r="D275" s="2" t="str">
        <f t="shared" si="3"/>
        <v>Error?</v>
      </c>
    </row>
    <row r="276" spans="1:4" x14ac:dyDescent="0.2">
      <c r="A276" s="5">
        <v>215</v>
      </c>
      <c r="B276" s="1831">
        <f>'Assets-Liab 5-6'!M19</f>
        <v>9098463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60691561</v>
      </c>
      <c r="C279" s="2" t="s">
        <v>568</v>
      </c>
      <c r="D279" s="2" t="str">
        <f t="shared" si="3"/>
        <v>Error?</v>
      </c>
    </row>
    <row r="280" spans="1:4" x14ac:dyDescent="0.2">
      <c r="A280" s="5">
        <v>219</v>
      </c>
      <c r="B280" s="1831">
        <f>'Assets-Liab 5-6'!M40</f>
        <v>60691561</v>
      </c>
      <c r="D280" s="2" t="str">
        <f t="shared" si="3"/>
        <v>Error?</v>
      </c>
    </row>
    <row r="281" spans="1:4" x14ac:dyDescent="0.2">
      <c r="A281" s="5">
        <v>220</v>
      </c>
      <c r="B281" s="1831">
        <f>'Assets-Liab 5-6'!M41</f>
        <v>60691561</v>
      </c>
      <c r="C281" s="2" t="s">
        <v>568</v>
      </c>
      <c r="D281" s="2" t="str">
        <f t="shared" si="3"/>
        <v>Error?</v>
      </c>
    </row>
    <row r="282" spans="1:4" x14ac:dyDescent="0.2">
      <c r="A282" s="5">
        <v>221</v>
      </c>
      <c r="B282" s="1831">
        <f>'Assets-Liab 5-6'!N21</f>
        <v>0</v>
      </c>
      <c r="D282" s="2" t="str">
        <f t="shared" si="3"/>
        <v>Error?</v>
      </c>
    </row>
    <row r="283" spans="1:4" x14ac:dyDescent="0.2">
      <c r="A283" s="5">
        <v>222</v>
      </c>
      <c r="B283" s="1831">
        <f>'Assets-Liab 5-6'!N22</f>
        <v>25206997</v>
      </c>
      <c r="D283" s="2" t="str">
        <f t="shared" si="3"/>
        <v>Error?</v>
      </c>
    </row>
    <row r="284" spans="1:4" x14ac:dyDescent="0.2">
      <c r="A284" s="5">
        <v>223</v>
      </c>
      <c r="B284" s="1831">
        <f>'Assets-Liab 5-6'!N23</f>
        <v>25206997</v>
      </c>
      <c r="C284" s="2" t="s">
        <v>568</v>
      </c>
      <c r="D284" s="2" t="str">
        <f t="shared" si="3"/>
        <v>Error?</v>
      </c>
    </row>
    <row r="285" spans="1:4" x14ac:dyDescent="0.2">
      <c r="A285" s="5">
        <v>224</v>
      </c>
      <c r="B285" s="1831">
        <f>'Assets-Liab 5-6'!N36</f>
        <v>25206997</v>
      </c>
      <c r="D285" s="2" t="str">
        <f t="shared" si="3"/>
        <v>Error?</v>
      </c>
    </row>
    <row r="286" spans="1:4" x14ac:dyDescent="0.2">
      <c r="A286" s="10">
        <v>225</v>
      </c>
      <c r="B286" s="1831"/>
      <c r="D286" s="2" t="str">
        <f t="shared" si="3"/>
        <v>OK</v>
      </c>
    </row>
    <row r="287" spans="1:4" x14ac:dyDescent="0.2">
      <c r="A287" s="5">
        <v>226</v>
      </c>
      <c r="B287" s="1831">
        <f>'Assets-Liab 5-6'!N37</f>
        <v>25206997</v>
      </c>
      <c r="C287" s="2" t="s">
        <v>568</v>
      </c>
      <c r="D287" s="2" t="str">
        <f t="shared" si="3"/>
        <v>Error?</v>
      </c>
    </row>
    <row r="288" spans="1:4" x14ac:dyDescent="0.2">
      <c r="A288" s="5">
        <v>227</v>
      </c>
      <c r="B288" s="1831">
        <f>'Assets-Liab 5-6'!N41</f>
        <v>25206997</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423056</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12997709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122803</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14221874</v>
      </c>
      <c r="C720" s="2" t="s">
        <v>568</v>
      </c>
      <c r="D720" s="2" t="str">
        <f t="shared" si="10"/>
        <v>Error?</v>
      </c>
    </row>
    <row r="721" spans="1:4" x14ac:dyDescent="0.2">
      <c r="A721" s="5">
        <v>660</v>
      </c>
      <c r="B721" s="1831">
        <f>'Expenditures 15-22'!C36</f>
        <v>634915</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248465</v>
      </c>
      <c r="D723" s="2" t="str">
        <f t="shared" si="10"/>
        <v>Error?</v>
      </c>
    </row>
    <row r="724" spans="1:4" x14ac:dyDescent="0.2">
      <c r="A724" s="5">
        <v>663</v>
      </c>
      <c r="B724" s="1831">
        <f>'Expenditures 15-22'!C39</f>
        <v>217175</v>
      </c>
      <c r="D724" s="2" t="str">
        <f t="shared" si="10"/>
        <v>Error?</v>
      </c>
    </row>
    <row r="725" spans="1:4" x14ac:dyDescent="0.2">
      <c r="A725" s="5">
        <v>664</v>
      </c>
      <c r="B725" s="1831">
        <f>'Expenditures 15-22'!C40</f>
        <v>243017</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1343572</v>
      </c>
      <c r="C727" s="2" t="s">
        <v>568</v>
      </c>
      <c r="D727" s="2" t="str">
        <f t="shared" si="10"/>
        <v>Error?</v>
      </c>
    </row>
    <row r="728" spans="1:4" x14ac:dyDescent="0.2">
      <c r="A728" s="5">
        <v>667</v>
      </c>
      <c r="B728" s="1831">
        <f>'Expenditures 15-22'!C44</f>
        <v>364105</v>
      </c>
      <c r="D728" s="2" t="str">
        <f t="shared" si="10"/>
        <v>Error?</v>
      </c>
    </row>
    <row r="729" spans="1:4" x14ac:dyDescent="0.2">
      <c r="A729" s="5">
        <v>668</v>
      </c>
      <c r="B729" s="1831">
        <f>'Expenditures 15-22'!C45</f>
        <v>253909</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618014</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344279</v>
      </c>
      <c r="D733" s="2" t="str">
        <f t="shared" si="10"/>
        <v>Error?</v>
      </c>
    </row>
    <row r="734" spans="1:4" x14ac:dyDescent="0.2">
      <c r="A734" s="5">
        <v>673</v>
      </c>
      <c r="B734" s="1831">
        <f>'Expenditures 15-22'!C53</f>
        <v>545834</v>
      </c>
      <c r="C734" s="2" t="s">
        <v>568</v>
      </c>
      <c r="D734" s="2" t="str">
        <f t="shared" si="10"/>
        <v>Error?</v>
      </c>
    </row>
    <row r="735" spans="1:4" x14ac:dyDescent="0.2">
      <c r="A735" s="5">
        <v>674</v>
      </c>
      <c r="B735" s="1831">
        <f>'Expenditures 15-22'!C55</f>
        <v>1387293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1387293</v>
      </c>
      <c r="C737" s="2" t="s">
        <v>568</v>
      </c>
      <c r="D737" s="2" t="str">
        <f t="shared" si="10"/>
        <v>Error?</v>
      </c>
    </row>
    <row r="738" spans="1:4" x14ac:dyDescent="0.2">
      <c r="A738" s="5">
        <v>677</v>
      </c>
      <c r="B738" s="1831">
        <f>'Expenditures 15-22'!C59</f>
        <v>4200</v>
      </c>
      <c r="D738" s="2" t="str">
        <f t="shared" si="10"/>
        <v>Error?</v>
      </c>
    </row>
    <row r="739" spans="1:4" x14ac:dyDescent="0.2">
      <c r="A739" s="5">
        <v>678</v>
      </c>
      <c r="B739" s="1831">
        <f>'Expenditures 15-22'!C60</f>
        <v>372724</v>
      </c>
      <c r="D739" s="2" t="str">
        <f t="shared" si="10"/>
        <v>Error?</v>
      </c>
    </row>
    <row r="740" spans="1:4" x14ac:dyDescent="0.2">
      <c r="A740" s="5">
        <v>679</v>
      </c>
      <c r="B740" s="1831">
        <f>'Expenditures 15-22'!C61</f>
        <v>73000</v>
      </c>
      <c r="D740" s="2" t="str">
        <f t="shared" si="10"/>
        <v>Error?</v>
      </c>
    </row>
    <row r="741" spans="1:4" x14ac:dyDescent="0.2">
      <c r="A741" s="5">
        <v>680</v>
      </c>
      <c r="B741" s="1831">
        <f>'Expenditures 15-22'!C62</f>
        <v>4929</v>
      </c>
      <c r="D741" s="2" t="str">
        <f t="shared" si="10"/>
        <v>Error?</v>
      </c>
    </row>
    <row r="742" spans="1:4" x14ac:dyDescent="0.2">
      <c r="A742" s="5">
        <v>681</v>
      </c>
      <c r="B742" s="1831">
        <f>'Expenditures 15-22'!C63</f>
        <v>138786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593639</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611513</v>
      </c>
      <c r="D751" s="2" t="str">
        <f t="shared" si="10"/>
        <v>Error?</v>
      </c>
    </row>
    <row r="752" spans="1:4" x14ac:dyDescent="0.2">
      <c r="A752" s="10">
        <v>691</v>
      </c>
      <c r="B752" s="1831"/>
      <c r="D752" s="2" t="str">
        <f t="shared" si="10"/>
        <v>OK</v>
      </c>
    </row>
    <row r="753" spans="1:4" x14ac:dyDescent="0.2">
      <c r="A753" s="5">
        <v>692</v>
      </c>
      <c r="B753" s="1831">
        <f>'Expenditures 15-22'!C72</f>
        <v>611513</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5099865</v>
      </c>
      <c r="C755" s="2" t="s">
        <v>568</v>
      </c>
      <c r="D755" s="2" t="str">
        <f t="shared" si="10"/>
        <v>Error?</v>
      </c>
    </row>
    <row r="756" spans="1:4" x14ac:dyDescent="0.2">
      <c r="A756" s="5">
        <v>695</v>
      </c>
      <c r="B756" s="1831">
        <f>'Expenditures 15-22'!C75</f>
        <v>142461</v>
      </c>
      <c r="D756" s="2" t="str">
        <f t="shared" si="10"/>
        <v>Error?</v>
      </c>
    </row>
    <row r="757" spans="1:4" x14ac:dyDescent="0.2">
      <c r="A757" s="5">
        <v>696</v>
      </c>
      <c r="B757" s="1831">
        <f>'Expenditures 15-22'!C114</f>
        <v>19464200</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2299881</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1720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2374057</v>
      </c>
      <c r="C778" s="2" t="s">
        <v>568</v>
      </c>
      <c r="D778" s="2" t="str">
        <f t="shared" si="11"/>
        <v>Error?</v>
      </c>
    </row>
    <row r="779" spans="1:4" x14ac:dyDescent="0.2">
      <c r="A779" s="5">
        <v>718</v>
      </c>
      <c r="B779" s="1831">
        <f>'Expenditures 15-22'!D36</f>
        <v>64744</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56256</v>
      </c>
      <c r="D781" s="2" t="str">
        <f t="shared" si="11"/>
        <v>Error?</v>
      </c>
    </row>
    <row r="782" spans="1:4" x14ac:dyDescent="0.2">
      <c r="A782" s="5">
        <v>721</v>
      </c>
      <c r="B782" s="1831">
        <f>'Expenditures 15-22'!D39</f>
        <v>43089</v>
      </c>
      <c r="D782" s="2" t="str">
        <f t="shared" si="11"/>
        <v>Error?</v>
      </c>
    </row>
    <row r="783" spans="1:4" x14ac:dyDescent="0.2">
      <c r="A783" s="5">
        <v>722</v>
      </c>
      <c r="B783" s="1831">
        <f>'Expenditures 15-22'!D40</f>
        <v>21959</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186048</v>
      </c>
      <c r="C785" s="2" t="s">
        <v>568</v>
      </c>
      <c r="D785" s="2" t="str">
        <f t="shared" si="11"/>
        <v>Error?</v>
      </c>
    </row>
    <row r="786" spans="1:4" x14ac:dyDescent="0.2">
      <c r="A786" s="5">
        <v>725</v>
      </c>
      <c r="B786" s="1831">
        <f>'Expenditures 15-22'!D44</f>
        <v>77441</v>
      </c>
      <c r="D786" s="2" t="str">
        <f t="shared" si="11"/>
        <v>Error?</v>
      </c>
    </row>
    <row r="787" spans="1:4" x14ac:dyDescent="0.2">
      <c r="A787" s="5">
        <v>726</v>
      </c>
      <c r="B787" s="1831">
        <f>'Expenditures 15-22'!D45</f>
        <v>71744</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149185</v>
      </c>
      <c r="C789" s="2" t="s">
        <v>568</v>
      </c>
      <c r="D789" s="2" t="str">
        <f t="shared" si="11"/>
        <v>Error?</v>
      </c>
    </row>
    <row r="790" spans="1:4" x14ac:dyDescent="0.2">
      <c r="A790" s="5">
        <v>729</v>
      </c>
      <c r="B790" s="1831">
        <f>'Expenditures 15-22'!D49</f>
        <v>260728</v>
      </c>
      <c r="D790" s="2" t="str">
        <f t="shared" si="11"/>
        <v>Error?</v>
      </c>
    </row>
    <row r="791" spans="1:4" x14ac:dyDescent="0.2">
      <c r="A791" s="5">
        <v>730</v>
      </c>
      <c r="B791" s="1831">
        <f>'Expenditures 15-22'!D50</f>
        <v>70165</v>
      </c>
      <c r="D791" s="2" t="str">
        <f t="shared" si="11"/>
        <v>Error?</v>
      </c>
    </row>
    <row r="792" spans="1:4" x14ac:dyDescent="0.2">
      <c r="A792" s="5">
        <v>731</v>
      </c>
      <c r="B792" s="1831">
        <f>'Expenditures 15-22'!D53</f>
        <v>380920</v>
      </c>
      <c r="C792" s="2" t="s">
        <v>568</v>
      </c>
      <c r="D792" s="2" t="str">
        <f t="shared" si="11"/>
        <v>Error?</v>
      </c>
    </row>
    <row r="793" spans="1:4" x14ac:dyDescent="0.2">
      <c r="A793" s="5">
        <v>732</v>
      </c>
      <c r="B793" s="1831">
        <f>'Expenditures 15-22'!D55</f>
        <v>380634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380634</v>
      </c>
      <c r="C795" s="2" t="s">
        <v>568</v>
      </c>
      <c r="D795" s="2" t="str">
        <f t="shared" si="11"/>
        <v>Error?</v>
      </c>
    </row>
    <row r="796" spans="1:4" x14ac:dyDescent="0.2">
      <c r="A796" s="5">
        <v>735</v>
      </c>
      <c r="B796" s="1831">
        <f>'Expenditures 15-22'!D59</f>
        <v>112385</v>
      </c>
      <c r="D796" s="2" t="str">
        <f t="shared" si="11"/>
        <v>Error?</v>
      </c>
    </row>
    <row r="797" spans="1:4" x14ac:dyDescent="0.2">
      <c r="A797" s="5">
        <v>736</v>
      </c>
      <c r="B797" s="1831">
        <f>'Expenditures 15-22'!D60</f>
        <v>105718</v>
      </c>
      <c r="D797" s="2" t="str">
        <f t="shared" si="11"/>
        <v>Error?</v>
      </c>
    </row>
    <row r="798" spans="1:4" x14ac:dyDescent="0.2">
      <c r="A798" s="5">
        <v>737</v>
      </c>
      <c r="B798" s="1831">
        <f>'Expenditures 15-22'!D61</f>
        <v>16364</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234467</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60228</v>
      </c>
      <c r="D809" s="2" t="str">
        <f t="shared" si="11"/>
        <v>Error?</v>
      </c>
    </row>
    <row r="810" spans="1:4" x14ac:dyDescent="0.2">
      <c r="A810" s="10">
        <v>749</v>
      </c>
      <c r="B810" s="1831"/>
      <c r="D810" s="2" t="str">
        <f t="shared" si="11"/>
        <v>OK</v>
      </c>
    </row>
    <row r="811" spans="1:4" x14ac:dyDescent="0.2">
      <c r="A811" s="5">
        <v>750</v>
      </c>
      <c r="B811" s="1831">
        <f>'Expenditures 15-22'!D72</f>
        <v>60228</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1391482</v>
      </c>
      <c r="C813" s="2" t="s">
        <v>568</v>
      </c>
      <c r="D813" s="2" t="str">
        <f t="shared" si="11"/>
        <v>Error?</v>
      </c>
    </row>
    <row r="814" spans="1:4" x14ac:dyDescent="0.2">
      <c r="A814" s="5">
        <v>753</v>
      </c>
      <c r="B814" s="1831">
        <f>'Expenditures 15-22'!D75</f>
        <v>2359</v>
      </c>
      <c r="D814" s="2" t="str">
        <f t="shared" si="11"/>
        <v>Error?</v>
      </c>
    </row>
    <row r="815" spans="1:4" x14ac:dyDescent="0.2">
      <c r="A815" s="5">
        <v>754</v>
      </c>
      <c r="B815" s="1831">
        <f>'Expenditures 15-22'!D114</f>
        <v>3767898</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91502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13358</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939670</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568</v>
      </c>
      <c r="D843" s="2" t="str">
        <f t="shared" si="12"/>
        <v>Error?</v>
      </c>
    </row>
    <row r="844" spans="1:4" x14ac:dyDescent="0.2">
      <c r="A844" s="5">
        <v>783</v>
      </c>
      <c r="B844" s="1831">
        <f>'Expenditures 15-22'!E44</f>
        <v>779817</v>
      </c>
      <c r="D844" s="2" t="str">
        <f t="shared" si="12"/>
        <v>Error?</v>
      </c>
    </row>
    <row r="845" spans="1:4" x14ac:dyDescent="0.2">
      <c r="A845" s="5">
        <v>784</v>
      </c>
      <c r="B845" s="1831">
        <f>'Expenditures 15-22'!E45</f>
        <v>522555</v>
      </c>
      <c r="D845" s="2" t="str">
        <f t="shared" si="12"/>
        <v>Error?</v>
      </c>
    </row>
    <row r="846" spans="1:4" x14ac:dyDescent="0.2">
      <c r="A846" s="5">
        <v>785</v>
      </c>
      <c r="B846" s="1831">
        <f>'Expenditures 15-22'!E46</f>
        <v>81651</v>
      </c>
      <c r="D846" s="2" t="str">
        <f t="shared" si="12"/>
        <v>Error?</v>
      </c>
    </row>
    <row r="847" spans="1:4" x14ac:dyDescent="0.2">
      <c r="A847" s="5">
        <v>786</v>
      </c>
      <c r="B847" s="1831">
        <f>'Expenditures 15-22'!E47</f>
        <v>1384023</v>
      </c>
      <c r="C847" s="2" t="s">
        <v>568</v>
      </c>
      <c r="D847" s="2" t="str">
        <f t="shared" si="12"/>
        <v>Error?</v>
      </c>
    </row>
    <row r="848" spans="1:4" x14ac:dyDescent="0.2">
      <c r="A848" s="5">
        <v>787</v>
      </c>
      <c r="B848" s="1831">
        <f>'Expenditures 15-22'!E49</f>
        <v>350552</v>
      </c>
      <c r="D848" s="2" t="str">
        <f t="shared" si="12"/>
        <v>Error?</v>
      </c>
    </row>
    <row r="849" spans="1:4" x14ac:dyDescent="0.2">
      <c r="A849" s="5">
        <v>788</v>
      </c>
      <c r="B849" s="1831">
        <f>'Expenditures 15-22'!E50</f>
        <v>56739</v>
      </c>
      <c r="D849" s="2" t="str">
        <f t="shared" si="12"/>
        <v>Error?</v>
      </c>
    </row>
    <row r="850" spans="1:4" x14ac:dyDescent="0.2">
      <c r="A850" s="5">
        <v>789</v>
      </c>
      <c r="B850" s="1831">
        <f>'Expenditures 15-22'!E53</f>
        <v>407291</v>
      </c>
      <c r="C850" s="2" t="s">
        <v>568</v>
      </c>
      <c r="D850" s="2" t="str">
        <f t="shared" si="12"/>
        <v>Error?</v>
      </c>
    </row>
    <row r="851" spans="1:4" x14ac:dyDescent="0.2">
      <c r="A851" s="5">
        <v>790</v>
      </c>
      <c r="B851" s="1831">
        <f>'Expenditures 15-22'!E55</f>
        <v>8324</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8324</v>
      </c>
      <c r="C853" s="2" t="s">
        <v>568</v>
      </c>
      <c r="D853" s="2" t="str">
        <f t="shared" si="12"/>
        <v>Error?</v>
      </c>
    </row>
    <row r="854" spans="1:4" x14ac:dyDescent="0.2">
      <c r="A854" s="5">
        <v>793</v>
      </c>
      <c r="B854" s="1831">
        <f>'Expenditures 15-22'!E59</f>
        <v>17022</v>
      </c>
      <c r="D854" s="2" t="str">
        <f t="shared" si="12"/>
        <v>Error?</v>
      </c>
    </row>
    <row r="855" spans="1:4" x14ac:dyDescent="0.2">
      <c r="A855" s="5">
        <v>794</v>
      </c>
      <c r="B855" s="1831">
        <f>'Expenditures 15-22'!E60</f>
        <v>10515</v>
      </c>
      <c r="D855" s="2" t="str">
        <f t="shared" si="12"/>
        <v>Error?</v>
      </c>
    </row>
    <row r="856" spans="1:4" x14ac:dyDescent="0.2">
      <c r="A856" s="5">
        <v>795</v>
      </c>
      <c r="B856" s="1831">
        <f>'Expenditures 15-22'!E61</f>
        <v>176555</v>
      </c>
      <c r="D856" s="2" t="str">
        <f t="shared" si="12"/>
        <v>Error?</v>
      </c>
    </row>
    <row r="857" spans="1:4" x14ac:dyDescent="0.2">
      <c r="A857" s="5">
        <v>796</v>
      </c>
      <c r="B857" s="1831">
        <f>'Expenditures 15-22'!E62</f>
        <v>376838</v>
      </c>
      <c r="D857" s="2" t="str">
        <f t="shared" si="12"/>
        <v>Error?</v>
      </c>
    </row>
    <row r="858" spans="1:4" x14ac:dyDescent="0.2">
      <c r="A858" s="5">
        <v>797</v>
      </c>
      <c r="B858" s="1831">
        <f>'Expenditures 15-22'!E63</f>
        <v>1196387</v>
      </c>
      <c r="D858" s="2" t="str">
        <f t="shared" si="12"/>
        <v>Error?</v>
      </c>
    </row>
    <row r="859" spans="1:4" x14ac:dyDescent="0.2">
      <c r="A859" s="5">
        <v>798</v>
      </c>
      <c r="B859" s="1831">
        <f>'Expenditures 15-22'!E64</f>
        <v>40423</v>
      </c>
      <c r="D859" s="2" t="str">
        <f t="shared" si="12"/>
        <v>Error?</v>
      </c>
    </row>
    <row r="860" spans="1:4" x14ac:dyDescent="0.2">
      <c r="A860" s="10">
        <v>799</v>
      </c>
      <c r="B860" s="1831"/>
      <c r="D860" s="2" t="str">
        <f t="shared" si="12"/>
        <v>OK</v>
      </c>
    </row>
    <row r="861" spans="1:4" x14ac:dyDescent="0.2">
      <c r="A861" s="5">
        <v>800</v>
      </c>
      <c r="B861" s="1831">
        <f>'Expenditures 15-22'!E65</f>
        <v>1817740</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648</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648</v>
      </c>
      <c r="C869" s="2" t="s">
        <v>568</v>
      </c>
      <c r="D869" s="2" t="str">
        <f t="shared" si="12"/>
        <v>Error?</v>
      </c>
    </row>
    <row r="870" spans="1:4" x14ac:dyDescent="0.2">
      <c r="A870" s="5">
        <v>809</v>
      </c>
      <c r="B870" s="1831">
        <f>'Expenditures 15-22'!E73</f>
        <v>263</v>
      </c>
      <c r="D870" s="2" t="str">
        <f t="shared" si="12"/>
        <v>Error?</v>
      </c>
    </row>
    <row r="871" spans="1:4" x14ac:dyDescent="0.2">
      <c r="A871" s="5">
        <v>810</v>
      </c>
      <c r="B871" s="1831">
        <f>'Expenditures 15-22'!E74</f>
        <v>3618289</v>
      </c>
      <c r="C871" s="2" t="s">
        <v>568</v>
      </c>
      <c r="D871" s="2" t="str">
        <f t="shared" si="12"/>
        <v>Error?</v>
      </c>
    </row>
    <row r="872" spans="1:4" x14ac:dyDescent="0.2">
      <c r="A872" s="5">
        <v>811</v>
      </c>
      <c r="B872" s="1831">
        <f>'Expenditures 15-22'!E75</f>
        <v>471298</v>
      </c>
      <c r="D872" s="2" t="str">
        <f t="shared" si="12"/>
        <v>Error?</v>
      </c>
    </row>
    <row r="873" spans="1:4" x14ac:dyDescent="0.2">
      <c r="A873" s="5">
        <v>812</v>
      </c>
      <c r="B873" s="1831">
        <f>'Expenditures 15-22'!E114</f>
        <v>5029257</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185757</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11782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325053</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3660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9571</v>
      </c>
      <c r="D898" s="2" t="str">
        <f t="shared" si="13"/>
        <v>Error?</v>
      </c>
    </row>
    <row r="899" spans="1:4" x14ac:dyDescent="0.2">
      <c r="A899" s="5">
        <v>838</v>
      </c>
      <c r="B899" s="1831">
        <f>'Expenditures 15-22'!F40</f>
        <v>3106</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16337</v>
      </c>
      <c r="C901" s="2" t="s">
        <v>568</v>
      </c>
      <c r="D901" s="2" t="str">
        <f t="shared" si="13"/>
        <v>Error?</v>
      </c>
    </row>
    <row r="902" spans="1:4" x14ac:dyDescent="0.2">
      <c r="A902" s="5">
        <v>841</v>
      </c>
      <c r="B902" s="1831">
        <f>'Expenditures 15-22'!F44</f>
        <v>23812</v>
      </c>
      <c r="D902" s="2" t="str">
        <f t="shared" si="13"/>
        <v>Error?</v>
      </c>
    </row>
    <row r="903" spans="1:4" x14ac:dyDescent="0.2">
      <c r="A903" s="5">
        <v>842</v>
      </c>
      <c r="B903" s="1831">
        <f>'Expenditures 15-22'!F45</f>
        <v>53066</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76878</v>
      </c>
      <c r="C905" s="2" t="s">
        <v>568</v>
      </c>
      <c r="D905" s="2" t="str">
        <f t="shared" si="13"/>
        <v>Error?</v>
      </c>
    </row>
    <row r="906" spans="1:4" x14ac:dyDescent="0.2">
      <c r="A906" s="5">
        <v>845</v>
      </c>
      <c r="B906" s="1831">
        <f>'Expenditures 15-22'!F49</f>
        <v>3128</v>
      </c>
      <c r="D906" s="2" t="str">
        <f t="shared" si="13"/>
        <v>Error?</v>
      </c>
    </row>
    <row r="907" spans="1:4" x14ac:dyDescent="0.2">
      <c r="A907" s="5">
        <v>846</v>
      </c>
      <c r="B907" s="1831">
        <f>'Expenditures 15-22'!F50</f>
        <v>69375</v>
      </c>
      <c r="D907" s="2" t="str">
        <f t="shared" si="13"/>
        <v>Error?</v>
      </c>
    </row>
    <row r="908" spans="1:4" x14ac:dyDescent="0.2">
      <c r="A908" s="5">
        <v>847</v>
      </c>
      <c r="B908" s="1831">
        <f>'Expenditures 15-22'!F53</f>
        <v>72503</v>
      </c>
      <c r="C908" s="2" t="s">
        <v>568</v>
      </c>
      <c r="D908" s="2" t="str">
        <f t="shared" si="13"/>
        <v>Error?</v>
      </c>
    </row>
    <row r="909" spans="1:4" x14ac:dyDescent="0.2">
      <c r="A909" s="5">
        <v>848</v>
      </c>
      <c r="B909" s="1831">
        <f>'Expenditures 15-22'!F55</f>
        <v>4524</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4524</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116195</v>
      </c>
      <c r="D916" s="2" t="str">
        <f t="shared" si="13"/>
        <v>Error?</v>
      </c>
    </row>
    <row r="917" spans="1:4" x14ac:dyDescent="0.2">
      <c r="A917" s="5">
        <v>856</v>
      </c>
      <c r="B917" s="1831">
        <f>'Expenditures 15-22'!F64</f>
        <v>28248</v>
      </c>
      <c r="D917" s="2" t="str">
        <f t="shared" si="13"/>
        <v>Error?</v>
      </c>
    </row>
    <row r="918" spans="1:4" x14ac:dyDescent="0.2">
      <c r="A918" s="10">
        <v>857</v>
      </c>
      <c r="B918" s="1831"/>
      <c r="D918" s="2" t="str">
        <f t="shared" si="13"/>
        <v>OK</v>
      </c>
    </row>
    <row r="919" spans="1:4" x14ac:dyDescent="0.2">
      <c r="A919" s="5">
        <v>858</v>
      </c>
      <c r="B919" s="1831">
        <f>'Expenditures 15-22'!F65</f>
        <v>144443</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94452</v>
      </c>
      <c r="D925" s="2" t="str">
        <f t="shared" si="13"/>
        <v>Error?</v>
      </c>
    </row>
    <row r="926" spans="1:4" x14ac:dyDescent="0.2">
      <c r="A926" s="10">
        <v>865</v>
      </c>
      <c r="B926" s="1831"/>
      <c r="D926" s="2" t="str">
        <f t="shared" si="13"/>
        <v>OK</v>
      </c>
    </row>
    <row r="927" spans="1:4" x14ac:dyDescent="0.2">
      <c r="A927" s="5">
        <v>866</v>
      </c>
      <c r="B927" s="1831">
        <f>'Expenditures 15-22'!F72</f>
        <v>94452</v>
      </c>
      <c r="C927" s="2" t="s">
        <v>568</v>
      </c>
      <c r="D927" s="2" t="str">
        <f t="shared" si="13"/>
        <v>Error?</v>
      </c>
    </row>
    <row r="928" spans="1:4" x14ac:dyDescent="0.2">
      <c r="A928" s="5">
        <v>867</v>
      </c>
      <c r="B928" s="1831">
        <f>'Expenditures 15-22'!F73</f>
        <v>5444</v>
      </c>
      <c r="D928" s="2" t="str">
        <f t="shared" si="13"/>
        <v>Error?</v>
      </c>
    </row>
    <row r="929" spans="1:4" x14ac:dyDescent="0.2">
      <c r="A929" s="5">
        <v>868</v>
      </c>
      <c r="B929" s="1831">
        <f>'Expenditures 15-22'!F74</f>
        <v>414581</v>
      </c>
      <c r="C929" s="2" t="s">
        <v>568</v>
      </c>
      <c r="D929" s="2" t="str">
        <f t="shared" si="13"/>
        <v>Error?</v>
      </c>
    </row>
    <row r="930" spans="1:4" x14ac:dyDescent="0.2">
      <c r="A930" s="5">
        <v>869</v>
      </c>
      <c r="B930" s="1831">
        <f>'Expenditures 15-22'!F75</f>
        <v>30298</v>
      </c>
      <c r="D930" s="2" t="str">
        <f t="shared" si="13"/>
        <v>Error?</v>
      </c>
    </row>
    <row r="931" spans="1:4" x14ac:dyDescent="0.2">
      <c r="A931" s="5">
        <v>870</v>
      </c>
      <c r="B931" s="1831">
        <f>'Expenditures 15-22'!F114</f>
        <v>769932</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3741</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136751</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136751</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136751</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140492</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235630</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568</v>
      </c>
      <c r="D1021" s="2" t="str">
        <f t="shared" si="14"/>
        <v>Error?</v>
      </c>
    </row>
    <row r="1022" spans="1:4" x14ac:dyDescent="0.2">
      <c r="A1022" s="5">
        <v>961</v>
      </c>
      <c r="B1022" s="1831">
        <f>'Expenditures 15-22'!H49</f>
        <v>6163</v>
      </c>
      <c r="D1022" s="2" t="str">
        <f t="shared" si="14"/>
        <v>Error?</v>
      </c>
    </row>
    <row r="1023" spans="1:4" x14ac:dyDescent="0.2">
      <c r="A1023" s="5">
        <v>962</v>
      </c>
      <c r="B1023" s="1831">
        <f>'Expenditures 15-22'!H50</f>
        <v>40367</v>
      </c>
      <c r="D1023" s="2" t="str">
        <f t="shared" ref="D1023:D1086" si="15">IF(ISBLANK(B1023),"OK",IF(A1023-B1023=0,"OK","Error?"))</f>
        <v>Error?</v>
      </c>
    </row>
    <row r="1024" spans="1:4" x14ac:dyDescent="0.2">
      <c r="A1024" s="5">
        <v>963</v>
      </c>
      <c r="B1024" s="1831">
        <f>'Expenditures 15-22'!H53</f>
        <v>46530</v>
      </c>
      <c r="C1024" s="2" t="s">
        <v>568</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570</v>
      </c>
      <c r="D1026" s="2" t="str">
        <f t="shared" si="15"/>
        <v>Error?</v>
      </c>
    </row>
    <row r="1027" spans="1:4" x14ac:dyDescent="0.2">
      <c r="A1027" s="5">
        <v>966</v>
      </c>
      <c r="B1027" s="1831">
        <f>'Expenditures 15-22'!H57</f>
        <v>570</v>
      </c>
      <c r="C1027" s="2" t="s">
        <v>568</v>
      </c>
      <c r="D1027" s="2" t="str">
        <f t="shared" si="15"/>
        <v>Error?</v>
      </c>
    </row>
    <row r="1028" spans="1:4" x14ac:dyDescent="0.2">
      <c r="A1028" s="5">
        <v>967</v>
      </c>
      <c r="B1028" s="1831">
        <f>'Expenditures 15-22'!H59</f>
        <v>827</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827</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47927</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2297456</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2581013</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1995</v>
      </c>
      <c r="E1056" s="4" t="s">
        <v>1994</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15574849</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149663</v>
      </c>
      <c r="C1106" s="2" t="s">
        <v>568</v>
      </c>
      <c r="D1106" s="2" t="str">
        <f t="shared" si="16"/>
        <v>Error?</v>
      </c>
    </row>
    <row r="1107" spans="1:4" x14ac:dyDescent="0.2">
      <c r="A1107" s="5">
        <v>1046</v>
      </c>
      <c r="B1107" s="1831">
        <f>'Expenditures 15-22'!K15</f>
        <v>0</v>
      </c>
      <c r="C1107" s="2" t="s">
        <v>568</v>
      </c>
      <c r="D1107" s="2" t="str">
        <f t="shared" si="16"/>
        <v>Error?</v>
      </c>
    </row>
    <row r="1108" spans="1:4" x14ac:dyDescent="0.2">
      <c r="A1108" s="5">
        <v>1047</v>
      </c>
      <c r="B1108" s="1831">
        <f>'Expenditures 15-22'!K33</f>
        <v>18501962</v>
      </c>
      <c r="C1108" s="2" t="s">
        <v>568</v>
      </c>
      <c r="D1108" s="2" t="str">
        <f t="shared" si="16"/>
        <v>Error?</v>
      </c>
    </row>
    <row r="1109" spans="1:4" x14ac:dyDescent="0.2">
      <c r="A1109" s="5">
        <v>1048</v>
      </c>
      <c r="B1109" s="1831">
        <f>'Expenditures 15-22'!K36</f>
        <v>699659</v>
      </c>
      <c r="C1109" s="2" t="s">
        <v>568</v>
      </c>
      <c r="D1109" s="2" t="str">
        <f t="shared" si="16"/>
        <v>Error?</v>
      </c>
    </row>
    <row r="1110" spans="1:4" x14ac:dyDescent="0.2">
      <c r="A1110" s="5">
        <v>1049</v>
      </c>
      <c r="B1110" s="1831">
        <f>'Expenditures 15-22'!K37</f>
        <v>3660</v>
      </c>
      <c r="C1110" s="2" t="s">
        <v>568</v>
      </c>
      <c r="D1110" s="2" t="str">
        <f t="shared" si="16"/>
        <v>Error?</v>
      </c>
    </row>
    <row r="1111" spans="1:4" x14ac:dyDescent="0.2">
      <c r="A1111" s="5">
        <v>1050</v>
      </c>
      <c r="B1111" s="1831">
        <f>'Expenditures 15-22'!K38</f>
        <v>304721</v>
      </c>
      <c r="C1111" s="2" t="s">
        <v>568</v>
      </c>
      <c r="D1111" s="2" t="str">
        <f t="shared" si="16"/>
        <v>Error?</v>
      </c>
    </row>
    <row r="1112" spans="1:4" x14ac:dyDescent="0.2">
      <c r="A1112" s="5">
        <v>1051</v>
      </c>
      <c r="B1112" s="1831">
        <f>'Expenditures 15-22'!K39</f>
        <v>269835</v>
      </c>
      <c r="C1112" s="2" t="s">
        <v>568</v>
      </c>
      <c r="D1112" s="2" t="str">
        <f t="shared" si="16"/>
        <v>Error?</v>
      </c>
    </row>
    <row r="1113" spans="1:4" x14ac:dyDescent="0.2">
      <c r="A1113" s="5">
        <v>1052</v>
      </c>
      <c r="B1113" s="1831">
        <f>'Expenditures 15-22'!K40</f>
        <v>268082</v>
      </c>
      <c r="C1113" s="2" t="s">
        <v>568</v>
      </c>
      <c r="D1113" s="2" t="str">
        <f t="shared" si="16"/>
        <v>Error?</v>
      </c>
    </row>
    <row r="1114" spans="1:4" x14ac:dyDescent="0.2">
      <c r="A1114" s="5">
        <v>1053</v>
      </c>
      <c r="B1114" s="1831">
        <f>'Expenditures 15-22'!K41</f>
        <v>0</v>
      </c>
      <c r="C1114" s="2" t="s">
        <v>568</v>
      </c>
      <c r="D1114" s="2" t="str">
        <f t="shared" si="16"/>
        <v>Error?</v>
      </c>
    </row>
    <row r="1115" spans="1:4" x14ac:dyDescent="0.2">
      <c r="A1115" s="5">
        <v>1054</v>
      </c>
      <c r="B1115" s="1831">
        <f>'Expenditures 15-22'!K42</f>
        <v>1545957</v>
      </c>
      <c r="C1115" s="2" t="s">
        <v>568</v>
      </c>
      <c r="D1115" s="2" t="str">
        <f t="shared" si="16"/>
        <v>Error?</v>
      </c>
    </row>
    <row r="1116" spans="1:4" x14ac:dyDescent="0.2">
      <c r="A1116" s="5">
        <v>1055</v>
      </c>
      <c r="B1116" s="1831">
        <f>'Expenditures 15-22'!K44</f>
        <v>1381926</v>
      </c>
      <c r="C1116" s="2" t="s">
        <v>568</v>
      </c>
      <c r="D1116" s="2" t="str">
        <f t="shared" si="16"/>
        <v>Error?</v>
      </c>
    </row>
    <row r="1117" spans="1:4" x14ac:dyDescent="0.2">
      <c r="A1117" s="5">
        <v>1056</v>
      </c>
      <c r="B1117" s="1831">
        <f>'Expenditures 15-22'!K45</f>
        <v>901274</v>
      </c>
      <c r="C1117" s="2" t="s">
        <v>568</v>
      </c>
      <c r="D1117" s="2" t="str">
        <f t="shared" si="16"/>
        <v>Error?</v>
      </c>
    </row>
    <row r="1118" spans="1:4" x14ac:dyDescent="0.2">
      <c r="A1118" s="5">
        <v>1057</v>
      </c>
      <c r="B1118" s="1831">
        <f>'Expenditures 15-22'!K46</f>
        <v>81651</v>
      </c>
      <c r="C1118" s="2" t="s">
        <v>568</v>
      </c>
      <c r="D1118" s="2" t="str">
        <f t="shared" si="16"/>
        <v>Error?</v>
      </c>
    </row>
    <row r="1119" spans="1:4" x14ac:dyDescent="0.2">
      <c r="A1119" s="5">
        <v>1058</v>
      </c>
      <c r="B1119" s="1831">
        <f>'Expenditures 15-22'!K47</f>
        <v>2364851</v>
      </c>
      <c r="C1119" s="2" t="s">
        <v>568</v>
      </c>
      <c r="D1119" s="2" t="str">
        <f t="shared" si="16"/>
        <v>Error?</v>
      </c>
    </row>
    <row r="1120" spans="1:4" x14ac:dyDescent="0.2">
      <c r="A1120" s="5">
        <v>1059</v>
      </c>
      <c r="B1120" s="1831">
        <f>'Expenditures 15-22'!K49</f>
        <v>620571</v>
      </c>
      <c r="C1120" s="2" t="s">
        <v>568</v>
      </c>
      <c r="D1120" s="2" t="str">
        <f t="shared" si="16"/>
        <v>Error?</v>
      </c>
    </row>
    <row r="1121" spans="1:4" x14ac:dyDescent="0.2">
      <c r="A1121" s="5">
        <v>1060</v>
      </c>
      <c r="B1121" s="1831">
        <f>'Expenditures 15-22'!K50</f>
        <v>580925</v>
      </c>
      <c r="C1121" s="2" t="s">
        <v>568</v>
      </c>
      <c r="D1121" s="2" t="str">
        <f t="shared" si="16"/>
        <v>Error?</v>
      </c>
    </row>
    <row r="1122" spans="1:4" x14ac:dyDescent="0.2">
      <c r="A1122" s="5">
        <v>1061</v>
      </c>
      <c r="B1122" s="1831">
        <f>'Expenditures 15-22'!K53</f>
        <v>1453078</v>
      </c>
      <c r="C1122" s="2" t="s">
        <v>568</v>
      </c>
      <c r="D1122" s="2" t="str">
        <f t="shared" si="16"/>
        <v>Error?</v>
      </c>
    </row>
    <row r="1123" spans="1:4" x14ac:dyDescent="0.2">
      <c r="A1123" s="5">
        <v>1062</v>
      </c>
      <c r="B1123" s="1831">
        <f>'Expenditures 15-22'!K55</f>
        <v>1780775</v>
      </c>
      <c r="C1123" s="2" t="s">
        <v>568</v>
      </c>
      <c r="D1123" s="2" t="str">
        <f t="shared" si="16"/>
        <v>Error?</v>
      </c>
    </row>
    <row r="1124" spans="1:4" x14ac:dyDescent="0.2">
      <c r="A1124" s="5">
        <v>1063</v>
      </c>
      <c r="B1124" s="1831">
        <f>'Expenditures 15-22'!K56</f>
        <v>570</v>
      </c>
      <c r="C1124" s="2" t="s">
        <v>568</v>
      </c>
      <c r="D1124" s="2" t="str">
        <f t="shared" si="16"/>
        <v>Error?</v>
      </c>
    </row>
    <row r="1125" spans="1:4" x14ac:dyDescent="0.2">
      <c r="A1125" s="5">
        <v>1064</v>
      </c>
      <c r="B1125" s="1831">
        <f>'Expenditures 15-22'!K57</f>
        <v>1781345</v>
      </c>
      <c r="C1125" s="2" t="s">
        <v>568</v>
      </c>
      <c r="D1125" s="2" t="str">
        <f t="shared" si="16"/>
        <v>Error?</v>
      </c>
    </row>
    <row r="1126" spans="1:4" x14ac:dyDescent="0.2">
      <c r="A1126" s="5">
        <v>1065</v>
      </c>
      <c r="B1126" s="1831">
        <f>'Expenditures 15-22'!K59</f>
        <v>134434</v>
      </c>
      <c r="C1126" s="2" t="s">
        <v>568</v>
      </c>
      <c r="D1126" s="2" t="str">
        <f t="shared" si="16"/>
        <v>Error?</v>
      </c>
    </row>
    <row r="1127" spans="1:4" x14ac:dyDescent="0.2">
      <c r="A1127" s="5">
        <v>1066</v>
      </c>
      <c r="B1127" s="1831">
        <f>'Expenditures 15-22'!K60</f>
        <v>488957</v>
      </c>
      <c r="C1127" s="2" t="s">
        <v>568</v>
      </c>
      <c r="D1127" s="2" t="str">
        <f t="shared" si="16"/>
        <v>Error?</v>
      </c>
    </row>
    <row r="1128" spans="1:4" x14ac:dyDescent="0.2">
      <c r="A1128" s="5">
        <v>1067</v>
      </c>
      <c r="B1128" s="1831">
        <f>'Expenditures 15-22'!K61</f>
        <v>265919</v>
      </c>
      <c r="C1128" s="2" t="s">
        <v>568</v>
      </c>
      <c r="D1128" s="2" t="str">
        <f t="shared" si="16"/>
        <v>Error?</v>
      </c>
    </row>
    <row r="1129" spans="1:4" x14ac:dyDescent="0.2">
      <c r="A1129" s="5">
        <v>1068</v>
      </c>
      <c r="B1129" s="1831">
        <f>'Expenditures 15-22'!K62</f>
        <v>381767</v>
      </c>
      <c r="C1129" s="2" t="s">
        <v>568</v>
      </c>
      <c r="D1129" s="2" t="str">
        <f t="shared" si="16"/>
        <v>Error?</v>
      </c>
    </row>
    <row r="1130" spans="1:4" x14ac:dyDescent="0.2">
      <c r="A1130" s="5">
        <v>1069</v>
      </c>
      <c r="B1130" s="1831">
        <f>'Expenditures 15-22'!K63</f>
        <v>1451368</v>
      </c>
      <c r="C1130" s="2" t="s">
        <v>568</v>
      </c>
      <c r="D1130" s="2" t="str">
        <f t="shared" si="16"/>
        <v>Error?</v>
      </c>
    </row>
    <row r="1131" spans="1:4" x14ac:dyDescent="0.2">
      <c r="A1131" s="5">
        <v>1070</v>
      </c>
      <c r="B1131" s="1831">
        <f>'Expenditures 15-22'!K64</f>
        <v>68671</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2791116</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0</v>
      </c>
      <c r="C1136" s="2" t="s">
        <v>568</v>
      </c>
      <c r="D1136" s="2" t="str">
        <f t="shared" si="16"/>
        <v>Error?</v>
      </c>
    </row>
    <row r="1137" spans="1:4" x14ac:dyDescent="0.2">
      <c r="A1137" s="5">
        <v>1076</v>
      </c>
      <c r="B1137" s="1831">
        <f>'Expenditures 15-22'!K70</f>
        <v>648</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766193</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766841</v>
      </c>
      <c r="C1141" s="2" t="s">
        <v>568</v>
      </c>
      <c r="D1141" s="2" t="str">
        <f t="shared" si="16"/>
        <v>Error?</v>
      </c>
    </row>
    <row r="1142" spans="1:4" x14ac:dyDescent="0.2">
      <c r="A1142" s="5">
        <v>1081</v>
      </c>
      <c r="B1142" s="1831">
        <f>'Expenditures 15-22'!K73</f>
        <v>5707</v>
      </c>
      <c r="C1142" s="2" t="s">
        <v>568</v>
      </c>
      <c r="D1142" s="2" t="str">
        <f t="shared" si="16"/>
        <v>Error?</v>
      </c>
    </row>
    <row r="1143" spans="1:4" x14ac:dyDescent="0.2">
      <c r="A1143" s="5">
        <v>1082</v>
      </c>
      <c r="B1143" s="1831">
        <f>'Expenditures 15-22'!K74</f>
        <v>10708895</v>
      </c>
      <c r="C1143" s="2" t="s">
        <v>568</v>
      </c>
      <c r="D1143" s="2" t="str">
        <f t="shared" si="16"/>
        <v>Error?</v>
      </c>
    </row>
    <row r="1144" spans="1:4" x14ac:dyDescent="0.2">
      <c r="A1144" s="5">
        <v>1083</v>
      </c>
      <c r="B1144" s="1831">
        <f>'Expenditures 15-22'!K75</f>
        <v>646416</v>
      </c>
      <c r="C1144" s="2" t="s">
        <v>568</v>
      </c>
      <c r="D1144" s="2" t="str">
        <f t="shared" si="16"/>
        <v>Error?</v>
      </c>
    </row>
    <row r="1145" spans="1:4" x14ac:dyDescent="0.2">
      <c r="A1145" s="5">
        <v>1084</v>
      </c>
      <c r="B1145" s="1831">
        <f>'Expenditures 15-22'!K102</f>
        <v>2297456</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32154729</v>
      </c>
      <c r="C1152" s="2" t="s">
        <v>568</v>
      </c>
      <c r="D1152" s="2" t="str">
        <f t="shared" si="17"/>
        <v>Error?</v>
      </c>
    </row>
    <row r="1153" spans="1:4" x14ac:dyDescent="0.2">
      <c r="A1153" s="5">
        <v>1092</v>
      </c>
      <c r="B1153" s="1831">
        <f>'Expenditures 15-22'!K115</f>
        <v>1467065</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899531</v>
      </c>
      <c r="D1221" s="2" t="str">
        <f t="shared" si="18"/>
        <v>Error?</v>
      </c>
    </row>
    <row r="1222" spans="1:4" x14ac:dyDescent="0.2">
      <c r="A1222" s="10">
        <v>1161</v>
      </c>
      <c r="B1222" s="1831"/>
      <c r="D1222" s="2" t="str">
        <f t="shared" si="18"/>
        <v>OK</v>
      </c>
    </row>
    <row r="1223" spans="1:4" x14ac:dyDescent="0.2">
      <c r="A1223" s="5">
        <v>1162</v>
      </c>
      <c r="B1223" s="1831">
        <f>'Expenditures 15-22'!C127</f>
        <v>899531</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899531</v>
      </c>
      <c r="C1225" s="2" t="s">
        <v>568</v>
      </c>
      <c r="D1225" s="2" t="str">
        <f t="shared" si="18"/>
        <v>Error?</v>
      </c>
    </row>
    <row r="1226" spans="1:4" x14ac:dyDescent="0.2">
      <c r="A1226" s="5">
        <v>1165</v>
      </c>
      <c r="B1226" s="1831">
        <f>'Expenditures 15-22'!C151</f>
        <v>899531</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120087</v>
      </c>
      <c r="D1229" s="2" t="str">
        <f t="shared" si="18"/>
        <v>Error?</v>
      </c>
    </row>
    <row r="1230" spans="1:4" x14ac:dyDescent="0.2">
      <c r="A1230" s="10">
        <v>1169</v>
      </c>
      <c r="B1230" s="1831"/>
      <c r="D1230" s="2" t="str">
        <f t="shared" si="18"/>
        <v>OK</v>
      </c>
    </row>
    <row r="1231" spans="1:4" x14ac:dyDescent="0.2">
      <c r="A1231" s="5">
        <v>1170</v>
      </c>
      <c r="B1231" s="1831">
        <f>'Expenditures 15-22'!D127</f>
        <v>120087</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120087</v>
      </c>
      <c r="C1233" s="2" t="s">
        <v>568</v>
      </c>
      <c r="D1233" s="2" t="str">
        <f t="shared" si="18"/>
        <v>Error?</v>
      </c>
    </row>
    <row r="1234" spans="1:4" x14ac:dyDescent="0.2">
      <c r="A1234" s="5">
        <v>1173</v>
      </c>
      <c r="B1234" s="1831">
        <f>'Expenditures 15-22'!D151</f>
        <v>120087</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8791</v>
      </c>
      <c r="D1236" s="2" t="str">
        <f t="shared" si="18"/>
        <v>Error?</v>
      </c>
    </row>
    <row r="1237" spans="1:4" x14ac:dyDescent="0.2">
      <c r="A1237" s="5">
        <v>1176</v>
      </c>
      <c r="B1237" s="1831">
        <f>'Expenditures 15-22'!E124</f>
        <v>1492949</v>
      </c>
      <c r="D1237" s="2" t="str">
        <f t="shared" si="18"/>
        <v>Error?</v>
      </c>
    </row>
    <row r="1238" spans="1:4" x14ac:dyDescent="0.2">
      <c r="A1238" s="10">
        <v>1177</v>
      </c>
      <c r="B1238" s="1831"/>
      <c r="D1238" s="2" t="str">
        <f t="shared" si="18"/>
        <v>OK</v>
      </c>
    </row>
    <row r="1239" spans="1:4" x14ac:dyDescent="0.2">
      <c r="A1239" s="5">
        <v>1178</v>
      </c>
      <c r="B1239" s="1831">
        <f>'Expenditures 15-22'!E127</f>
        <v>1501740</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1501740</v>
      </c>
      <c r="C1241" s="2" t="s">
        <v>568</v>
      </c>
      <c r="D1241" s="2" t="str">
        <f t="shared" si="18"/>
        <v>Error?</v>
      </c>
    </row>
    <row r="1242" spans="1:4" x14ac:dyDescent="0.2">
      <c r="A1242" s="5">
        <v>1181</v>
      </c>
      <c r="B1242" s="1831">
        <f>'Expenditures 15-22'!E151</f>
        <v>1501740</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646625</v>
      </c>
      <c r="D1245" s="2" t="str">
        <f t="shared" si="18"/>
        <v>Error?</v>
      </c>
    </row>
    <row r="1246" spans="1:4" x14ac:dyDescent="0.2">
      <c r="A1246" s="10">
        <v>1185</v>
      </c>
      <c r="B1246" s="1831"/>
      <c r="D1246" s="2" t="str">
        <f t="shared" si="18"/>
        <v>OK</v>
      </c>
    </row>
    <row r="1247" spans="1:4" x14ac:dyDescent="0.2">
      <c r="A1247" s="5">
        <v>1186</v>
      </c>
      <c r="B1247" s="1831">
        <f>'Expenditures 15-22'!F127</f>
        <v>646625</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646625</v>
      </c>
      <c r="C1249" s="2" t="s">
        <v>568</v>
      </c>
      <c r="D1249" s="2" t="str">
        <f t="shared" si="18"/>
        <v>Error?</v>
      </c>
    </row>
    <row r="1250" spans="1:4" x14ac:dyDescent="0.2">
      <c r="A1250" s="5">
        <v>1189</v>
      </c>
      <c r="B1250" s="1831">
        <f>'Expenditures 15-22'!F151</f>
        <v>646625</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729171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729171</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729171</v>
      </c>
      <c r="C1258" s="2" t="s">
        <v>568</v>
      </c>
      <c r="D1258" s="2" t="str">
        <f t="shared" si="18"/>
        <v>Error?</v>
      </c>
    </row>
    <row r="1259" spans="1:4" x14ac:dyDescent="0.2">
      <c r="A1259" s="5">
        <v>1198</v>
      </c>
      <c r="B1259" s="1831">
        <f>'Expenditures 15-22'!G151</f>
        <v>729171</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8791</v>
      </c>
      <c r="C1275" s="2" t="s">
        <v>568</v>
      </c>
      <c r="D1275" s="2" t="str">
        <f t="shared" si="18"/>
        <v>Error?</v>
      </c>
    </row>
    <row r="1276" spans="1:4" x14ac:dyDescent="0.2">
      <c r="A1276" s="5">
        <v>1215</v>
      </c>
      <c r="B1276" s="1831">
        <f>'Expenditures 15-22'!K124</f>
        <v>3888363</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3897154</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3897154</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3897154</v>
      </c>
      <c r="C1288" s="2" t="s">
        <v>568</v>
      </c>
      <c r="D1288" s="2" t="str">
        <f t="shared" si="19"/>
        <v>Error?</v>
      </c>
    </row>
    <row r="1289" spans="1:4" x14ac:dyDescent="0.2">
      <c r="A1289" s="5">
        <v>1228</v>
      </c>
      <c r="B1289" s="1831">
        <f>'Expenditures 15-22'!K152</f>
        <v>-3189663</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1037143</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3225000</v>
      </c>
      <c r="D1315" s="2" t="str">
        <f t="shared" si="19"/>
        <v>Error?</v>
      </c>
    </row>
    <row r="1316" spans="1:4" x14ac:dyDescent="0.2">
      <c r="A1316" s="5">
        <v>1255</v>
      </c>
      <c r="B1316" s="1831">
        <f>'Expenditures 15-22'!H171</f>
        <v>238730</v>
      </c>
      <c r="D1316" s="2" t="str">
        <f t="shared" si="19"/>
        <v>Error?</v>
      </c>
    </row>
    <row r="1317" spans="1:4" x14ac:dyDescent="0.2">
      <c r="A1317" s="5">
        <v>1256</v>
      </c>
      <c r="B1317" s="1831">
        <f>'Expenditures 15-22'!H172</f>
        <v>4500873</v>
      </c>
      <c r="C1317" s="2" t="s">
        <v>568</v>
      </c>
      <c r="D1317" s="2" t="str">
        <f t="shared" si="19"/>
        <v>Error?</v>
      </c>
    </row>
    <row r="1318" spans="1:4" x14ac:dyDescent="0.2">
      <c r="A1318" s="5">
        <v>1257</v>
      </c>
      <c r="B1318" s="1831">
        <f>'Expenditures 15-22'!H174</f>
        <v>4500873</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1037143</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3225000</v>
      </c>
      <c r="C1329" s="2" t="s">
        <v>568</v>
      </c>
      <c r="D1329" s="2" t="str">
        <f t="shared" si="19"/>
        <v>Error?</v>
      </c>
    </row>
    <row r="1330" spans="1:4" x14ac:dyDescent="0.2">
      <c r="A1330" s="5">
        <v>1269</v>
      </c>
      <c r="B1330" s="1831">
        <f>'Expenditures 15-22'!K171</f>
        <v>238730</v>
      </c>
      <c r="C1330" s="2" t="s">
        <v>568</v>
      </c>
      <c r="D1330" s="2" t="str">
        <f t="shared" si="19"/>
        <v>Error?</v>
      </c>
    </row>
    <row r="1331" spans="1:4" x14ac:dyDescent="0.2">
      <c r="A1331" s="5">
        <v>1270</v>
      </c>
      <c r="B1331" s="1831">
        <f>'Expenditures 15-22'!K172</f>
        <v>4500873</v>
      </c>
      <c r="C1331" s="2" t="s">
        <v>568</v>
      </c>
      <c r="D1331" s="2" t="str">
        <f t="shared" si="19"/>
        <v>Error?</v>
      </c>
    </row>
    <row r="1332" spans="1:4" x14ac:dyDescent="0.2">
      <c r="A1332" s="5">
        <v>1271</v>
      </c>
      <c r="B1332" s="1831">
        <f>'Expenditures 15-22'!K174</f>
        <v>4500873</v>
      </c>
      <c r="C1332" s="2" t="s">
        <v>568</v>
      </c>
      <c r="D1332" s="2" t="str">
        <f t="shared" si="19"/>
        <v>Error?</v>
      </c>
    </row>
    <row r="1333" spans="1:4" x14ac:dyDescent="0.2">
      <c r="A1333" s="5">
        <v>1272</v>
      </c>
      <c r="B1333" s="1831">
        <f>'Expenditures 15-22'!K175</f>
        <v>-854772</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568</v>
      </c>
      <c r="D1339" s="2" t="str">
        <f t="shared" si="19"/>
        <v>Error?</v>
      </c>
    </row>
    <row r="1340" spans="1:4" x14ac:dyDescent="0.2">
      <c r="A1340" s="5">
        <v>1279</v>
      </c>
      <c r="B1340" s="1831">
        <f>'Expenditures 15-22'!C210</f>
        <v>0</v>
      </c>
      <c r="C1340" s="2" t="s">
        <v>568</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568</v>
      </c>
      <c r="D1345" s="2" t="str">
        <f t="shared" si="20"/>
        <v>Error?</v>
      </c>
    </row>
    <row r="1346" spans="1:4" x14ac:dyDescent="0.2">
      <c r="A1346" s="5">
        <v>1285</v>
      </c>
      <c r="B1346" s="1831">
        <f>'Expenditures 15-22'!D210</f>
        <v>0</v>
      </c>
      <c r="C1346" s="2" t="s">
        <v>568</v>
      </c>
      <c r="D1346" s="2" t="str">
        <f t="shared" si="20"/>
        <v>Error?</v>
      </c>
    </row>
    <row r="1347" spans="1:4" x14ac:dyDescent="0.2">
      <c r="A1347" s="5">
        <v>1286</v>
      </c>
      <c r="B1347" s="1831">
        <f>'Expenditures 15-22'!E182</f>
        <v>809760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809760</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809760</v>
      </c>
      <c r="C1353" s="2" t="s">
        <v>568</v>
      </c>
      <c r="D1353" s="2" t="str">
        <f t="shared" si="20"/>
        <v>Error?</v>
      </c>
    </row>
    <row r="1354" spans="1:4" x14ac:dyDescent="0.2">
      <c r="A1354" s="5">
        <v>1293</v>
      </c>
      <c r="B1354" s="1831">
        <f>'Expenditures 15-22'!F182</f>
        <v>4296</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4296</v>
      </c>
      <c r="C1358" s="2" t="s">
        <v>568</v>
      </c>
      <c r="D1358" s="2" t="str">
        <f t="shared" si="20"/>
        <v>Error?</v>
      </c>
    </row>
    <row r="1359" spans="1:4" x14ac:dyDescent="0.2">
      <c r="A1359" s="5">
        <v>1298</v>
      </c>
      <c r="B1359" s="1831">
        <f>'Expenditures 15-22'!F210</f>
        <v>4296</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0</v>
      </c>
      <c r="C1376" s="2" t="s">
        <v>568</v>
      </c>
      <c r="D1376" s="2" t="str">
        <f t="shared" si="20"/>
        <v>Error?</v>
      </c>
    </row>
    <row r="1377" spans="1:4" x14ac:dyDescent="0.2">
      <c r="A1377" s="5">
        <v>1316</v>
      </c>
      <c r="B1377" s="1831">
        <f>'Expenditures 15-22'!K182</f>
        <v>814056</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814056</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814056</v>
      </c>
      <c r="C1388" s="2" t="s">
        <v>568</v>
      </c>
      <c r="D1388" s="2" t="str">
        <f t="shared" si="20"/>
        <v>Error?</v>
      </c>
    </row>
    <row r="1389" spans="1:4" x14ac:dyDescent="0.2">
      <c r="A1389" s="5">
        <v>1328</v>
      </c>
      <c r="B1389" s="1831">
        <f>'Expenditures 15-22'!K211</f>
        <v>642949</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3139</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284571</v>
      </c>
      <c r="C1410" s="2" t="s">
        <v>568</v>
      </c>
      <c r="D1410" s="2" t="str">
        <f t="shared" si="21"/>
        <v>Error?</v>
      </c>
    </row>
    <row r="1411" spans="1:4" x14ac:dyDescent="0.2">
      <c r="A1411" s="5">
        <v>1350</v>
      </c>
      <c r="B1411" s="1831">
        <f>'Expenditures 15-22'!D232</f>
        <v>9463</v>
      </c>
      <c r="D1411" s="2" t="str">
        <f t="shared" si="21"/>
        <v>Error?</v>
      </c>
    </row>
    <row r="1412" spans="1:4" x14ac:dyDescent="0.2">
      <c r="A1412" s="5">
        <v>1351</v>
      </c>
      <c r="B1412" s="1831">
        <f>'Expenditures 15-22'!D233</f>
        <v>9624</v>
      </c>
      <c r="D1412" s="2" t="str">
        <f t="shared" si="21"/>
        <v>Error?</v>
      </c>
    </row>
    <row r="1413" spans="1:4" x14ac:dyDescent="0.2">
      <c r="A1413" s="5">
        <v>1352</v>
      </c>
      <c r="B1413" s="1831">
        <f>'Expenditures 15-22'!D234</f>
        <v>19789</v>
      </c>
      <c r="D1413" s="2" t="str">
        <f t="shared" si="21"/>
        <v>Error?</v>
      </c>
    </row>
    <row r="1414" spans="1:4" x14ac:dyDescent="0.2">
      <c r="A1414" s="5">
        <v>1353</v>
      </c>
      <c r="B1414" s="1831">
        <f>'Expenditures 15-22'!D235</f>
        <v>3574</v>
      </c>
      <c r="D1414" s="2" t="str">
        <f t="shared" si="21"/>
        <v>Error?</v>
      </c>
    </row>
    <row r="1415" spans="1:4" x14ac:dyDescent="0.2">
      <c r="A1415" s="5">
        <v>1354</v>
      </c>
      <c r="B1415" s="1831">
        <f>'Expenditures 15-22'!D236</f>
        <v>3436</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45886</v>
      </c>
      <c r="C1417" s="2" t="s">
        <v>568</v>
      </c>
      <c r="D1417" s="2" t="str">
        <f t="shared" si="21"/>
        <v>Error?</v>
      </c>
    </row>
    <row r="1418" spans="1:4" x14ac:dyDescent="0.2">
      <c r="A1418" s="5">
        <v>1357</v>
      </c>
      <c r="B1418" s="1831">
        <f>'Expenditures 15-22'!D240</f>
        <v>4853</v>
      </c>
      <c r="D1418" s="2" t="str">
        <f t="shared" si="21"/>
        <v>Error?</v>
      </c>
    </row>
    <row r="1419" spans="1:4" x14ac:dyDescent="0.2">
      <c r="A1419" s="5">
        <v>1358</v>
      </c>
      <c r="B1419" s="1831">
        <f>'Expenditures 15-22'!D241</f>
        <v>3723</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8576</v>
      </c>
      <c r="C1421" s="2" t="s">
        <v>568</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40368</v>
      </c>
      <c r="D1423" s="2" t="str">
        <f t="shared" si="21"/>
        <v>Error?</v>
      </c>
    </row>
    <row r="1424" spans="1:4" x14ac:dyDescent="0.2">
      <c r="A1424" s="5">
        <v>1363</v>
      </c>
      <c r="B1424" s="1831">
        <f>'Expenditures 15-22'!D257</f>
        <v>48609</v>
      </c>
      <c r="C1424" s="2" t="s">
        <v>568</v>
      </c>
      <c r="D1424" s="2" t="str">
        <f t="shared" si="21"/>
        <v>Error?</v>
      </c>
    </row>
    <row r="1425" spans="1:4" x14ac:dyDescent="0.2">
      <c r="A1425" s="5">
        <v>1364</v>
      </c>
      <c r="B1425" s="1831">
        <f>'Expenditures 15-22'!D259</f>
        <v>70997</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70997</v>
      </c>
      <c r="C1427" s="2" t="s">
        <v>568</v>
      </c>
      <c r="D1427" s="2" t="str">
        <f t="shared" si="21"/>
        <v>Error?</v>
      </c>
    </row>
    <row r="1428" spans="1:4" x14ac:dyDescent="0.2">
      <c r="A1428" s="5">
        <v>1367</v>
      </c>
      <c r="B1428" s="1831">
        <f>'Expenditures 15-22'!D263</f>
        <v>321</v>
      </c>
      <c r="D1428" s="2" t="str">
        <f t="shared" si="21"/>
        <v>Error?</v>
      </c>
    </row>
    <row r="1429" spans="1:4" x14ac:dyDescent="0.2">
      <c r="A1429" s="5">
        <v>1368</v>
      </c>
      <c r="B1429" s="1831">
        <f>'Expenditures 15-22'!D264</f>
        <v>31241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136872</v>
      </c>
      <c r="D1431" s="2" t="str">
        <f t="shared" si="21"/>
        <v>Error?</v>
      </c>
    </row>
    <row r="1432" spans="1:4" x14ac:dyDescent="0.2">
      <c r="A1432" s="5">
        <v>1371</v>
      </c>
      <c r="B1432" s="1831">
        <f>'Expenditures 15-22'!D267</f>
        <v>377</v>
      </c>
      <c r="D1432" s="2" t="str">
        <f t="shared" si="21"/>
        <v>Error?</v>
      </c>
    </row>
    <row r="1433" spans="1:4" x14ac:dyDescent="0.2">
      <c r="A1433" s="5">
        <v>1372</v>
      </c>
      <c r="B1433" s="1831">
        <f>'Expenditures 15-22'!D268</f>
        <v>10617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179428</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95126</v>
      </c>
      <c r="D1442" s="2" t="str">
        <f t="shared" si="21"/>
        <v>Error?</v>
      </c>
    </row>
    <row r="1443" spans="1:4" x14ac:dyDescent="0.2">
      <c r="A1443" s="10">
        <v>1382</v>
      </c>
      <c r="B1443" s="1831"/>
      <c r="D1443" s="2" t="str">
        <f t="shared" si="21"/>
        <v>OK</v>
      </c>
    </row>
    <row r="1444" spans="1:4" x14ac:dyDescent="0.2">
      <c r="A1444" s="5">
        <v>1383</v>
      </c>
      <c r="B1444" s="1831">
        <f>'Expenditures 15-22'!D277</f>
        <v>95126</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448622</v>
      </c>
      <c r="C1446" s="2" t="s">
        <v>568</v>
      </c>
      <c r="D1446" s="2" t="str">
        <f t="shared" si="21"/>
        <v>Error?</v>
      </c>
    </row>
    <row r="1447" spans="1:4" x14ac:dyDescent="0.2">
      <c r="A1447" s="5">
        <v>1386</v>
      </c>
      <c r="B1447" s="1831">
        <f>'Expenditures 15-22'!D280</f>
        <v>8239</v>
      </c>
      <c r="D1447" s="2" t="str">
        <f t="shared" si="21"/>
        <v>Error?</v>
      </c>
    </row>
    <row r="1448" spans="1:4" x14ac:dyDescent="0.2">
      <c r="A1448" s="5">
        <v>1387</v>
      </c>
      <c r="B1448" s="1831">
        <f>'Expenditures 15-22'!D295</f>
        <v>741432</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3139</v>
      </c>
      <c r="C1472" s="2" t="s">
        <v>568</v>
      </c>
      <c r="D1472" s="2" t="str">
        <f t="shared" si="22"/>
        <v>Error?</v>
      </c>
    </row>
    <row r="1473" spans="1:4" x14ac:dyDescent="0.2">
      <c r="A1473" s="5">
        <v>1412</v>
      </c>
      <c r="B1473" s="1831">
        <f>'Expenditures 15-22'!K224</f>
        <v>0</v>
      </c>
      <c r="C1473" s="2" t="s">
        <v>568</v>
      </c>
      <c r="D1473" s="2" t="str">
        <f t="shared" si="22"/>
        <v>Error?</v>
      </c>
    </row>
    <row r="1474" spans="1:4" x14ac:dyDescent="0.2">
      <c r="A1474" s="5">
        <v>1413</v>
      </c>
      <c r="B1474" s="1831">
        <f>'Expenditures 15-22'!K229</f>
        <v>284571</v>
      </c>
      <c r="C1474" s="2" t="s">
        <v>568</v>
      </c>
      <c r="D1474" s="2" t="str">
        <f t="shared" si="22"/>
        <v>Error?</v>
      </c>
    </row>
    <row r="1475" spans="1:4" x14ac:dyDescent="0.2">
      <c r="A1475" s="5">
        <v>1414</v>
      </c>
      <c r="B1475" s="1831">
        <f>'Expenditures 15-22'!K232</f>
        <v>9463</v>
      </c>
      <c r="C1475" s="2" t="s">
        <v>568</v>
      </c>
      <c r="D1475" s="2" t="str">
        <f t="shared" si="22"/>
        <v>Error?</v>
      </c>
    </row>
    <row r="1476" spans="1:4" x14ac:dyDescent="0.2">
      <c r="A1476" s="5">
        <v>1415</v>
      </c>
      <c r="B1476" s="1831">
        <f>'Expenditures 15-22'!K233</f>
        <v>9624</v>
      </c>
      <c r="C1476" s="2" t="s">
        <v>568</v>
      </c>
      <c r="D1476" s="2" t="str">
        <f t="shared" si="22"/>
        <v>Error?</v>
      </c>
    </row>
    <row r="1477" spans="1:4" x14ac:dyDescent="0.2">
      <c r="A1477" s="5">
        <v>1416</v>
      </c>
      <c r="B1477" s="1831">
        <f>'Expenditures 15-22'!K234</f>
        <v>19789</v>
      </c>
      <c r="C1477" s="2" t="s">
        <v>568</v>
      </c>
      <c r="D1477" s="2" t="str">
        <f t="shared" si="22"/>
        <v>Error?</v>
      </c>
    </row>
    <row r="1478" spans="1:4" x14ac:dyDescent="0.2">
      <c r="A1478" s="5">
        <v>1417</v>
      </c>
      <c r="B1478" s="1831">
        <f>'Expenditures 15-22'!K235</f>
        <v>3574</v>
      </c>
      <c r="C1478" s="2" t="s">
        <v>568</v>
      </c>
      <c r="D1478" s="2" t="str">
        <f t="shared" si="22"/>
        <v>Error?</v>
      </c>
    </row>
    <row r="1479" spans="1:4" x14ac:dyDescent="0.2">
      <c r="A1479" s="5">
        <v>1418</v>
      </c>
      <c r="B1479" s="1831">
        <f>'Expenditures 15-22'!K236</f>
        <v>3436</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45886</v>
      </c>
      <c r="C1481" s="2" t="s">
        <v>568</v>
      </c>
      <c r="D1481" s="2" t="str">
        <f t="shared" si="22"/>
        <v>Error?</v>
      </c>
    </row>
    <row r="1482" spans="1:4" x14ac:dyDescent="0.2">
      <c r="A1482" s="5">
        <v>1421</v>
      </c>
      <c r="B1482" s="1831">
        <f>'Expenditures 15-22'!K240</f>
        <v>4853</v>
      </c>
      <c r="C1482" s="2" t="s">
        <v>568</v>
      </c>
      <c r="D1482" s="2" t="str">
        <f t="shared" si="22"/>
        <v>Error?</v>
      </c>
    </row>
    <row r="1483" spans="1:4" x14ac:dyDescent="0.2">
      <c r="A1483" s="5">
        <v>1422</v>
      </c>
      <c r="B1483" s="1831">
        <f>'Expenditures 15-22'!K241</f>
        <v>3723</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8576</v>
      </c>
      <c r="C1485" s="2" t="s">
        <v>568</v>
      </c>
      <c r="D1485" s="2" t="str">
        <f t="shared" si="22"/>
        <v>Error?</v>
      </c>
    </row>
    <row r="1486" spans="1:4" x14ac:dyDescent="0.2">
      <c r="A1486" s="5">
        <v>1425</v>
      </c>
      <c r="B1486" s="1831">
        <f>'Expenditures 15-22'!K245</f>
        <v>0</v>
      </c>
      <c r="C1486" s="2" t="s">
        <v>568</v>
      </c>
      <c r="D1486" s="2" t="str">
        <f t="shared" si="22"/>
        <v>Error?</v>
      </c>
    </row>
    <row r="1487" spans="1:4" x14ac:dyDescent="0.2">
      <c r="A1487" s="5">
        <v>1426</v>
      </c>
      <c r="B1487" s="1831">
        <f>'Expenditures 15-22'!K246</f>
        <v>40368</v>
      </c>
      <c r="C1487" s="2" t="s">
        <v>568</v>
      </c>
      <c r="D1487" s="2" t="str">
        <f t="shared" si="22"/>
        <v>Error?</v>
      </c>
    </row>
    <row r="1488" spans="1:4" x14ac:dyDescent="0.2">
      <c r="A1488" s="5">
        <v>1427</v>
      </c>
      <c r="B1488" s="1831">
        <f>'Expenditures 15-22'!K257</f>
        <v>48609</v>
      </c>
      <c r="C1488" s="2" t="s">
        <v>568</v>
      </c>
      <c r="D1488" s="2" t="str">
        <f t="shared" si="22"/>
        <v>Error?</v>
      </c>
    </row>
    <row r="1489" spans="1:4" x14ac:dyDescent="0.2">
      <c r="A1489" s="5">
        <v>1428</v>
      </c>
      <c r="B1489" s="1831">
        <f>'Expenditures 15-22'!K259</f>
        <v>70997</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70997</v>
      </c>
      <c r="C1491" s="2" t="s">
        <v>568</v>
      </c>
      <c r="D1491" s="2" t="str">
        <f t="shared" si="22"/>
        <v>Error?</v>
      </c>
    </row>
    <row r="1492" spans="1:4" x14ac:dyDescent="0.2">
      <c r="A1492" s="5">
        <v>1431</v>
      </c>
      <c r="B1492" s="1831">
        <f>'Expenditures 15-22'!K263</f>
        <v>321</v>
      </c>
      <c r="C1492" s="2" t="s">
        <v>568</v>
      </c>
      <c r="D1492" s="2" t="str">
        <f t="shared" si="22"/>
        <v>Error?</v>
      </c>
    </row>
    <row r="1493" spans="1:4" x14ac:dyDescent="0.2">
      <c r="A1493" s="5">
        <v>1432</v>
      </c>
      <c r="B1493" s="1831">
        <f>'Expenditures 15-22'!K264</f>
        <v>31241</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136872</v>
      </c>
      <c r="C1495" s="2" t="s">
        <v>568</v>
      </c>
      <c r="D1495" s="2" t="str">
        <f t="shared" si="22"/>
        <v>Error?</v>
      </c>
    </row>
    <row r="1496" spans="1:4" x14ac:dyDescent="0.2">
      <c r="A1496" s="5">
        <v>1435</v>
      </c>
      <c r="B1496" s="1831">
        <f>'Expenditures 15-22'!K267</f>
        <v>377</v>
      </c>
      <c r="C1496" s="2" t="s">
        <v>568</v>
      </c>
      <c r="D1496" s="2" t="str">
        <f t="shared" si="22"/>
        <v>Error?</v>
      </c>
    </row>
    <row r="1497" spans="1:4" x14ac:dyDescent="0.2">
      <c r="A1497" s="5">
        <v>1436</v>
      </c>
      <c r="B1497" s="1831">
        <f>'Expenditures 15-22'!K268</f>
        <v>10617</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179428</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95126</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95126</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448622</v>
      </c>
      <c r="C1510" s="2" t="s">
        <v>568</v>
      </c>
      <c r="D1510" s="2" t="str">
        <f t="shared" si="22"/>
        <v>Error?</v>
      </c>
    </row>
    <row r="1511" spans="1:4" x14ac:dyDescent="0.2">
      <c r="A1511" s="5">
        <v>1450</v>
      </c>
      <c r="B1511" s="1831">
        <f>'Expenditures 15-22'!K280</f>
        <v>8239</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741432</v>
      </c>
      <c r="C1517" s="2" t="s">
        <v>568</v>
      </c>
      <c r="D1517" s="2" t="str">
        <f t="shared" si="22"/>
        <v>Error?</v>
      </c>
    </row>
    <row r="1518" spans="1:4" x14ac:dyDescent="0.2">
      <c r="A1518" s="5">
        <v>1457</v>
      </c>
      <c r="B1518" s="1831">
        <f>'Expenditures 15-22'!K296</f>
        <v>-134956</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-88</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18336216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19803281</v>
      </c>
      <c r="C1630" s="2" t="s">
        <v>568</v>
      </c>
      <c r="D1630" s="2" t="str">
        <f t="shared" si="24"/>
        <v>Error?</v>
      </c>
    </row>
    <row r="1631" spans="1:4" x14ac:dyDescent="0.2">
      <c r="A1631" s="5">
        <v>1570</v>
      </c>
      <c r="B1631" s="1831">
        <f>'Acct Summary 7-8'!D79</f>
        <v>-692001</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-3881664</v>
      </c>
      <c r="C1644" s="2" t="s">
        <v>568</v>
      </c>
      <c r="D1644" s="2" t="str">
        <f t="shared" si="24"/>
        <v>Error?</v>
      </c>
    </row>
    <row r="1645" spans="1:4" x14ac:dyDescent="0.2">
      <c r="A1645" s="5">
        <v>1584</v>
      </c>
      <c r="B1645" s="1831">
        <f>'Acct Summary 7-8'!E79</f>
        <v>-354084</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-971576</v>
      </c>
      <c r="C1658" s="2" t="s">
        <v>568</v>
      </c>
      <c r="D1658" s="2" t="str">
        <f t="shared" si="24"/>
        <v>Error?</v>
      </c>
    </row>
    <row r="1659" spans="1:4" x14ac:dyDescent="0.2">
      <c r="A1659" s="5">
        <v>1598</v>
      </c>
      <c r="B1659" s="1831">
        <f>'Acct Summary 7-8'!F79</f>
        <v>-278939</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364010</v>
      </c>
      <c r="C1672" s="2" t="s">
        <v>568</v>
      </c>
      <c r="D1672" s="2" t="str">
        <f t="shared" si="25"/>
        <v>Error?</v>
      </c>
    </row>
    <row r="1673" spans="1:4" x14ac:dyDescent="0.2">
      <c r="A1673" s="5">
        <v>1612</v>
      </c>
      <c r="B1673" s="1831">
        <f>'Acct Summary 7-8'!G79</f>
        <v>415265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280309</v>
      </c>
      <c r="C1686" s="2" t="s">
        <v>568</v>
      </c>
      <c r="D1686" s="2" t="str">
        <f t="shared" si="25"/>
        <v>Error?</v>
      </c>
    </row>
    <row r="1687" spans="1:4" x14ac:dyDescent="0.2">
      <c r="A1687" s="5">
        <v>1626</v>
      </c>
      <c r="B1687" s="1831">
        <f>'Acct Summary 7-8'!H79</f>
        <v>-2936</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-3024</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5799662</v>
      </c>
      <c r="C1744" s="2" t="s">
        <v>568</v>
      </c>
      <c r="D1744" s="2" t="str">
        <f t="shared" si="26"/>
        <v>Error?</v>
      </c>
    </row>
    <row r="1745" spans="1:5" x14ac:dyDescent="0.2">
      <c r="A1745" s="5">
        <v>1684</v>
      </c>
      <c r="B1745" s="1831">
        <f>'Tax Sched 23'!B5</f>
        <v>733455</v>
      </c>
      <c r="C1745" s="2" t="s">
        <v>568</v>
      </c>
      <c r="D1745" s="2" t="str">
        <f t="shared" si="26"/>
        <v>Error?</v>
      </c>
    </row>
    <row r="1746" spans="1:5" x14ac:dyDescent="0.2">
      <c r="A1746" s="5">
        <v>1685</v>
      </c>
      <c r="B1746" s="1831">
        <f>'Tax Sched 23'!B6</f>
        <v>3649973</v>
      </c>
      <c r="C1746" s="2" t="s">
        <v>568</v>
      </c>
      <c r="D1746" s="2" t="str">
        <f t="shared" si="26"/>
        <v>Error?</v>
      </c>
    </row>
    <row r="1747" spans="1:5" x14ac:dyDescent="0.2">
      <c r="A1747" s="5">
        <v>1686</v>
      </c>
      <c r="B1747" s="1831">
        <f>'Tax Sched 23'!B7</f>
        <v>798152</v>
      </c>
      <c r="C1747" s="2" t="s">
        <v>568</v>
      </c>
      <c r="D1747" s="2" t="str">
        <f t="shared" si="26"/>
        <v>Error?</v>
      </c>
    </row>
    <row r="1748" spans="1:5" x14ac:dyDescent="0.2">
      <c r="A1748" s="5">
        <v>1687</v>
      </c>
      <c r="B1748" s="1831">
        <f>'Tax Sched 23'!B8</f>
        <v>598512</v>
      </c>
      <c r="C1748" s="2" t="s">
        <v>568</v>
      </c>
      <c r="D1748" s="2" t="str">
        <f t="shared" si="26"/>
        <v>Error?</v>
      </c>
    </row>
    <row r="1749" spans="1:5" x14ac:dyDescent="0.2">
      <c r="A1749" s="5">
        <v>1688</v>
      </c>
      <c r="B1749" s="1831">
        <f>'Tax Sched 23'!B10</f>
        <v>56420</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557842</v>
      </c>
      <c r="C1752" s="2" t="s">
        <v>568</v>
      </c>
      <c r="D1752" s="2" t="str">
        <f t="shared" si="26"/>
        <v>Error?</v>
      </c>
    </row>
    <row r="1753" spans="1:5" x14ac:dyDescent="0.2">
      <c r="A1753" s="5">
        <v>1692</v>
      </c>
      <c r="B1753" s="1831">
        <f>'Tax Sched 23'!B12</f>
        <v>112839</v>
      </c>
      <c r="C1753" s="2" t="s">
        <v>568</v>
      </c>
      <c r="D1753" s="2" t="str">
        <f t="shared" si="26"/>
        <v>Error?</v>
      </c>
    </row>
    <row r="1754" spans="1:5" x14ac:dyDescent="0.2">
      <c r="A1754" s="5">
        <v>1693</v>
      </c>
      <c r="B1754" s="1831">
        <f>'Tax Sched 23'!B14</f>
        <v>0</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12306855</v>
      </c>
      <c r="C1759" s="2" t="s">
        <v>568</v>
      </c>
      <c r="D1759" s="2" t="str">
        <f t="shared" si="26"/>
        <v>Error?</v>
      </c>
    </row>
    <row r="1760" spans="1:5" x14ac:dyDescent="0.2">
      <c r="A1760" s="5">
        <v>1699</v>
      </c>
      <c r="B1760" s="1831">
        <f>'Tax Sched 23'!D4</f>
        <v>3619406</v>
      </c>
      <c r="C1760" s="2" t="s">
        <v>568</v>
      </c>
      <c r="D1760" s="2" t="str">
        <f t="shared" si="26"/>
        <v>Error?</v>
      </c>
    </row>
    <row r="1761" spans="1:7" x14ac:dyDescent="0.2">
      <c r="A1761" s="5">
        <v>1700</v>
      </c>
      <c r="B1761" s="1831">
        <f>'Tax Sched 23'!D5</f>
        <v>482346</v>
      </c>
      <c r="C1761" s="2" t="s">
        <v>568</v>
      </c>
      <c r="D1761" s="2" t="str">
        <f t="shared" si="26"/>
        <v>Error?</v>
      </c>
    </row>
    <row r="1762" spans="1:7" s="8" customFormat="1" x14ac:dyDescent="0.2">
      <c r="A1762" s="5">
        <v>1701</v>
      </c>
      <c r="B1762" s="1831">
        <f>'Tax Sched 23'!D6</f>
        <v>2182259</v>
      </c>
      <c r="C1762" s="2" t="s">
        <v>568</v>
      </c>
      <c r="D1762" s="2" t="str">
        <f t="shared" si="26"/>
        <v>Error?</v>
      </c>
      <c r="E1762" s="9"/>
      <c r="G1762"/>
    </row>
    <row r="1763" spans="1:7" x14ac:dyDescent="0.2">
      <c r="A1763" s="5">
        <v>1702</v>
      </c>
      <c r="B1763" s="1831">
        <f>'Tax Sched 23'!D7</f>
        <v>421593</v>
      </c>
      <c r="C1763" s="2" t="s">
        <v>568</v>
      </c>
      <c r="D1763" s="2" t="str">
        <f t="shared" si="26"/>
        <v>Error?</v>
      </c>
    </row>
    <row r="1764" spans="1:7" x14ac:dyDescent="0.2">
      <c r="A1764" s="5">
        <v>1703</v>
      </c>
      <c r="B1764" s="1831">
        <f>'Tax Sched 23'!D8</f>
        <v>557771</v>
      </c>
      <c r="C1764" s="2" t="s">
        <v>568</v>
      </c>
      <c r="D1764" s="2" t="str">
        <f t="shared" si="26"/>
        <v>Error?</v>
      </c>
    </row>
    <row r="1765" spans="1:7" x14ac:dyDescent="0.2">
      <c r="A1765" s="5">
        <v>1704</v>
      </c>
      <c r="B1765" s="1831">
        <f>'Tax Sched 23'!D10</f>
        <v>33592</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263144</v>
      </c>
      <c r="C1768" s="2" t="s">
        <v>568</v>
      </c>
      <c r="D1768" s="2" t="str">
        <f t="shared" si="26"/>
        <v>Error?</v>
      </c>
    </row>
    <row r="1769" spans="1:7" x14ac:dyDescent="0.2">
      <c r="A1769" s="5">
        <v>1708</v>
      </c>
      <c r="B1769" s="1831">
        <f>'Tax Sched 23'!D12</f>
        <v>67122</v>
      </c>
      <c r="C1769" s="2" t="s">
        <v>568</v>
      </c>
      <c r="D1769" s="2" t="str">
        <f t="shared" si="26"/>
        <v>Error?</v>
      </c>
    </row>
    <row r="1770" spans="1:7" x14ac:dyDescent="0.2">
      <c r="A1770" s="5">
        <v>1709</v>
      </c>
      <c r="B1770" s="1831">
        <f>'Tax Sched 23'!D14</f>
        <v>-182625</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7240991</v>
      </c>
      <c r="C1775" s="2" t="s">
        <v>568</v>
      </c>
      <c r="D1775" s="2" t="str">
        <f t="shared" si="26"/>
        <v>Error?</v>
      </c>
    </row>
    <row r="1776" spans="1:7" x14ac:dyDescent="0.2">
      <c r="A1776" s="5">
        <v>1715</v>
      </c>
      <c r="B1776" s="1831">
        <f>'Tax Sched 23'!C4</f>
        <v>2180256</v>
      </c>
      <c r="D1776" s="2" t="str">
        <f t="shared" si="26"/>
        <v>Error?</v>
      </c>
    </row>
    <row r="1777" spans="1:4" x14ac:dyDescent="0.2">
      <c r="A1777" s="5">
        <v>1716</v>
      </c>
      <c r="B1777" s="1831">
        <f>'Tax Sched 23'!C5</f>
        <v>251109</v>
      </c>
      <c r="D1777" s="2" t="str">
        <f t="shared" si="26"/>
        <v>Error?</v>
      </c>
    </row>
    <row r="1778" spans="1:4" x14ac:dyDescent="0.2">
      <c r="A1778" s="5">
        <v>1717</v>
      </c>
      <c r="B1778" s="1831">
        <f>'Tax Sched 23'!C6</f>
        <v>1467714</v>
      </c>
      <c r="D1778" s="2" t="str">
        <f t="shared" si="26"/>
        <v>Error?</v>
      </c>
    </row>
    <row r="1779" spans="1:4" x14ac:dyDescent="0.2">
      <c r="A1779" s="5">
        <v>1718</v>
      </c>
      <c r="B1779" s="1831">
        <f>'Tax Sched 23'!C7</f>
        <v>376559</v>
      </c>
      <c r="D1779" s="2" t="str">
        <f t="shared" si="26"/>
        <v>Error?</v>
      </c>
    </row>
    <row r="1780" spans="1:4" x14ac:dyDescent="0.2">
      <c r="A1780" s="5">
        <v>1719</v>
      </c>
      <c r="B1780" s="1831">
        <f>'Tax Sched 23'!C8</f>
        <v>40741</v>
      </c>
      <c r="D1780" s="2" t="str">
        <f t="shared" si="26"/>
        <v>Error?</v>
      </c>
    </row>
    <row r="1781" spans="1:4" x14ac:dyDescent="0.2">
      <c r="A1781" s="5">
        <v>1720</v>
      </c>
      <c r="B1781" s="1831">
        <f>'Tax Sched 23'!C10</f>
        <v>22828</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294698</v>
      </c>
      <c r="D1784" s="2" t="str">
        <f t="shared" si="26"/>
        <v>Error?</v>
      </c>
    </row>
    <row r="1785" spans="1:4" x14ac:dyDescent="0.2">
      <c r="A1785" s="5">
        <v>1724</v>
      </c>
      <c r="B1785" s="1831">
        <f>'Tax Sched 23'!C12</f>
        <v>45717</v>
      </c>
      <c r="D1785" s="2" t="str">
        <f t="shared" si="26"/>
        <v>Error?</v>
      </c>
    </row>
    <row r="1786" spans="1:4" x14ac:dyDescent="0.2">
      <c r="A1786" s="5">
        <v>1725</v>
      </c>
      <c r="B1786" s="1831">
        <f>'Tax Sched 23'!C14</f>
        <v>182625</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5065864</v>
      </c>
      <c r="C1791" s="2" t="s">
        <v>568</v>
      </c>
      <c r="D1791" s="2" t="str">
        <f t="shared" ref="D1791:D1854" si="27">IF(ISBLANK(B1791),"OK",IF(A1791-B1791=0,"OK","Error?"))</f>
        <v>Error?</v>
      </c>
    </row>
    <row r="1792" spans="1:4" x14ac:dyDescent="0.2">
      <c r="A1792" s="5">
        <v>1731</v>
      </c>
      <c r="B1792" s="1831">
        <f>'Tax Sched 23'!F4</f>
        <v>5010859</v>
      </c>
      <c r="C1792" s="2" t="s">
        <v>568</v>
      </c>
      <c r="D1792" s="2" t="str">
        <f t="shared" si="27"/>
        <v>Error?</v>
      </c>
    </row>
    <row r="1793" spans="1:4" x14ac:dyDescent="0.2">
      <c r="A1793" s="5">
        <v>1732</v>
      </c>
      <c r="B1793" s="1831">
        <f>'Tax Sched 23'!F5</f>
        <v>577121</v>
      </c>
      <c r="C1793" s="2" t="s">
        <v>568</v>
      </c>
      <c r="D1793" s="2" t="str">
        <f t="shared" si="27"/>
        <v>Error?</v>
      </c>
    </row>
    <row r="1794" spans="1:4" x14ac:dyDescent="0.2">
      <c r="A1794" s="5">
        <v>1733</v>
      </c>
      <c r="B1794" s="1831">
        <f>'Tax Sched 23'!F6</f>
        <v>3373233</v>
      </c>
      <c r="C1794" s="2" t="s">
        <v>568</v>
      </c>
      <c r="D1794" s="2" t="str">
        <f t="shared" si="27"/>
        <v>Error?</v>
      </c>
    </row>
    <row r="1795" spans="1:4" x14ac:dyDescent="0.2">
      <c r="A1795" s="5">
        <v>1734</v>
      </c>
      <c r="B1795" s="1831">
        <f>'Tax Sched 23'!F7</f>
        <v>865441</v>
      </c>
      <c r="C1795" s="2" t="s">
        <v>568</v>
      </c>
      <c r="D1795" s="2" t="str">
        <f t="shared" si="27"/>
        <v>Error?</v>
      </c>
    </row>
    <row r="1796" spans="1:4" x14ac:dyDescent="0.2">
      <c r="A1796" s="5">
        <v>1735</v>
      </c>
      <c r="B1796" s="1831">
        <f>'Tax Sched 23'!F8</f>
        <v>93634</v>
      </c>
      <c r="C1796" s="2" t="s">
        <v>568</v>
      </c>
      <c r="D1796" s="2" t="str">
        <f t="shared" si="27"/>
        <v>Error?</v>
      </c>
    </row>
    <row r="1797" spans="1:4" x14ac:dyDescent="0.2">
      <c r="A1797" s="5">
        <v>1736</v>
      </c>
      <c r="B1797" s="1831">
        <f>'Tax Sched 23'!F10</f>
        <v>52466</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677302</v>
      </c>
      <c r="C1800" s="2" t="s">
        <v>568</v>
      </c>
      <c r="D1800" s="2" t="str">
        <f t="shared" si="27"/>
        <v>Error?</v>
      </c>
    </row>
    <row r="1801" spans="1:4" x14ac:dyDescent="0.2">
      <c r="A1801" s="5">
        <v>1740</v>
      </c>
      <c r="B1801" s="1831">
        <f>'Tax Sched 23'!F12</f>
        <v>104870</v>
      </c>
      <c r="C1801" s="2" t="s">
        <v>568</v>
      </c>
      <c r="D1801" s="2" t="str">
        <f t="shared" si="27"/>
        <v>Error?</v>
      </c>
    </row>
    <row r="1802" spans="1:4" x14ac:dyDescent="0.2">
      <c r="A1802" s="5">
        <v>1741</v>
      </c>
      <c r="B1802" s="1831">
        <f>'Tax Sched 23'!F14</f>
        <v>419724</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11742620</v>
      </c>
      <c r="C1807" s="2" t="s">
        <v>568</v>
      </c>
      <c r="D1807" s="2" t="str">
        <f t="shared" si="27"/>
        <v>Error?</v>
      </c>
    </row>
    <row r="1808" spans="1:4" x14ac:dyDescent="0.2">
      <c r="A1808" s="5">
        <v>1747</v>
      </c>
      <c r="B1808" s="1831">
        <f>'Tax Sched 23'!E4</f>
        <v>7191115</v>
      </c>
      <c r="D1808" s="2" t="str">
        <f t="shared" si="27"/>
        <v>Error?</v>
      </c>
    </row>
    <row r="1809" spans="1:4" x14ac:dyDescent="0.2">
      <c r="A1809" s="5">
        <v>1748</v>
      </c>
      <c r="B1809" s="1831">
        <f>'Tax Sched 23'!E5</f>
        <v>828230</v>
      </c>
      <c r="D1809" s="2" t="str">
        <f t="shared" si="27"/>
        <v>Error?</v>
      </c>
    </row>
    <row r="1810" spans="1:4" x14ac:dyDescent="0.2">
      <c r="A1810" s="5">
        <v>1749</v>
      </c>
      <c r="B1810" s="1831">
        <f>'Tax Sched 23'!E6</f>
        <v>4840947</v>
      </c>
      <c r="D1810" s="2" t="str">
        <f t="shared" si="27"/>
        <v>Error?</v>
      </c>
    </row>
    <row r="1811" spans="1:4" x14ac:dyDescent="0.2">
      <c r="A1811" s="5">
        <v>1750</v>
      </c>
      <c r="B1811" s="1831">
        <f>'Tax Sched 23'!E7</f>
        <v>1242000</v>
      </c>
      <c r="D1811" s="2" t="str">
        <f t="shared" si="27"/>
        <v>Error?</v>
      </c>
    </row>
    <row r="1812" spans="1:4" x14ac:dyDescent="0.2">
      <c r="A1812" s="5">
        <v>1751</v>
      </c>
      <c r="B1812" s="1831">
        <f>'Tax Sched 23'!E8</f>
        <v>134375</v>
      </c>
      <c r="D1812" s="2" t="str">
        <f t="shared" si="27"/>
        <v>Error?</v>
      </c>
    </row>
    <row r="1813" spans="1:4" x14ac:dyDescent="0.2">
      <c r="A1813" s="5">
        <v>1752</v>
      </c>
      <c r="B1813" s="1831">
        <f>'Tax Sched 23'!E10</f>
        <v>75294</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972000</v>
      </c>
      <c r="D1816" s="2" t="str">
        <f t="shared" si="27"/>
        <v>Error?</v>
      </c>
    </row>
    <row r="1817" spans="1:4" x14ac:dyDescent="0.2">
      <c r="A1817" s="5">
        <v>1756</v>
      </c>
      <c r="B1817" s="1831">
        <f>'Tax Sched 23'!E12</f>
        <v>150587</v>
      </c>
      <c r="D1817" s="2" t="str">
        <f t="shared" si="27"/>
        <v>Error?</v>
      </c>
    </row>
    <row r="1818" spans="1:4" x14ac:dyDescent="0.2">
      <c r="A1818" s="5">
        <v>1757</v>
      </c>
      <c r="B1818" s="1831">
        <f>'Tax Sched 23'!E14</f>
        <v>602349</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16808484</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25585973</v>
      </c>
      <c r="C1939" s="2" t="s">
        <v>568</v>
      </c>
      <c r="D1939" s="2" t="str">
        <f t="shared" si="29"/>
        <v>Error?</v>
      </c>
    </row>
    <row r="1940" spans="1:5" x14ac:dyDescent="0.2">
      <c r="A1940" s="5">
        <v>1879</v>
      </c>
      <c r="B1940" s="1831">
        <f>'Short-Term Long-Term Debt 24'!F49</f>
        <v>10085000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234520</v>
      </c>
      <c r="D2008" s="2" t="str">
        <f t="shared" si="30"/>
        <v>Error?</v>
      </c>
    </row>
    <row r="2009" spans="1:4" x14ac:dyDescent="0.2">
      <c r="A2009" s="5">
        <v>1948</v>
      </c>
      <c r="B2009" s="1831">
        <f>'Cap Outlay Deprec 26'!C8</f>
        <v>47322721</v>
      </c>
      <c r="D2009" s="2" t="str">
        <f t="shared" si="30"/>
        <v>Error?</v>
      </c>
    </row>
    <row r="2010" spans="1:4" x14ac:dyDescent="0.2">
      <c r="A2010" s="5">
        <v>1949</v>
      </c>
      <c r="B2010" s="1831">
        <f>'Cap Outlay Deprec 26'!C10</f>
        <v>3385145</v>
      </c>
      <c r="D2010" s="2" t="str">
        <f t="shared" si="30"/>
        <v>Error?</v>
      </c>
    </row>
    <row r="2011" spans="1:4" x14ac:dyDescent="0.2">
      <c r="A2011" s="5">
        <v>1950</v>
      </c>
      <c r="B2011" s="1831">
        <f>'Cap Outlay Deprec 26'!C12</f>
        <v>0</v>
      </c>
      <c r="D2011" s="2" t="str">
        <f t="shared" si="30"/>
        <v>Error?</v>
      </c>
    </row>
    <row r="2012" spans="1:4" x14ac:dyDescent="0.2">
      <c r="A2012" s="5">
        <v>1951</v>
      </c>
      <c r="B2012" s="1831">
        <f>'Cap Outlay Deprec 26'!C13</f>
        <v>9098463</v>
      </c>
      <c r="D2012" s="2" t="str">
        <f t="shared" si="30"/>
        <v>Error?</v>
      </c>
    </row>
    <row r="2013" spans="1:4" x14ac:dyDescent="0.2">
      <c r="A2013" s="5">
        <v>1952</v>
      </c>
      <c r="B2013" s="1831">
        <f>'Cap Outlay Deprec 26'!C16</f>
        <v>60040849</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638832</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11880</v>
      </c>
      <c r="D2018" s="2" t="str">
        <f t="shared" si="30"/>
        <v>Error?</v>
      </c>
    </row>
    <row r="2019" spans="1:4" x14ac:dyDescent="0.2">
      <c r="A2019" s="5">
        <v>1958</v>
      </c>
      <c r="B2019" s="1831">
        <f>'Cap Outlay Deprec 26'!D16</f>
        <v>650712</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568</v>
      </c>
      <c r="D2025" s="2" t="str">
        <f t="shared" si="30"/>
        <v>Error?</v>
      </c>
    </row>
    <row r="2026" spans="1:4" x14ac:dyDescent="0.2">
      <c r="A2026" s="5">
        <v>1965</v>
      </c>
      <c r="B2026" s="1831">
        <f>'Cap Outlay Deprec 26'!F5</f>
        <v>234520</v>
      </c>
      <c r="C2026" s="2" t="s">
        <v>568</v>
      </c>
      <c r="D2026" s="2" t="str">
        <f t="shared" si="30"/>
        <v>Error?</v>
      </c>
    </row>
    <row r="2027" spans="1:4" x14ac:dyDescent="0.2">
      <c r="A2027" s="5">
        <v>1966</v>
      </c>
      <c r="B2027" s="1831">
        <f>'Cap Outlay Deprec 26'!F8</f>
        <v>47961553</v>
      </c>
      <c r="C2027" s="2" t="s">
        <v>568</v>
      </c>
      <c r="D2027" s="2" t="str">
        <f t="shared" si="30"/>
        <v>Error?</v>
      </c>
    </row>
    <row r="2028" spans="1:4" x14ac:dyDescent="0.2">
      <c r="A2028" s="5">
        <v>1967</v>
      </c>
      <c r="B2028" s="1831">
        <f>'Cap Outlay Deprec 26'!F10</f>
        <v>3385145</v>
      </c>
      <c r="C2028" s="2" t="s">
        <v>568</v>
      </c>
      <c r="D2028" s="2" t="str">
        <f t="shared" si="30"/>
        <v>Error?</v>
      </c>
    </row>
    <row r="2029" spans="1:4" x14ac:dyDescent="0.2">
      <c r="A2029" s="5">
        <v>1968</v>
      </c>
      <c r="B2029" s="1831">
        <f>'Cap Outlay Deprec 26'!F12</f>
        <v>0</v>
      </c>
      <c r="C2029" s="2" t="s">
        <v>568</v>
      </c>
      <c r="D2029" s="2" t="str">
        <f t="shared" si="30"/>
        <v>Error?</v>
      </c>
    </row>
    <row r="2030" spans="1:4" x14ac:dyDescent="0.2">
      <c r="A2030" s="5">
        <v>1969</v>
      </c>
      <c r="B2030" s="1831">
        <f>'Cap Outlay Deprec 26'!F13</f>
        <v>9110343</v>
      </c>
      <c r="C2030" s="2" t="s">
        <v>568</v>
      </c>
      <c r="D2030" s="2" t="str">
        <f t="shared" si="30"/>
        <v>Error?</v>
      </c>
    </row>
    <row r="2031" spans="1:4" x14ac:dyDescent="0.2">
      <c r="A2031" s="5">
        <v>1970</v>
      </c>
      <c r="B2031" s="1831">
        <f>'Cap Outlay Deprec 26'!F16</f>
        <v>60691561</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0</v>
      </c>
      <c r="D2033" s="2" t="str">
        <f t="shared" si="30"/>
        <v>Error?</v>
      </c>
    </row>
    <row r="2034" spans="1:4" x14ac:dyDescent="0.2">
      <c r="A2034" s="5">
        <v>1973</v>
      </c>
      <c r="B2034" s="1831">
        <f>'Cap Outlay Deprec 26'!H10</f>
        <v>0</v>
      </c>
      <c r="D2034" s="2" t="str">
        <f t="shared" si="30"/>
        <v>Error?</v>
      </c>
    </row>
    <row r="2035" spans="1:4" x14ac:dyDescent="0.2">
      <c r="A2035" s="5">
        <v>1974</v>
      </c>
      <c r="B2035" s="1831">
        <f>'Cap Outlay Deprec 26'!H12</f>
        <v>0</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0</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0</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0</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0</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0</v>
      </c>
      <c r="C2051" s="2" t="s">
        <v>568</v>
      </c>
      <c r="D2051" s="2" t="str">
        <f t="shared" si="31"/>
        <v>Error?</v>
      </c>
    </row>
    <row r="2052" spans="1:4" x14ac:dyDescent="0.2">
      <c r="A2052" s="5">
        <v>1991</v>
      </c>
      <c r="B2052" s="1831">
        <f>'Cap Outlay Deprec 26'!K10</f>
        <v>0</v>
      </c>
      <c r="C2052" s="2" t="s">
        <v>568</v>
      </c>
      <c r="D2052" s="2" t="str">
        <f t="shared" si="31"/>
        <v>Error?</v>
      </c>
    </row>
    <row r="2053" spans="1:4" x14ac:dyDescent="0.2">
      <c r="A2053" s="5">
        <v>1992</v>
      </c>
      <c r="B2053" s="1831">
        <f>'Cap Outlay Deprec 26'!K12</f>
        <v>0</v>
      </c>
      <c r="C2053" s="2" t="s">
        <v>568</v>
      </c>
      <c r="D2053" s="2" t="str">
        <f t="shared" si="31"/>
        <v>Error?</v>
      </c>
    </row>
    <row r="2054" spans="1:4" x14ac:dyDescent="0.2">
      <c r="A2054" s="5">
        <v>1993</v>
      </c>
      <c r="B2054" s="1831">
        <f>'Cap Outlay Deprec 26'!K13</f>
        <v>0</v>
      </c>
      <c r="C2054" s="2" t="s">
        <v>568</v>
      </c>
      <c r="D2054" s="2" t="str">
        <f t="shared" si="31"/>
        <v>Error?</v>
      </c>
    </row>
    <row r="2055" spans="1:4" x14ac:dyDescent="0.2">
      <c r="A2055" s="5">
        <v>1994</v>
      </c>
      <c r="B2055" s="1831">
        <f>'Cap Outlay Deprec 26'!K16</f>
        <v>0</v>
      </c>
      <c r="C2055" s="2" t="s">
        <v>568</v>
      </c>
      <c r="D2055" s="2" t="str">
        <f t="shared" si="31"/>
        <v>Error?</v>
      </c>
    </row>
    <row r="2056" spans="1:4" x14ac:dyDescent="0.2">
      <c r="A2056" s="5">
        <v>1995</v>
      </c>
      <c r="B2056" s="1831">
        <f>'Cap Outlay Deprec 26'!L5</f>
        <v>234520</v>
      </c>
      <c r="C2056" s="2" t="s">
        <v>568</v>
      </c>
      <c r="D2056" s="2" t="str">
        <f t="shared" si="31"/>
        <v>Error?</v>
      </c>
    </row>
    <row r="2057" spans="1:4" x14ac:dyDescent="0.2">
      <c r="A2057" s="5">
        <v>1996</v>
      </c>
      <c r="B2057" s="1831">
        <f>'Cap Outlay Deprec 26'!L8</f>
        <v>47961553</v>
      </c>
      <c r="C2057" s="2" t="s">
        <v>568</v>
      </c>
      <c r="D2057" s="2" t="str">
        <f t="shared" si="31"/>
        <v>Error?</v>
      </c>
    </row>
    <row r="2058" spans="1:4" x14ac:dyDescent="0.2">
      <c r="A2058" s="5">
        <v>1997</v>
      </c>
      <c r="B2058" s="1831">
        <f>'Cap Outlay Deprec 26'!L10</f>
        <v>3385145</v>
      </c>
      <c r="C2058" s="2" t="s">
        <v>568</v>
      </c>
      <c r="D2058" s="2" t="str">
        <f t="shared" si="31"/>
        <v>Error?</v>
      </c>
    </row>
    <row r="2059" spans="1:4" x14ac:dyDescent="0.2">
      <c r="A2059" s="5">
        <v>1998</v>
      </c>
      <c r="B2059" s="1831">
        <f>'Cap Outlay Deprec 26'!L12</f>
        <v>0</v>
      </c>
      <c r="C2059" s="2" t="s">
        <v>568</v>
      </c>
      <c r="D2059" s="2" t="str">
        <f t="shared" si="31"/>
        <v>Error?</v>
      </c>
    </row>
    <row r="2060" spans="1:4" x14ac:dyDescent="0.2">
      <c r="A2060" s="5">
        <v>1999</v>
      </c>
      <c r="B2060" s="1831">
        <f>'Cap Outlay Deprec 26'!L13</f>
        <v>9110343</v>
      </c>
      <c r="C2060" s="2" t="s">
        <v>568</v>
      </c>
      <c r="D2060" s="2" t="str">
        <f t="shared" si="31"/>
        <v>Error?</v>
      </c>
    </row>
    <row r="2061" spans="1:4" x14ac:dyDescent="0.2">
      <c r="A2061" s="5">
        <v>2000</v>
      </c>
      <c r="B2061" s="1831">
        <f>'Cap Outlay Deprec 26'!L16</f>
        <v>60691561</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2297456</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2297456</v>
      </c>
      <c r="C2088" s="2" t="s">
        <v>568</v>
      </c>
      <c r="D2088" s="2" t="str">
        <f t="shared" si="31"/>
        <v>Error?</v>
      </c>
    </row>
    <row r="2089" spans="1:4" x14ac:dyDescent="0.2">
      <c r="A2089" s="5">
        <v>2028</v>
      </c>
      <c r="B2089" s="1831">
        <f>'Expenditures 15-22'!K92</f>
        <v>0</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364010</v>
      </c>
      <c r="D2475" s="2" t="str">
        <f t="shared" si="37"/>
        <v>Error?</v>
      </c>
    </row>
    <row r="2476" spans="1:4" x14ac:dyDescent="0.2">
      <c r="A2476" s="10">
        <v>2415</v>
      </c>
      <c r="B2476" s="1831"/>
      <c r="D2476" s="2" t="str">
        <f t="shared" si="37"/>
        <v>OK</v>
      </c>
    </row>
    <row r="2477" spans="1:4" x14ac:dyDescent="0.2">
      <c r="A2477" s="5">
        <v>2416</v>
      </c>
      <c r="B2477" s="1831">
        <f>'Assets-Liab 5-6'!G38</f>
        <v>678658</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6716246</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22467931</v>
      </c>
      <c r="C2553" s="2" t="s">
        <v>568</v>
      </c>
      <c r="D2553" s="2" t="str">
        <f t="shared" si="38"/>
        <v>Error?</v>
      </c>
    </row>
    <row r="2554" spans="1:4" x14ac:dyDescent="0.2">
      <c r="A2554" s="5">
        <v>2493</v>
      </c>
      <c r="B2554" s="1831">
        <f>'Acct Summary 7-8'!C7</f>
        <v>4437617</v>
      </c>
      <c r="C2554" s="2" t="s">
        <v>568</v>
      </c>
      <c r="D2554" s="2" t="str">
        <f t="shared" si="38"/>
        <v>Error?</v>
      </c>
    </row>
    <row r="2555" spans="1:4" x14ac:dyDescent="0.2">
      <c r="A2555" s="5">
        <v>2494</v>
      </c>
      <c r="B2555" s="1831">
        <f>'Acct Summary 7-8'!C8</f>
        <v>33621794</v>
      </c>
      <c r="C2555" s="2" t="s">
        <v>568</v>
      </c>
      <c r="D2555" s="2" t="str">
        <f t="shared" si="38"/>
        <v>Error?</v>
      </c>
    </row>
    <row r="2556" spans="1:4" x14ac:dyDescent="0.2">
      <c r="A2556" s="5">
        <v>2495</v>
      </c>
      <c r="B2556" s="1831">
        <f>'Acct Summary 7-8'!C12</f>
        <v>18501962</v>
      </c>
      <c r="C2556" s="2" t="s">
        <v>568</v>
      </c>
      <c r="D2556" s="2" t="str">
        <f t="shared" si="38"/>
        <v>Error?</v>
      </c>
    </row>
    <row r="2557" spans="1:4" x14ac:dyDescent="0.2">
      <c r="A2557" s="5">
        <v>2496</v>
      </c>
      <c r="B2557" s="1831">
        <f>'Acct Summary 7-8'!C13</f>
        <v>10708895</v>
      </c>
      <c r="C2557" s="2" t="s">
        <v>568</v>
      </c>
      <c r="D2557" s="2" t="str">
        <f t="shared" si="38"/>
        <v>Error?</v>
      </c>
    </row>
    <row r="2558" spans="1:4" x14ac:dyDescent="0.2">
      <c r="A2558" s="5">
        <v>2497</v>
      </c>
      <c r="B2558" s="1831">
        <f>'Acct Summary 7-8'!C14</f>
        <v>646416</v>
      </c>
      <c r="C2558" s="2" t="s">
        <v>568</v>
      </c>
      <c r="D2558" s="2" t="str">
        <f t="shared" si="38"/>
        <v>Error?</v>
      </c>
    </row>
    <row r="2559" spans="1:4" x14ac:dyDescent="0.2">
      <c r="A2559" s="5">
        <v>2498</v>
      </c>
      <c r="B2559" s="1831">
        <f>'Acct Summary 7-8'!C15</f>
        <v>2297456</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32154729</v>
      </c>
      <c r="C2561" s="2" t="s">
        <v>568</v>
      </c>
      <c r="D2561" s="2" t="str">
        <f t="shared" si="39"/>
        <v>Error?</v>
      </c>
    </row>
    <row r="2562" spans="1:4" x14ac:dyDescent="0.2">
      <c r="A2562" s="5">
        <v>2501</v>
      </c>
      <c r="B2562" s="1831">
        <f>'Acct Summary 7-8'!C20</f>
        <v>1467065</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707491</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707491</v>
      </c>
      <c r="C2568" s="2" t="s">
        <v>568</v>
      </c>
      <c r="D2568" s="2" t="str">
        <f t="shared" si="39"/>
        <v>Error?</v>
      </c>
    </row>
    <row r="2569" spans="1:4" x14ac:dyDescent="0.2">
      <c r="A2569" s="5">
        <v>2508</v>
      </c>
      <c r="B2569" s="1831">
        <f>'Acct Summary 7-8'!D13</f>
        <v>3897154</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3897154</v>
      </c>
      <c r="C2573" s="2" t="s">
        <v>568</v>
      </c>
      <c r="D2573" s="2" t="str">
        <f t="shared" si="39"/>
        <v>Error?</v>
      </c>
    </row>
    <row r="2574" spans="1:4" x14ac:dyDescent="0.2">
      <c r="A2574" s="5">
        <v>2513</v>
      </c>
      <c r="B2574" s="1831">
        <f>'Acct Summary 7-8'!D20</f>
        <v>-3189663</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797143</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659862</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1457005</v>
      </c>
      <c r="C2595" s="2" t="s">
        <v>568</v>
      </c>
      <c r="D2595" s="2" t="str">
        <f t="shared" si="39"/>
        <v>Error?</v>
      </c>
    </row>
    <row r="2596" spans="1:4" x14ac:dyDescent="0.2">
      <c r="A2596" s="5">
        <v>2535</v>
      </c>
      <c r="B2596" s="1831">
        <f>'Acct Summary 7-8'!F13</f>
        <v>814056</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814056</v>
      </c>
      <c r="C2600" s="2" t="s">
        <v>568</v>
      </c>
      <c r="D2600" s="2" t="str">
        <f t="shared" si="39"/>
        <v>Error?</v>
      </c>
    </row>
    <row r="2601" spans="1:4" x14ac:dyDescent="0.2">
      <c r="A2601" s="5">
        <v>2540</v>
      </c>
      <c r="B2601" s="1831">
        <f>'Acct Summary 7-8'!F20</f>
        <v>642949</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606476</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606476</v>
      </c>
      <c r="C2606" s="2" t="s">
        <v>568</v>
      </c>
      <c r="D2606" s="2" t="str">
        <f t="shared" si="39"/>
        <v>Error?</v>
      </c>
    </row>
    <row r="2607" spans="1:4" x14ac:dyDescent="0.2">
      <c r="A2607" s="5">
        <v>2546</v>
      </c>
      <c r="B2607" s="1831">
        <f>'Acct Summary 7-8'!G12</f>
        <v>284571</v>
      </c>
      <c r="C2607" s="2" t="s">
        <v>568</v>
      </c>
      <c r="D2607" s="2" t="str">
        <f t="shared" si="39"/>
        <v>Error?</v>
      </c>
    </row>
    <row r="2608" spans="1:4" x14ac:dyDescent="0.2">
      <c r="A2608" s="5">
        <v>2547</v>
      </c>
      <c r="B2608" s="1831">
        <f>'Acct Summary 7-8'!G13</f>
        <v>448622</v>
      </c>
      <c r="C2608" s="2" t="s">
        <v>568</v>
      </c>
      <c r="D2608" s="2" t="str">
        <f t="shared" si="39"/>
        <v>Error?</v>
      </c>
    </row>
    <row r="2609" spans="1:4" x14ac:dyDescent="0.2">
      <c r="A2609" s="5">
        <v>2548</v>
      </c>
      <c r="B2609" s="1831">
        <f>'Acct Summary 7-8'!G14</f>
        <v>8239</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741432</v>
      </c>
      <c r="C2612" s="2" t="s">
        <v>568</v>
      </c>
      <c r="D2612" s="2" t="str">
        <f t="shared" si="39"/>
        <v>Error?</v>
      </c>
    </row>
    <row r="2613" spans="1:4" x14ac:dyDescent="0.2">
      <c r="A2613" s="5">
        <v>2552</v>
      </c>
      <c r="B2613" s="1831">
        <f>'Acct Summary 7-8'!G20</f>
        <v>-134956</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3646101</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3646101</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4500873</v>
      </c>
      <c r="C2634" s="2" t="s">
        <v>568</v>
      </c>
      <c r="D2634" s="2" t="str">
        <f t="shared" si="40"/>
        <v>Error?</v>
      </c>
    </row>
    <row r="2635" spans="1:4" x14ac:dyDescent="0.2">
      <c r="A2635" s="5">
        <v>2574</v>
      </c>
      <c r="B2635" s="1831">
        <f>'Acct Summary 7-8'!E17</f>
        <v>4500873</v>
      </c>
      <c r="C2635" s="2" t="s">
        <v>568</v>
      </c>
      <c r="D2635" s="2" t="str">
        <f t="shared" si="40"/>
        <v>Error?</v>
      </c>
    </row>
    <row r="2636" spans="1:4" x14ac:dyDescent="0.2">
      <c r="A2636" s="5">
        <v>2575</v>
      </c>
      <c r="B2636" s="1831">
        <f>'Acct Summary 7-8'!E20</f>
        <v>-854772</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-88</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-88</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-88</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201555</v>
      </c>
      <c r="D2718" s="2" t="str">
        <f t="shared" si="41"/>
        <v>Error?</v>
      </c>
    </row>
    <row r="2719" spans="1:4" x14ac:dyDescent="0.2">
      <c r="A2719" s="5">
        <v>2658</v>
      </c>
      <c r="B2719" s="1831">
        <f>'Expenditures 15-22'!D51</f>
        <v>50027</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251582</v>
      </c>
      <c r="C2724" s="2" t="s">
        <v>568</v>
      </c>
      <c r="D2724" s="2" t="str">
        <f t="shared" si="41"/>
        <v>Error?</v>
      </c>
    </row>
    <row r="2725" spans="1:4" x14ac:dyDescent="0.2">
      <c r="A2725" s="5">
        <v>2664</v>
      </c>
      <c r="B2725" s="1831">
        <f>'Expenditures 15-22'!D247</f>
        <v>8241</v>
      </c>
      <c r="D2725" s="2" t="str">
        <f t="shared" si="41"/>
        <v>Error?</v>
      </c>
    </row>
    <row r="2726" spans="1:4" x14ac:dyDescent="0.2">
      <c r="A2726" s="5">
        <v>2665</v>
      </c>
      <c r="B2726" s="1831">
        <f>'Expenditures 15-22'!K247</f>
        <v>8241</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568</v>
      </c>
      <c r="D2789" s="2" t="str">
        <f t="shared" si="42"/>
        <v>Error?</v>
      </c>
    </row>
    <row r="2790" spans="1:4" x14ac:dyDescent="0.2">
      <c r="A2790" s="5">
        <v>2729</v>
      </c>
      <c r="B2790" s="1831">
        <f>'Expenditures 15-22'!E102</f>
        <v>0</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958434</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59489</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2604</v>
      </c>
      <c r="C2910" s="2" t="s">
        <v>568</v>
      </c>
      <c r="D2910" s="2" t="str">
        <f t="shared" si="44"/>
        <v>Error?</v>
      </c>
    </row>
    <row r="2911" spans="1:4" x14ac:dyDescent="0.2">
      <c r="A2911" s="5">
        <v>2850</v>
      </c>
      <c r="B2911" s="1831">
        <f>'Assets-Liab 5-6'!I38</f>
        <v>955830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958434</v>
      </c>
      <c r="C2913" s="2" t="s">
        <v>568</v>
      </c>
      <c r="D2913" s="2" t="str">
        <f t="shared" si="44"/>
        <v>Error?</v>
      </c>
    </row>
    <row r="2914" spans="1:4" x14ac:dyDescent="0.2">
      <c r="A2914" s="5">
        <v>2853</v>
      </c>
      <c r="B2914" s="1831">
        <f>'Assets-Liab 5-6'!L33</f>
        <v>59489</v>
      </c>
      <c r="D2914" s="2" t="str">
        <f t="shared" si="44"/>
        <v>Error?</v>
      </c>
    </row>
    <row r="2915" spans="1:4" x14ac:dyDescent="0.2">
      <c r="A2915" s="10">
        <v>2854</v>
      </c>
      <c r="B2915" s="1831"/>
      <c r="D2915" s="2" t="str">
        <f t="shared" si="44"/>
        <v>OK</v>
      </c>
    </row>
    <row r="2916" spans="1:4" x14ac:dyDescent="0.2">
      <c r="A2916" s="5">
        <v>2855</v>
      </c>
      <c r="B2916" s="1831">
        <f>'Assets-Liab 5-6'!L34</f>
        <v>59489</v>
      </c>
      <c r="C2916" s="2" t="s">
        <v>568</v>
      </c>
      <c r="D2916" s="2" t="str">
        <f t="shared" si="44"/>
        <v>Error?</v>
      </c>
    </row>
    <row r="2917" spans="1:4" x14ac:dyDescent="0.2">
      <c r="A2917" s="5">
        <v>2856</v>
      </c>
      <c r="B2917" s="1831">
        <f>'Assets-Liab 5-6'!L41</f>
        <v>59489</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2297456</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2297456</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209940</v>
      </c>
      <c r="D3055" s="2" t="str">
        <f t="shared" si="46"/>
        <v>Error?</v>
      </c>
    </row>
    <row r="3056" spans="1:4" x14ac:dyDescent="0.2">
      <c r="A3056" s="5">
        <v>2995</v>
      </c>
      <c r="B3056" s="1831">
        <f>'Expenditures 15-22'!D10</f>
        <v>1642</v>
      </c>
      <c r="D3056" s="2" t="str">
        <f t="shared" si="46"/>
        <v>Error?</v>
      </c>
    </row>
    <row r="3057" spans="1:4" x14ac:dyDescent="0.2">
      <c r="A3057" s="5">
        <v>2996</v>
      </c>
      <c r="B3057" s="1831">
        <f>'Expenditures 15-22'!E10</f>
        <v>129394</v>
      </c>
      <c r="D3057" s="2" t="str">
        <f t="shared" si="46"/>
        <v>Error?</v>
      </c>
    </row>
    <row r="3058" spans="1:4" x14ac:dyDescent="0.2">
      <c r="A3058" s="5">
        <v>2997</v>
      </c>
      <c r="B3058" s="1831">
        <f>'Expenditures 15-22'!F10</f>
        <v>101324</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844237</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30258</v>
      </c>
      <c r="D3064" s="2" t="str">
        <f t="shared" si="46"/>
        <v>Error?</v>
      </c>
    </row>
    <row r="3065" spans="1:4" x14ac:dyDescent="0.2">
      <c r="A3065" s="5">
        <v>3004</v>
      </c>
      <c r="B3065" s="1831">
        <f>'Expenditures 15-22'!K219</f>
        <v>30258</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10085000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71820</v>
      </c>
      <c r="C3225" s="2" t="s">
        <v>568</v>
      </c>
      <c r="D3225" s="2" t="str">
        <f t="shared" si="49"/>
        <v>Error?</v>
      </c>
    </row>
    <row r="3226" spans="1:4" x14ac:dyDescent="0.2">
      <c r="A3226" s="5">
        <v>3165</v>
      </c>
      <c r="B3226" s="1831">
        <f>'Acct Summary 7-8'!I8</f>
        <v>71820</v>
      </c>
      <c r="C3226" s="2" t="s">
        <v>568</v>
      </c>
      <c r="D3226" s="2" t="str">
        <f t="shared" si="49"/>
        <v>Error?</v>
      </c>
    </row>
    <row r="3227" spans="1:4" x14ac:dyDescent="0.2">
      <c r="A3227" s="5">
        <v>3166</v>
      </c>
      <c r="B3227" s="1831">
        <f>'Acct Summary 7-8'!I20</f>
        <v>71820</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568</v>
      </c>
      <c r="D3231" s="2" t="str">
        <f t="shared" si="49"/>
        <v>Error?</v>
      </c>
    </row>
    <row r="3232" spans="1:4" x14ac:dyDescent="0.2">
      <c r="A3232" s="5">
        <v>3171</v>
      </c>
      <c r="B3232" s="1831">
        <f>'Acct Summary 7-8'!C77</f>
        <v>0</v>
      </c>
      <c r="C3232" s="2" t="s">
        <v>568</v>
      </c>
      <c r="D3232" s="2" t="str">
        <f t="shared" si="49"/>
        <v>Error?</v>
      </c>
    </row>
    <row r="3233" spans="1:4" x14ac:dyDescent="0.2">
      <c r="A3233" s="5">
        <v>3172</v>
      </c>
      <c r="B3233" s="1831">
        <f>'Acct Summary 7-8'!C78</f>
        <v>1467065</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0</v>
      </c>
      <c r="C3238" s="2" t="s">
        <v>568</v>
      </c>
      <c r="D3238" s="2" t="str">
        <f t="shared" si="49"/>
        <v>Error?</v>
      </c>
    </row>
    <row r="3239" spans="1:4" x14ac:dyDescent="0.2">
      <c r="A3239" s="5">
        <v>3178</v>
      </c>
      <c r="B3239" s="1831">
        <f>'Acct Summary 7-8'!D78</f>
        <v>-3189663</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642949</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-134956</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10508056</v>
      </c>
      <c r="C3274" s="2" t="s">
        <v>568</v>
      </c>
      <c r="D3274" s="2" t="str">
        <f t="shared" si="50"/>
        <v>Error?</v>
      </c>
    </row>
    <row r="3275" spans="1:4" x14ac:dyDescent="0.2">
      <c r="A3275" s="5">
        <v>3214</v>
      </c>
      <c r="B3275" s="1831">
        <f>'Acct Summary 7-8'!E75</f>
        <v>10270776</v>
      </c>
      <c r="D3275" s="2" t="str">
        <f t="shared" si="50"/>
        <v>Error?</v>
      </c>
    </row>
    <row r="3276" spans="1:4" x14ac:dyDescent="0.2">
      <c r="A3276" s="5">
        <v>3215</v>
      </c>
      <c r="B3276" s="1831">
        <f>'Acct Summary 7-8'!E76</f>
        <v>10270776</v>
      </c>
      <c r="C3276" s="2" t="s">
        <v>568</v>
      </c>
      <c r="D3276" s="2" t="str">
        <f t="shared" si="50"/>
        <v>Error?</v>
      </c>
    </row>
    <row r="3277" spans="1:4" x14ac:dyDescent="0.2">
      <c r="A3277" s="5">
        <v>3216</v>
      </c>
      <c r="B3277" s="1831">
        <f>'Acct Summary 7-8'!E77</f>
        <v>237280</v>
      </c>
      <c r="C3277" s="2" t="s">
        <v>568</v>
      </c>
      <c r="D3277" s="2" t="str">
        <f t="shared" si="50"/>
        <v>Error?</v>
      </c>
    </row>
    <row r="3278" spans="1:4" x14ac:dyDescent="0.2">
      <c r="A3278" s="5">
        <v>3217</v>
      </c>
      <c r="B3278" s="1831">
        <f>'Acct Summary 7-8'!E78</f>
        <v>-617492</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0</v>
      </c>
      <c r="C3299" s="2" t="s">
        <v>568</v>
      </c>
      <c r="D3299" s="2" t="str">
        <f t="shared" si="50"/>
        <v>Error?</v>
      </c>
    </row>
    <row r="3300" spans="1:4" x14ac:dyDescent="0.2">
      <c r="A3300" s="5">
        <v>3239</v>
      </c>
      <c r="B3300" s="1831">
        <f>'Acct Summary 7-8'!H78</f>
        <v>-88</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0</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71820</v>
      </c>
      <c r="C3320" s="2" t="s">
        <v>568</v>
      </c>
      <c r="D3320" s="2" t="str">
        <f t="shared" si="50"/>
        <v>Error?</v>
      </c>
    </row>
    <row r="3321" spans="1:4" x14ac:dyDescent="0.2">
      <c r="A3321" s="5">
        <v>3260</v>
      </c>
      <c r="B3321" s="1831">
        <f>'Acct Summary 7-8'!I79</f>
        <v>884010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955830</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698909</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68548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690619</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6033</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3741</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1467850</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201365</v>
      </c>
      <c r="D3387" s="2" t="str">
        <f t="shared" si="51"/>
        <v>Error?</v>
      </c>
    </row>
    <row r="3388" spans="1:4" x14ac:dyDescent="0.2">
      <c r="A3388" s="5">
        <v>3327</v>
      </c>
      <c r="B3388" s="1831">
        <f>'Expenditures 15-22'!D217</f>
        <v>44017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201365</v>
      </c>
      <c r="C3390" s="2" t="s">
        <v>568</v>
      </c>
      <c r="D3390" s="2" t="str">
        <f t="shared" si="51"/>
        <v>Error?</v>
      </c>
    </row>
    <row r="3391" spans="1:4" x14ac:dyDescent="0.2">
      <c r="A3391" s="5">
        <v>3330</v>
      </c>
      <c r="B3391" s="1831">
        <f>'Expenditures 15-22'!K217</f>
        <v>44017</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14868998</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642950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392571</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52006</v>
      </c>
      <c r="D3425" s="2" t="str">
        <f t="shared" si="52"/>
        <v>Error?</v>
      </c>
    </row>
    <row r="3426" spans="1:4" x14ac:dyDescent="0.2">
      <c r="A3426" s="10">
        <v>3365</v>
      </c>
      <c r="B3426" s="1831"/>
      <c r="D3426" s="2" t="str">
        <f t="shared" si="52"/>
        <v>OK</v>
      </c>
    </row>
    <row r="3427" spans="1:4" x14ac:dyDescent="0.2">
      <c r="A3427" s="5">
        <v>3366</v>
      </c>
      <c r="B3427" s="1831">
        <f>'Assets-Liab 5-6'!I4</f>
        <v>958434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39765</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0</v>
      </c>
      <c r="C3446" s="2" t="s">
        <v>568</v>
      </c>
      <c r="D3446" s="2" t="str">
        <f t="shared" si="52"/>
        <v>Error?</v>
      </c>
    </row>
    <row r="3447" spans="1:4" x14ac:dyDescent="0.2">
      <c r="A3447" s="5">
        <v>3386</v>
      </c>
      <c r="B3447" s="1831">
        <f>'Tax Sched 23'!D16</f>
        <v>-157961</v>
      </c>
      <c r="C3447" s="2" t="s">
        <v>568</v>
      </c>
      <c r="D3447" s="2" t="str">
        <f t="shared" si="52"/>
        <v>Error?</v>
      </c>
    </row>
    <row r="3448" spans="1:4" x14ac:dyDescent="0.2">
      <c r="A3448" s="5">
        <v>3387</v>
      </c>
      <c r="B3448" s="1831">
        <f>'Tax Sched 23'!C16</f>
        <v>157961</v>
      </c>
      <c r="D3448" s="2" t="str">
        <f t="shared" si="52"/>
        <v>Error?</v>
      </c>
    </row>
    <row r="3449" spans="1:4" x14ac:dyDescent="0.2">
      <c r="A3449" s="5">
        <v>3388</v>
      </c>
      <c r="B3449" s="1831">
        <f>'Tax Sched 23'!F16</f>
        <v>463039</v>
      </c>
      <c r="C3449" s="2" t="s">
        <v>568</v>
      </c>
      <c r="D3449" s="2" t="str">
        <f t="shared" si="52"/>
        <v>Error?</v>
      </c>
    </row>
    <row r="3450" spans="1:4" x14ac:dyDescent="0.2">
      <c r="A3450" s="5">
        <v>3389</v>
      </c>
      <c r="B3450" s="1831">
        <f>'Tax Sched 23'!E16</f>
        <v>621000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654296</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654296</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5210</v>
      </c>
      <c r="C3565" s="2" t="s">
        <v>568</v>
      </c>
      <c r="D3565" s="2" t="str">
        <f t="shared" si="54"/>
        <v>Error?</v>
      </c>
    </row>
    <row r="3566" spans="1:4" x14ac:dyDescent="0.2">
      <c r="A3566" s="5">
        <v>3505</v>
      </c>
      <c r="B3566" s="1831">
        <f>'Assets-Liab 5-6'!K38</f>
        <v>649086</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654296</v>
      </c>
      <c r="C3568" s="2" t="s">
        <v>568</v>
      </c>
      <c r="D3568" s="2" t="str">
        <f t="shared" si="54"/>
        <v>Error?</v>
      </c>
    </row>
    <row r="3569" spans="1:4" x14ac:dyDescent="0.2">
      <c r="A3569" s="5">
        <v>3508</v>
      </c>
      <c r="B3569" s="1831">
        <f>'Acct Summary 7-8'!K4</f>
        <v>122655</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122655</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122655</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122655</v>
      </c>
      <c r="C3588" s="2" t="s">
        <v>568</v>
      </c>
      <c r="D3588" s="2" t="str">
        <f t="shared" si="55"/>
        <v>Error?</v>
      </c>
    </row>
    <row r="3589" spans="1:4" x14ac:dyDescent="0.2">
      <c r="A3589" s="5">
        <v>3528</v>
      </c>
      <c r="B3589" s="1831">
        <f>'Acct Summary 7-8'!K79</f>
        <v>526431</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649086</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122655</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-45656</v>
      </c>
      <c r="C3726" s="2" t="s">
        <v>568</v>
      </c>
      <c r="D3726" s="2" t="str">
        <f t="shared" si="57"/>
        <v>Error?</v>
      </c>
    </row>
    <row r="3727" spans="1:4" x14ac:dyDescent="0.2">
      <c r="A3727" s="5">
        <v>3666</v>
      </c>
      <c r="B3727" s="1831">
        <f>'Tax Sched 23'!C13</f>
        <v>45656</v>
      </c>
      <c r="D3727" s="2" t="str">
        <f t="shared" si="57"/>
        <v>Error?</v>
      </c>
    </row>
    <row r="3728" spans="1:4" x14ac:dyDescent="0.2">
      <c r="A3728" s="5">
        <v>3667</v>
      </c>
      <c r="B3728" s="1831">
        <f>'Tax Sched 23'!F13</f>
        <v>104931</v>
      </c>
      <c r="C3728" s="2" t="s">
        <v>568</v>
      </c>
      <c r="D3728" s="2" t="str">
        <f t="shared" si="57"/>
        <v>Error?</v>
      </c>
    </row>
    <row r="3729" spans="1:4" x14ac:dyDescent="0.2">
      <c r="A3729" s="5">
        <v>3668</v>
      </c>
      <c r="B3729" s="1831">
        <f>'Tax Sched 23'!E13</f>
        <v>150587</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14086960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47708754</v>
      </c>
      <c r="C4122" s="2" t="s">
        <v>568</v>
      </c>
      <c r="D4122" s="2" t="str">
        <f t="shared" si="63"/>
        <v>Error?</v>
      </c>
    </row>
    <row r="4123" spans="1:4" x14ac:dyDescent="0.2">
      <c r="A4123" s="5">
        <v>4062</v>
      </c>
      <c r="B4123" s="1831">
        <f>'Acct Summary 7-8'!D10</f>
        <v>707491</v>
      </c>
      <c r="C4123" s="2" t="s">
        <v>568</v>
      </c>
      <c r="D4123" s="2" t="str">
        <f t="shared" si="63"/>
        <v>Error?</v>
      </c>
    </row>
    <row r="4124" spans="1:4" x14ac:dyDescent="0.2">
      <c r="A4124" s="5">
        <v>4063</v>
      </c>
      <c r="B4124" s="1831">
        <f>'Acct Summary 7-8'!E10</f>
        <v>3646101</v>
      </c>
      <c r="C4124" s="2" t="s">
        <v>568</v>
      </c>
      <c r="D4124" s="2" t="str">
        <f t="shared" si="63"/>
        <v>Error?</v>
      </c>
    </row>
    <row r="4125" spans="1:4" x14ac:dyDescent="0.2">
      <c r="A4125" s="5">
        <v>4064</v>
      </c>
      <c r="B4125" s="1831">
        <f>'Acct Summary 7-8'!F10</f>
        <v>1457005</v>
      </c>
      <c r="C4125" s="2" t="s">
        <v>568</v>
      </c>
      <c r="D4125" s="2" t="str">
        <f t="shared" si="63"/>
        <v>Error?</v>
      </c>
    </row>
    <row r="4126" spans="1:4" x14ac:dyDescent="0.2">
      <c r="A4126" s="5">
        <v>4065</v>
      </c>
      <c r="B4126" s="1831">
        <f>'Acct Summary 7-8'!G10</f>
        <v>606476</v>
      </c>
      <c r="C4126" s="2" t="s">
        <v>568</v>
      </c>
      <c r="D4126" s="2" t="str">
        <f t="shared" si="63"/>
        <v>Error?</v>
      </c>
    </row>
    <row r="4127" spans="1:4" x14ac:dyDescent="0.2">
      <c r="A4127" s="5">
        <v>4066</v>
      </c>
      <c r="B4127" s="1831">
        <f>'Acct Summary 7-8'!H10</f>
        <v>-88</v>
      </c>
      <c r="C4127" s="2" t="s">
        <v>568</v>
      </c>
      <c r="D4127" s="2" t="str">
        <f t="shared" si="63"/>
        <v>Error?</v>
      </c>
    </row>
    <row r="4128" spans="1:4" x14ac:dyDescent="0.2">
      <c r="A4128" s="5">
        <v>4067</v>
      </c>
      <c r="B4128" s="1831">
        <f>'Acct Summary 7-8'!I10</f>
        <v>71820</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122655</v>
      </c>
      <c r="C4130" s="2" t="s">
        <v>568</v>
      </c>
      <c r="D4130" s="2" t="str">
        <f t="shared" si="63"/>
        <v>Error?</v>
      </c>
    </row>
    <row r="4131" spans="1:4" x14ac:dyDescent="0.2">
      <c r="A4131" s="5">
        <v>4070</v>
      </c>
      <c r="B4131" s="1831">
        <f>'Acct Summary 7-8'!C18</f>
        <v>14086960</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46241689</v>
      </c>
      <c r="C4136" s="2" t="s">
        <v>568</v>
      </c>
      <c r="D4136" s="2" t="str">
        <f t="shared" si="63"/>
        <v>Error?</v>
      </c>
    </row>
    <row r="4137" spans="1:4" x14ac:dyDescent="0.2">
      <c r="A4137" s="5">
        <v>4076</v>
      </c>
      <c r="B4137" s="1831">
        <f>'Acct Summary 7-8'!D19</f>
        <v>3897154</v>
      </c>
      <c r="C4137" s="2" t="s">
        <v>568</v>
      </c>
      <c r="D4137" s="2" t="str">
        <f t="shared" si="63"/>
        <v>Error?</v>
      </c>
    </row>
    <row r="4138" spans="1:4" x14ac:dyDescent="0.2">
      <c r="A4138" s="5">
        <v>4077</v>
      </c>
      <c r="B4138" s="1831">
        <f>'Acct Summary 7-8'!E19</f>
        <v>4500873</v>
      </c>
      <c r="C4138" s="2" t="s">
        <v>568</v>
      </c>
      <c r="D4138" s="2" t="str">
        <f t="shared" si="63"/>
        <v>Error?</v>
      </c>
    </row>
    <row r="4139" spans="1:4" x14ac:dyDescent="0.2">
      <c r="A4139" s="5">
        <v>4078</v>
      </c>
      <c r="B4139" s="1831">
        <f>'Acct Summary 7-8'!F19</f>
        <v>814056</v>
      </c>
      <c r="C4139" s="2" t="s">
        <v>568</v>
      </c>
      <c r="D4139" s="2" t="str">
        <f t="shared" si="63"/>
        <v>Error?</v>
      </c>
    </row>
    <row r="4140" spans="1:4" x14ac:dyDescent="0.2">
      <c r="A4140" s="5">
        <v>4079</v>
      </c>
      <c r="B4140" s="1831">
        <f>'Acct Summary 7-8'!G19</f>
        <v>741432</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25206997</v>
      </c>
      <c r="C4171" s="2" t="s">
        <v>568</v>
      </c>
      <c r="D4171" s="2" t="str">
        <f t="shared" si="64"/>
        <v>Error?</v>
      </c>
    </row>
    <row r="4172" spans="1:4" x14ac:dyDescent="0.2">
      <c r="A4172" s="5">
        <v>4111</v>
      </c>
      <c r="B4172" s="1831">
        <f>'Short-Term Long-Term Debt 24'!J49</f>
        <v>25206997</v>
      </c>
      <c r="C4172" s="2" t="s">
        <v>568</v>
      </c>
      <c r="D4172" s="2" t="str">
        <f t="shared" si="64"/>
        <v>Error?</v>
      </c>
    </row>
    <row r="4173" spans="1:4" x14ac:dyDescent="0.2">
      <c r="A4173" s="5">
        <v>4112</v>
      </c>
      <c r="B4173" s="1831">
        <f>'Short-Term Long-Term Debt 24'!H49</f>
        <v>3225000</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-7238976</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4775.3999999999996</v>
      </c>
      <c r="C4265" s="2" t="s">
        <v>568</v>
      </c>
      <c r="D4265" s="2" t="str">
        <f t="shared" si="65"/>
        <v>Error?</v>
      </c>
      <c r="E4265" s="125"/>
    </row>
    <row r="4266" spans="1:5" x14ac:dyDescent="0.2">
      <c r="A4266" s="12">
        <v>4205</v>
      </c>
      <c r="B4266" s="1831">
        <f>('FP Info 3'!F10)*100000</f>
        <v>550</v>
      </c>
      <c r="C4266" s="2" t="s">
        <v>568</v>
      </c>
      <c r="D4266" s="2" t="str">
        <f t="shared" si="65"/>
        <v>Error?</v>
      </c>
      <c r="E4266" s="125"/>
    </row>
    <row r="4267" spans="1:5" x14ac:dyDescent="0.2">
      <c r="A4267" s="12">
        <v>4206</v>
      </c>
      <c r="B4267" s="1831">
        <f>('FP Info 3'!H10)*100000</f>
        <v>824.80000000000007</v>
      </c>
      <c r="C4267" s="2" t="s">
        <v>568</v>
      </c>
      <c r="D4267" s="2" t="str">
        <f t="shared" si="65"/>
        <v>Error?</v>
      </c>
      <c r="E4267" s="125"/>
    </row>
    <row r="4268" spans="1:5" x14ac:dyDescent="0.2">
      <c r="A4268" s="12">
        <v>4207</v>
      </c>
      <c r="B4268" s="1831">
        <f>('FP Info 3'!J10)*100000</f>
        <v>6150</v>
      </c>
      <c r="C4268" s="2" t="s">
        <v>568</v>
      </c>
      <c r="D4268" s="2" t="str">
        <f t="shared" si="65"/>
        <v>Error?</v>
      </c>
    </row>
    <row r="4269" spans="1:5" x14ac:dyDescent="0.2">
      <c r="A4269" s="12">
        <v>4208</v>
      </c>
      <c r="B4269" s="1831">
        <f>'FP Info 3'!J16</f>
        <v>17241457</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295970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11360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53874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180728</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11360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300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1327</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110094</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150587233</v>
      </c>
      <c r="D4995" s="2" t="str">
        <f t="shared" si="77"/>
        <v>Error?</v>
      </c>
    </row>
    <row r="4996" spans="1:4" x14ac:dyDescent="0.2">
      <c r="A4996" s="12">
        <v>4935</v>
      </c>
      <c r="B4996" s="1831">
        <f>'FP Info 3'!H31</f>
        <v>10390519.077000001</v>
      </c>
      <c r="D4996" s="2" t="str">
        <f t="shared" si="77"/>
        <v>Error?</v>
      </c>
    </row>
    <row r="4997" spans="1:4" x14ac:dyDescent="0.2">
      <c r="A4997" s="12">
        <v>4936</v>
      </c>
      <c r="B4997" s="1831">
        <f>'FP Info 3'!H37</f>
        <v>25206997</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5799662</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5799662</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428904</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428904</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568</v>
      </c>
      <c r="D5087" s="2" t="str">
        <f t="shared" si="78"/>
        <v>Error?</v>
      </c>
    </row>
    <row r="5088" spans="1:4" x14ac:dyDescent="0.2">
      <c r="A5088" s="5">
        <v>5027</v>
      </c>
      <c r="B5088" s="1831">
        <f>'Revenues 9-14'!C65</f>
        <v>364052</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364052</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568</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6430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6430</v>
      </c>
      <c r="C5102" s="2" t="s">
        <v>568</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9747</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20189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87262</v>
      </c>
      <c r="D5119" s="2" t="str">
        <f t="shared" ref="D5119:D5182" si="79">IF(ISBLANK(B5119),"OK",IF(A5119-B5119=0,"OK","Error?"))</f>
        <v>Error?</v>
      </c>
    </row>
    <row r="5120" spans="1:4" x14ac:dyDescent="0.2">
      <c r="A5120" s="5">
        <v>5059</v>
      </c>
      <c r="B5120" s="1831">
        <f>'Revenues 9-14'!C108</f>
        <v>117198</v>
      </c>
      <c r="C5120" s="2" t="s">
        <v>568</v>
      </c>
      <c r="D5120" s="2" t="str">
        <f t="shared" si="79"/>
        <v>Error?</v>
      </c>
    </row>
    <row r="5121" spans="1:4" x14ac:dyDescent="0.2">
      <c r="A5121" s="5">
        <v>5060</v>
      </c>
      <c r="B5121" s="1831">
        <f>'Revenues 9-14'!C109</f>
        <v>6716246</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20847577</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20847577</v>
      </c>
      <c r="C5132" s="2" t="s">
        <v>568</v>
      </c>
      <c r="D5132" s="2" t="str">
        <f t="shared" si="79"/>
        <v>Error?</v>
      </c>
    </row>
    <row r="5133" spans="1:4" x14ac:dyDescent="0.2">
      <c r="A5133" s="5">
        <v>5072</v>
      </c>
      <c r="B5133" s="1831">
        <f>'Revenues 9-14'!C125</f>
        <v>8080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181536</v>
      </c>
      <c r="D5137" s="2" t="str">
        <f t="shared" si="79"/>
        <v>Error?</v>
      </c>
    </row>
    <row r="5138" spans="1:4" x14ac:dyDescent="0.2">
      <c r="A5138" s="10">
        <v>5077</v>
      </c>
      <c r="B5138" s="1831"/>
      <c r="D5138" s="2" t="str">
        <f t="shared" si="79"/>
        <v>OK</v>
      </c>
    </row>
    <row r="5139" spans="1:4" x14ac:dyDescent="0.2">
      <c r="A5139" s="5">
        <v>5078</v>
      </c>
      <c r="B5139" s="1831">
        <f>'Revenues 9-14'!C129</f>
        <v>3014</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192630</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22263</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1404134</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1620354</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22467931</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791181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388814</v>
      </c>
      <c r="D5241" s="2" t="str">
        <f t="shared" si="80"/>
        <v>Error?</v>
      </c>
    </row>
    <row r="5242" spans="1:4" x14ac:dyDescent="0.2">
      <c r="A5242" s="5">
        <v>5181</v>
      </c>
      <c r="B5242" s="1831">
        <f>'Revenues 9-14'!C194</f>
        <v>59542</v>
      </c>
      <c r="D5242" s="2" t="str">
        <f t="shared" si="80"/>
        <v>Error?</v>
      </c>
    </row>
    <row r="5243" spans="1:4" x14ac:dyDescent="0.2">
      <c r="A5243" s="5">
        <v>5182</v>
      </c>
      <c r="B5243" s="1831">
        <f>'Revenues 9-14'!C195</f>
        <v>218514</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1458051</v>
      </c>
      <c r="C5246" s="2" t="s">
        <v>568</v>
      </c>
      <c r="D5246" s="2" t="str">
        <f t="shared" si="80"/>
        <v>Error?</v>
      </c>
    </row>
    <row r="5247" spans="1:4" x14ac:dyDescent="0.2">
      <c r="A5247" s="5">
        <v>5186</v>
      </c>
      <c r="B5247" s="1831">
        <f>'Revenues 9-14'!C200</f>
        <v>2031695</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2327665</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210996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210996</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4437617</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4437617</v>
      </c>
      <c r="C5326" s="2" t="s">
        <v>568</v>
      </c>
      <c r="D5326" s="2" t="str">
        <f t="shared" si="82"/>
        <v>Error?</v>
      </c>
    </row>
    <row r="5327" spans="1:5" x14ac:dyDescent="0.2">
      <c r="A5327" s="5">
        <v>5266</v>
      </c>
      <c r="B5327" s="1831">
        <f>'Revenues 9-14'!C268</f>
        <v>33621794</v>
      </c>
      <c r="C5327" s="2" t="s">
        <v>568</v>
      </c>
      <c r="D5327" s="2" t="str">
        <f t="shared" si="82"/>
        <v>Error?</v>
      </c>
    </row>
    <row r="5328" spans="1:5" x14ac:dyDescent="0.2">
      <c r="A5328" s="5">
        <v>5267</v>
      </c>
      <c r="B5328" s="1831">
        <f>'Revenues 9-14'!D5</f>
        <v>733455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733455</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568</v>
      </c>
      <c r="D5339" s="2" t="str">
        <f t="shared" si="82"/>
        <v>Error?</v>
      </c>
    </row>
    <row r="5340" spans="1:4" x14ac:dyDescent="0.2">
      <c r="A5340" s="5">
        <v>5279</v>
      </c>
      <c r="B5340" s="1831">
        <f>'Revenues 9-14'!D65</f>
        <v>-26769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-26769</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385</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420</v>
      </c>
      <c r="D5354" s="2" t="str">
        <f t="shared" si="82"/>
        <v>Error?</v>
      </c>
    </row>
    <row r="5355" spans="1:4" x14ac:dyDescent="0.2">
      <c r="A5355" s="5">
        <v>5294</v>
      </c>
      <c r="B5355" s="1831">
        <f>'Revenues 9-14'!D108</f>
        <v>805</v>
      </c>
      <c r="C5355" s="2" t="s">
        <v>568</v>
      </c>
      <c r="D5355" s="2" t="str">
        <f t="shared" si="82"/>
        <v>Error?</v>
      </c>
    </row>
    <row r="5356" spans="1:4" x14ac:dyDescent="0.2">
      <c r="A5356" s="5">
        <v>5295</v>
      </c>
      <c r="B5356" s="1831">
        <f>'Revenues 9-14'!D109</f>
        <v>707491</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707491</v>
      </c>
      <c r="C5508" s="2" t="s">
        <v>568</v>
      </c>
      <c r="D5508" s="2" t="str">
        <f t="shared" si="85"/>
        <v>Error?</v>
      </c>
    </row>
    <row r="5509" spans="1:4" x14ac:dyDescent="0.2">
      <c r="A5509" s="5">
        <v>5448</v>
      </c>
      <c r="B5509" s="1831">
        <f>'Revenues 9-14'!E5</f>
        <v>3649973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3649973</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-7001</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-7001</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3129</v>
      </c>
      <c r="D5525" s="2" t="str">
        <f t="shared" si="85"/>
        <v>Error?</v>
      </c>
    </row>
    <row r="5526" spans="1:4" x14ac:dyDescent="0.2">
      <c r="A5526" s="5">
        <v>5465</v>
      </c>
      <c r="B5526" s="1831">
        <f>'Revenues 9-14'!E108</f>
        <v>3129</v>
      </c>
      <c r="C5526" s="2" t="s">
        <v>568</v>
      </c>
      <c r="D5526" s="2" t="str">
        <f t="shared" si="85"/>
        <v>Error?</v>
      </c>
    </row>
    <row r="5527" spans="1:4" x14ac:dyDescent="0.2">
      <c r="A5527" s="5">
        <v>5466</v>
      </c>
      <c r="B5527" s="1831">
        <f>'Revenues 9-14'!E109</f>
        <v>3646101</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3646101</v>
      </c>
      <c r="C5552" s="2" t="s">
        <v>568</v>
      </c>
      <c r="D5552" s="2" t="str">
        <f t="shared" si="85"/>
        <v>Error?</v>
      </c>
    </row>
    <row r="5553" spans="1:4" x14ac:dyDescent="0.2">
      <c r="A5553" s="5">
        <v>5492</v>
      </c>
      <c r="B5553" s="1831">
        <f>'Revenues 9-14'!F5</f>
        <v>798152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798152</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-1009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-1009</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797143</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9446</v>
      </c>
      <c r="D5615" s="2" t="str">
        <f t="shared" si="86"/>
        <v>Error?</v>
      </c>
    </row>
    <row r="5616" spans="1:4" x14ac:dyDescent="0.2">
      <c r="A5616" s="10">
        <v>5555</v>
      </c>
      <c r="B5616" s="1831"/>
      <c r="D5616" s="2" t="str">
        <f t="shared" si="86"/>
        <v>OK</v>
      </c>
    </row>
    <row r="5617" spans="1:5" x14ac:dyDescent="0.2">
      <c r="A5617" s="5">
        <v>5556</v>
      </c>
      <c r="B5617" s="1831">
        <f>'Revenues 9-14'!F153</f>
        <v>650416</v>
      </c>
      <c r="D5617" s="2" t="str">
        <f t="shared" si="86"/>
        <v>Error?</v>
      </c>
    </row>
    <row r="5618" spans="1:5" x14ac:dyDescent="0.2">
      <c r="A5618" s="5">
        <v>5557</v>
      </c>
      <c r="B5618" s="1831">
        <f>'Revenues 9-14'!F155</f>
        <v>659862</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659862</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659862</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1457005</v>
      </c>
      <c r="C5720" s="2" t="s">
        <v>568</v>
      </c>
      <c r="D5720" s="2" t="str">
        <f t="shared" si="88"/>
        <v>Error?</v>
      </c>
    </row>
    <row r="5721" spans="1:4" x14ac:dyDescent="0.2">
      <c r="A5721" s="5">
        <v>5660</v>
      </c>
      <c r="B5721" s="1831">
        <f>'Revenues 9-14'!G5</f>
        <v>598512</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598512</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568</v>
      </c>
      <c r="D5730" s="2" t="str">
        <f t="shared" si="88"/>
        <v>Error?</v>
      </c>
    </row>
    <row r="5731" spans="1:4" x14ac:dyDescent="0.2">
      <c r="A5731" s="5">
        <v>5670</v>
      </c>
      <c r="B5731" s="1831">
        <f>'Revenues 9-14'!G65</f>
        <v>7964</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7964</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606476</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-88</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-88</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-88</v>
      </c>
      <c r="C5915" s="2" t="s">
        <v>568</v>
      </c>
      <c r="D5915" s="2" t="str">
        <f t="shared" si="91"/>
        <v>Error?</v>
      </c>
    </row>
    <row r="5916" spans="1:4" x14ac:dyDescent="0.2">
      <c r="A5916" s="5">
        <v>5855</v>
      </c>
      <c r="B5916" s="1831">
        <f>'Revenues 9-14'!I5</f>
        <v>56420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56420</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15400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15400</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71820</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112839</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112839</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9816</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9816</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122655</v>
      </c>
      <c r="C6023" s="2" t="s">
        <v>568</v>
      </c>
      <c r="D6023" s="2" t="str">
        <f t="shared" si="93"/>
        <v>Error?</v>
      </c>
    </row>
    <row r="6024" spans="1:5" x14ac:dyDescent="0.2">
      <c r="A6024" s="5">
        <v>5963</v>
      </c>
      <c r="B6024" s="1831">
        <f>'Revenues 9-14'!G109</f>
        <v>606476</v>
      </c>
      <c r="C6024" s="2" t="s">
        <v>568</v>
      </c>
      <c r="D6024" s="2" t="str">
        <f t="shared" si="93"/>
        <v>Error?</v>
      </c>
    </row>
    <row r="6025" spans="1:5" x14ac:dyDescent="0.2">
      <c r="A6025" s="5">
        <v>5964</v>
      </c>
      <c r="B6025" s="1831">
        <f>'Revenues 9-14'!H109</f>
        <v>-88</v>
      </c>
      <c r="C6025" s="2" t="s">
        <v>568</v>
      </c>
      <c r="D6025" s="2" t="str">
        <f t="shared" si="93"/>
        <v>Error?</v>
      </c>
    </row>
    <row r="6026" spans="1:5" x14ac:dyDescent="0.2">
      <c r="A6026" s="5">
        <v>5965</v>
      </c>
      <c r="B6026" s="1831">
        <f>'Revenues 9-14'!I109</f>
        <v>71820</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122655</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110094</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2117.9</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5815509</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19724</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457619</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3881836</v>
      </c>
      <c r="D6126" s="2" t="str">
        <f t="shared" si="94"/>
        <v>Error?</v>
      </c>
      <c r="E6126" s="2" t="s">
        <v>189</v>
      </c>
    </row>
    <row r="6127" spans="1:5" x14ac:dyDescent="0.2">
      <c r="A6127">
        <v>6066</v>
      </c>
      <c r="B6127" s="1831">
        <f>'Assets-Liab 5-6'!E25</f>
        <v>971576</v>
      </c>
      <c r="D6127" s="2" t="str">
        <f t="shared" si="94"/>
        <v>Error?</v>
      </c>
      <c r="E6127" s="2" t="s">
        <v>189</v>
      </c>
    </row>
    <row r="6128" spans="1:5" x14ac:dyDescent="0.2">
      <c r="A6128">
        <v>6067</v>
      </c>
      <c r="B6128" s="1831">
        <f>'Assets-Liab 5-6'!F25</f>
        <v>278940</v>
      </c>
      <c r="D6128" s="2" t="str">
        <f t="shared" si="94"/>
        <v>Error?</v>
      </c>
      <c r="E6128" s="2" t="s">
        <v>189</v>
      </c>
    </row>
    <row r="6129" spans="1:5" x14ac:dyDescent="0.2">
      <c r="A6129">
        <v>6068</v>
      </c>
      <c r="B6129" s="1831">
        <f>'Assets-Liab 5-6'!G25</f>
        <v>112372</v>
      </c>
      <c r="D6129" s="2" t="str">
        <f t="shared" si="94"/>
        <v>Error?</v>
      </c>
      <c r="E6129" s="2" t="s">
        <v>189</v>
      </c>
    </row>
    <row r="6130" spans="1:5" x14ac:dyDescent="0.2">
      <c r="A6130">
        <v>6069</v>
      </c>
      <c r="B6130" s="1831">
        <f>'Assets-Liab 5-6'!H25</f>
        <v>55030</v>
      </c>
      <c r="D6130" s="2" t="str">
        <f t="shared" si="94"/>
        <v>Error?</v>
      </c>
      <c r="E6130" s="2" t="s">
        <v>189</v>
      </c>
    </row>
    <row r="6131" spans="1:5" x14ac:dyDescent="0.2">
      <c r="A6131">
        <v>6070</v>
      </c>
      <c r="B6131" s="1831">
        <f>'Assets-Liab 5-6'!J25</f>
        <v>507941</v>
      </c>
      <c r="D6131" s="2" t="str">
        <f t="shared" si="94"/>
        <v>Error?</v>
      </c>
      <c r="E6131" s="2" t="s">
        <v>189</v>
      </c>
    </row>
    <row r="6132" spans="1:5" x14ac:dyDescent="0.2">
      <c r="A6132">
        <v>6071</v>
      </c>
      <c r="B6132" s="1831">
        <f>'Assets-Liab 5-6'!K25</f>
        <v>5210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2604</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19724</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507941</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-50322</v>
      </c>
      <c r="D6215" s="2" t="str">
        <f t="shared" si="96"/>
        <v>Error?</v>
      </c>
      <c r="E6215" s="2" t="s">
        <v>189</v>
      </c>
    </row>
    <row r="6216" spans="1:5" x14ac:dyDescent="0.2">
      <c r="A6216">
        <v>6155</v>
      </c>
      <c r="B6216" s="1831">
        <f>'Assets-Liab 5-6'!J41</f>
        <v>457619</v>
      </c>
      <c r="D6216" s="2" t="str">
        <f t="shared" si="96"/>
        <v>Error?</v>
      </c>
      <c r="E6216" s="2" t="s">
        <v>189</v>
      </c>
    </row>
    <row r="6217" spans="1:5" x14ac:dyDescent="0.2">
      <c r="A6217">
        <v>6156</v>
      </c>
      <c r="B6217" s="1831">
        <f>'Assets-Liab 5-6'!J4</f>
        <v>457619</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554315</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554315</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554315</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312309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312309</v>
      </c>
      <c r="D6229" s="2" t="str">
        <f t="shared" si="96"/>
        <v>Error?</v>
      </c>
      <c r="E6229" s="2" t="s">
        <v>189</v>
      </c>
    </row>
    <row r="6230" spans="1:5" x14ac:dyDescent="0.2">
      <c r="A6230">
        <v>6169</v>
      </c>
      <c r="B6230" s="1831">
        <f>'Acct Summary 7-8'!J20</f>
        <v>242006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242006</v>
      </c>
      <c r="D6263" s="2" t="str">
        <f t="shared" si="96"/>
        <v>Error?</v>
      </c>
      <c r="E6263" s="2" t="s">
        <v>189</v>
      </c>
    </row>
    <row r="6264" spans="1:5" x14ac:dyDescent="0.2">
      <c r="A6264">
        <v>6203</v>
      </c>
      <c r="B6264" s="1831">
        <f>'Acct Summary 7-8'!J79</f>
        <v>-292328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-50322</v>
      </c>
      <c r="D6266" s="2" t="str">
        <f t="shared" si="96"/>
        <v>Error?</v>
      </c>
      <c r="E6266" s="2" t="s">
        <v>189</v>
      </c>
    </row>
    <row r="6267" spans="1:5" x14ac:dyDescent="0.2">
      <c r="A6267">
        <v>6206</v>
      </c>
      <c r="B6267" s="1831">
        <f>'Acct Summary 7-8'!C82</f>
        <v>1467065</v>
      </c>
      <c r="D6267" s="2" t="str">
        <f t="shared" si="96"/>
        <v>Error?</v>
      </c>
      <c r="E6267" s="2" t="s">
        <v>189</v>
      </c>
    </row>
    <row r="6268" spans="1:5" x14ac:dyDescent="0.2">
      <c r="A6268">
        <v>6207</v>
      </c>
      <c r="B6268" s="1831">
        <f>'Acct Summary 7-8'!D82</f>
        <v>-3189663</v>
      </c>
      <c r="D6268" s="2" t="str">
        <f t="shared" si="96"/>
        <v>Error?</v>
      </c>
      <c r="E6268" s="2" t="s">
        <v>189</v>
      </c>
    </row>
    <row r="6269" spans="1:5" x14ac:dyDescent="0.2">
      <c r="A6269">
        <v>6208</v>
      </c>
      <c r="B6269" s="1831">
        <f>'Acct Summary 7-8'!E82</f>
        <v>-617492</v>
      </c>
      <c r="D6269" s="2" t="str">
        <f t="shared" si="96"/>
        <v>Error?</v>
      </c>
      <c r="E6269" s="2" t="s">
        <v>189</v>
      </c>
    </row>
    <row r="6270" spans="1:5" x14ac:dyDescent="0.2">
      <c r="A6270">
        <v>6209</v>
      </c>
      <c r="B6270" s="1831">
        <f>'Acct Summary 7-8'!F82</f>
        <v>642949</v>
      </c>
      <c r="D6270" s="2" t="str">
        <f t="shared" si="96"/>
        <v>Error?</v>
      </c>
      <c r="E6270" s="2" t="s">
        <v>189</v>
      </c>
    </row>
    <row r="6271" spans="1:5" x14ac:dyDescent="0.2">
      <c r="A6271">
        <v>6210</v>
      </c>
      <c r="B6271" s="1831">
        <f>'Acct Summary 7-8'!G82</f>
        <v>-134956</v>
      </c>
      <c r="D6271" s="2" t="str">
        <f t="shared" ref="D6271:D6334" si="97">IF(ISBLANK(B6271),"OK",IF(A6271-B6271=0,"OK","Error?"))</f>
        <v>Error?</v>
      </c>
      <c r="E6271" s="2" t="s">
        <v>189</v>
      </c>
    </row>
    <row r="6272" spans="1:5" x14ac:dyDescent="0.2">
      <c r="A6272">
        <v>6211</v>
      </c>
      <c r="B6272" s="1831">
        <f>'Acct Summary 7-8'!H82</f>
        <v>-88</v>
      </c>
      <c r="D6272" s="2" t="str">
        <f t="shared" si="97"/>
        <v>Error?</v>
      </c>
      <c r="E6272" s="2" t="s">
        <v>189</v>
      </c>
    </row>
    <row r="6273" spans="1:5" x14ac:dyDescent="0.2">
      <c r="A6273">
        <v>6212</v>
      </c>
      <c r="B6273" s="1831">
        <f>'Acct Summary 7-8'!I82</f>
        <v>71820</v>
      </c>
      <c r="D6273" s="2" t="str">
        <f t="shared" si="97"/>
        <v>Error?</v>
      </c>
      <c r="E6273" s="2" t="s">
        <v>189</v>
      </c>
    </row>
    <row r="6274" spans="1:5" x14ac:dyDescent="0.2">
      <c r="A6274">
        <v>6213</v>
      </c>
      <c r="B6274" s="1831">
        <f>'Acct Summary 7-8'!J82</f>
        <v>242006</v>
      </c>
      <c r="D6274" s="2" t="str">
        <f t="shared" si="97"/>
        <v>Error?</v>
      </c>
      <c r="E6274" s="2" t="s">
        <v>189</v>
      </c>
    </row>
    <row r="6275" spans="1:5" x14ac:dyDescent="0.2">
      <c r="A6275">
        <v>6214</v>
      </c>
      <c r="B6275" s="1831">
        <f>'Acct Summary 7-8'!K82</f>
        <v>122655</v>
      </c>
      <c r="D6275" s="2" t="str">
        <f t="shared" si="97"/>
        <v>Error?</v>
      </c>
      <c r="E6275" s="2" t="s">
        <v>189</v>
      </c>
    </row>
    <row r="6276" spans="1:5" x14ac:dyDescent="0.2">
      <c r="A6276">
        <v>6215</v>
      </c>
      <c r="B6276" s="1831">
        <f>'Acct Summary 7-8'!C83</f>
        <v>7.4081916021895566E-2</v>
      </c>
      <c r="D6276" s="2" t="str">
        <f t="shared" si="97"/>
        <v>Error?</v>
      </c>
      <c r="E6276" s="2" t="s">
        <v>189</v>
      </c>
    </row>
    <row r="6277" spans="1:5" x14ac:dyDescent="0.2">
      <c r="A6277">
        <v>6216</v>
      </c>
      <c r="B6277" s="1831">
        <f>'Acct Summary 7-8'!D83</f>
        <v>0.8217256825938567</v>
      </c>
      <c r="D6277" s="2" t="str">
        <f t="shared" si="97"/>
        <v>Error?</v>
      </c>
      <c r="E6277" s="2" t="s">
        <v>189</v>
      </c>
    </row>
    <row r="6278" spans="1:5" x14ac:dyDescent="0.2">
      <c r="A6278">
        <v>6217</v>
      </c>
      <c r="B6278" s="1831">
        <f>'Acct Summary 7-8'!E83</f>
        <v>0.63555707427931529</v>
      </c>
      <c r="D6278" s="2" t="str">
        <f t="shared" si="97"/>
        <v>Error?</v>
      </c>
      <c r="E6278" s="2" t="s">
        <v>189</v>
      </c>
    </row>
    <row r="6279" spans="1:5" x14ac:dyDescent="0.2">
      <c r="A6279">
        <v>6218</v>
      </c>
      <c r="B6279" s="1831">
        <f>'Acct Summary 7-8'!F83</f>
        <v>1.7662948820087361</v>
      </c>
      <c r="D6279" s="2" t="str">
        <f t="shared" si="97"/>
        <v>Error?</v>
      </c>
      <c r="E6279" s="2" t="s">
        <v>189</v>
      </c>
    </row>
    <row r="6280" spans="1:5" x14ac:dyDescent="0.2">
      <c r="A6280">
        <v>6219</v>
      </c>
      <c r="B6280" s="1831">
        <f>'Acct Summary 7-8'!G83</f>
        <v>-0.48145439497126385</v>
      </c>
      <c r="D6280" s="2" t="str">
        <f t="shared" si="97"/>
        <v>Error?</v>
      </c>
      <c r="E6280" s="2" t="s">
        <v>189</v>
      </c>
    </row>
    <row r="6281" spans="1:5" x14ac:dyDescent="0.2">
      <c r="A6281">
        <v>6220</v>
      </c>
      <c r="B6281" s="1831">
        <f>'Acct Summary 7-8'!H83</f>
        <v>2.9100529100529099E-2</v>
      </c>
      <c r="D6281" s="2" t="str">
        <f t="shared" si="97"/>
        <v>Error?</v>
      </c>
      <c r="E6281" s="2" t="s">
        <v>189</v>
      </c>
    </row>
    <row r="6282" spans="1:5" x14ac:dyDescent="0.2">
      <c r="A6282">
        <v>6221</v>
      </c>
      <c r="B6282" s="1831">
        <f>'Acct Summary 7-8'!I83</f>
        <v>7.5138884529675778E-2</v>
      </c>
      <c r="D6282" s="2" t="str">
        <f t="shared" si="97"/>
        <v>Error?</v>
      </c>
      <c r="E6282" s="2" t="s">
        <v>189</v>
      </c>
    </row>
    <row r="6283" spans="1:5" x14ac:dyDescent="0.2">
      <c r="A6283">
        <v>6222</v>
      </c>
      <c r="B6283" s="1831">
        <f>'Acct Summary 7-8'!J83</f>
        <v>-4.8091490799252812</v>
      </c>
      <c r="D6283" s="2" t="str">
        <f t="shared" si="97"/>
        <v>Error?</v>
      </c>
      <c r="E6283" s="2" t="s">
        <v>189</v>
      </c>
    </row>
    <row r="6284" spans="1:5" x14ac:dyDescent="0.2">
      <c r="A6284">
        <v>6223</v>
      </c>
      <c r="B6284" s="1831">
        <f>'Acct Summary 7-8'!K83</f>
        <v>0.18896571486675109</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557842</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557842</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-3527</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-3527</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554315</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401937</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229733</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235630</v>
      </c>
      <c r="D6878" s="2" t="str">
        <f t="shared" si="106"/>
        <v>Error?</v>
      </c>
    </row>
    <row r="6879" spans="1:4" x14ac:dyDescent="0.2">
      <c r="A6879">
        <v>6818</v>
      </c>
      <c r="B6879" s="1831">
        <f>'Expenditures 15-22'!K21</f>
        <v>235630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401937</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401937</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312309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554315</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5792</v>
      </c>
      <c r="D7077" s="2" t="str">
        <f t="shared" si="109"/>
        <v>Error?</v>
      </c>
    </row>
    <row r="7078" spans="1:4" x14ac:dyDescent="0.2">
      <c r="A7078">
        <v>7017</v>
      </c>
      <c r="B7078" s="1831">
        <f>'Expenditures 15-22'!K220</f>
        <v>5792</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289509</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289509</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22800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22800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312309</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312309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312309</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312309</v>
      </c>
      <c r="D7224" s="2" t="str">
        <f t="shared" si="111"/>
        <v>Error?</v>
      </c>
    </row>
    <row r="7225" spans="1:4" x14ac:dyDescent="0.2">
      <c r="A7225">
        <v>7164</v>
      </c>
      <c r="B7225" s="1831">
        <f>'Expenditures 15-22'!K343</f>
        <v>242006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192513</v>
      </c>
      <c r="D7257" s="2" t="str">
        <f t="shared" si="112"/>
        <v>Error?</v>
      </c>
    </row>
    <row r="7258" spans="1:4" x14ac:dyDescent="0.2">
      <c r="A7258">
        <f t="shared" si="113"/>
        <v>7197</v>
      </c>
      <c r="B7258" s="1831">
        <f>'Expenditures 15-22'!D11</f>
        <v>2266</v>
      </c>
      <c r="D7258" s="2" t="str">
        <f t="shared" si="112"/>
        <v>Error?</v>
      </c>
    </row>
    <row r="7259" spans="1:4" x14ac:dyDescent="0.2">
      <c r="A7259">
        <f t="shared" si="113"/>
        <v>7198</v>
      </c>
      <c r="B7259" s="1831">
        <f>'Expenditures 15-22'!E11</f>
        <v>14797</v>
      </c>
      <c r="D7259" s="2" t="str">
        <f t="shared" si="112"/>
        <v>Error?</v>
      </c>
    </row>
    <row r="7260" spans="1:4" x14ac:dyDescent="0.2">
      <c r="A7260">
        <f t="shared" si="113"/>
        <v>7199</v>
      </c>
      <c r="B7260" s="1831">
        <f>'Expenditures 15-22'!F11</f>
        <v>20157</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401937</v>
      </c>
      <c r="D7624" s="2" t="str">
        <f t="shared" si="124"/>
        <v>Error?</v>
      </c>
      <c r="E7624" s="2" t="s">
        <v>19</v>
      </c>
    </row>
    <row r="7625" spans="1:5" x14ac:dyDescent="0.2">
      <c r="A7625">
        <f t="shared" si="123"/>
        <v>7564</v>
      </c>
      <c r="B7625" s="1831">
        <f>'Cap Outlay Deprec 26'!I17</f>
        <v>40193.699999999997</v>
      </c>
      <c r="D7625" s="2" t="str">
        <f t="shared" si="124"/>
        <v>Error?</v>
      </c>
      <c r="E7625" s="2" t="s">
        <v>19</v>
      </c>
    </row>
    <row r="7626" spans="1:5" x14ac:dyDescent="0.2">
      <c r="A7626" s="126">
        <f t="shared" si="123"/>
        <v>7565</v>
      </c>
      <c r="B7626" s="1831"/>
      <c r="D7626" s="2" t="str">
        <f t="shared" si="124"/>
        <v>OK</v>
      </c>
      <c r="E7626" s="4" t="s">
        <v>1322</v>
      </c>
    </row>
    <row r="7627" spans="1:5" x14ac:dyDescent="0.2">
      <c r="A7627" s="126">
        <f t="shared" si="123"/>
        <v>7566</v>
      </c>
      <c r="B7627" s="1831"/>
      <c r="D7627" s="2" t="str">
        <f t="shared" si="124"/>
        <v>OK</v>
      </c>
      <c r="E7627" s="4" t="s">
        <v>1322</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1322</v>
      </c>
    </row>
    <row r="7630" spans="1:5" x14ac:dyDescent="0.2">
      <c r="A7630" s="126">
        <f t="shared" ref="A7630:A7650" si="125">A7629+1</f>
        <v>7569</v>
      </c>
      <c r="B7630" s="1831"/>
      <c r="D7630" s="2" t="str">
        <f t="shared" si="124"/>
        <v>OK</v>
      </c>
      <c r="E7630" s="4" t="s">
        <v>1322</v>
      </c>
    </row>
    <row r="7631" spans="1:5" x14ac:dyDescent="0.2">
      <c r="A7631">
        <f t="shared" si="125"/>
        <v>7570</v>
      </c>
      <c r="B7631" s="1831">
        <f>'Cap Outlay Deprec 26'!I18</f>
        <v>40193.699999999997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1322</v>
      </c>
    </row>
    <row r="7634" spans="1:6" x14ac:dyDescent="0.2">
      <c r="A7634" s="126">
        <f t="shared" si="125"/>
        <v>7573</v>
      </c>
      <c r="B7634" s="1831"/>
      <c r="D7634" s="2" t="str">
        <f t="shared" si="124"/>
        <v>OK</v>
      </c>
      <c r="E7634" s="4" t="s">
        <v>1322</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0</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1322</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1321</v>
      </c>
    </row>
    <row r="7749" spans="1:6" x14ac:dyDescent="0.2">
      <c r="A7749">
        <v>7688</v>
      </c>
      <c r="B7749" s="1831">
        <f>'Acct Summary 7-8'!D25</f>
        <v>0</v>
      </c>
      <c r="D7749" s="2" t="str">
        <f t="shared" si="127"/>
        <v>Error?</v>
      </c>
      <c r="E7749" s="4" t="s">
        <v>1321</v>
      </c>
    </row>
    <row r="7750" spans="1:6" x14ac:dyDescent="0.2">
      <c r="A7750">
        <v>7689</v>
      </c>
      <c r="B7750" s="1831">
        <f>'Acct Summary 7-8'!E25</f>
        <v>0</v>
      </c>
      <c r="D7750" s="2" t="str">
        <f t="shared" si="127"/>
        <v>Error?</v>
      </c>
      <c r="E7750" s="4" t="s">
        <v>1321</v>
      </c>
    </row>
    <row r="7751" spans="1:6" x14ac:dyDescent="0.2">
      <c r="A7751">
        <v>7690</v>
      </c>
      <c r="B7751" s="1831">
        <f>'Acct Summary 7-8'!F25</f>
        <v>0</v>
      </c>
      <c r="D7751" s="2" t="str">
        <f t="shared" si="127"/>
        <v>Error?</v>
      </c>
      <c r="E7751" s="4" t="s">
        <v>1321</v>
      </c>
    </row>
    <row r="7752" spans="1:6" x14ac:dyDescent="0.2">
      <c r="A7752">
        <v>7691</v>
      </c>
      <c r="B7752" s="1831">
        <f>'Acct Summary 7-8'!G25</f>
        <v>0</v>
      </c>
      <c r="D7752" s="2" t="str">
        <f t="shared" si="127"/>
        <v>Error?</v>
      </c>
      <c r="E7752" s="4" t="s">
        <v>1321</v>
      </c>
    </row>
    <row r="7753" spans="1:6" x14ac:dyDescent="0.2">
      <c r="A7753">
        <v>7692</v>
      </c>
      <c r="B7753" s="1831">
        <f>'Acct Summary 7-8'!H25</f>
        <v>0</v>
      </c>
      <c r="D7753" s="2" t="str">
        <f t="shared" si="127"/>
        <v>Error?</v>
      </c>
      <c r="E7753" s="4" t="s">
        <v>1321</v>
      </c>
    </row>
    <row r="7754" spans="1:6" x14ac:dyDescent="0.2">
      <c r="A7754">
        <v>7693</v>
      </c>
      <c r="B7754" s="1831">
        <f>'Acct Summary 7-8'!J25</f>
        <v>0</v>
      </c>
      <c r="D7754" s="2" t="str">
        <f t="shared" si="127"/>
        <v>Error?</v>
      </c>
      <c r="E7754" s="4" t="s">
        <v>1321</v>
      </c>
    </row>
    <row r="7755" spans="1:6" x14ac:dyDescent="0.2">
      <c r="A7755">
        <v>7694</v>
      </c>
      <c r="B7755" s="1831">
        <f>'Acct Summary 7-8'!K25</f>
        <v>0</v>
      </c>
      <c r="D7755" s="2" t="str">
        <f t="shared" si="127"/>
        <v>Error?</v>
      </c>
      <c r="E7755" s="4" t="s">
        <v>1321</v>
      </c>
    </row>
    <row r="7756" spans="1:6" x14ac:dyDescent="0.2">
      <c r="A7756" s="126">
        <v>7695</v>
      </c>
      <c r="B7756" s="1831"/>
      <c r="D7756" s="2" t="str">
        <f t="shared" si="127"/>
        <v>OK</v>
      </c>
      <c r="E7756" s="4" t="s">
        <v>1321</v>
      </c>
      <c r="F7756" t="s">
        <v>1427</v>
      </c>
    </row>
    <row r="7757" spans="1:6" x14ac:dyDescent="0.2">
      <c r="A7757" s="126">
        <v>7696</v>
      </c>
      <c r="B7757" s="1831"/>
      <c r="D7757" s="2" t="str">
        <f t="shared" si="127"/>
        <v>OK</v>
      </c>
      <c r="E7757" s="4" t="s">
        <v>1321</v>
      </c>
      <c r="F7757" t="s">
        <v>1427</v>
      </c>
    </row>
    <row r="7758" spans="1:6" x14ac:dyDescent="0.2">
      <c r="A7758">
        <v>7697</v>
      </c>
      <c r="B7758" s="1831">
        <f>'Aud Quest 2'!J85</f>
        <v>1</v>
      </c>
      <c r="D7758" s="2" t="str">
        <f t="shared" si="127"/>
        <v>Error?</v>
      </c>
      <c r="E7758" s="4" t="s">
        <v>1321</v>
      </c>
    </row>
    <row r="7759" spans="1:6" x14ac:dyDescent="0.2">
      <c r="A7759">
        <v>7698</v>
      </c>
      <c r="B7759" s="1831">
        <f>'Aud Quest 2'!J88</f>
        <v>0</v>
      </c>
      <c r="D7759" s="2" t="str">
        <f t="shared" si="127"/>
        <v>Error?</v>
      </c>
      <c r="E7759" s="4" t="s">
        <v>1321</v>
      </c>
    </row>
    <row r="7760" spans="1:6" x14ac:dyDescent="0.2">
      <c r="A7760">
        <v>7699</v>
      </c>
      <c r="B7760" s="1831">
        <f>'Aud Quest 2'!J90</f>
        <v>1</v>
      </c>
      <c r="D7760" s="2" t="str">
        <f t="shared" si="127"/>
        <v>Error?</v>
      </c>
      <c r="E7760" s="4" t="s">
        <v>1321</v>
      </c>
    </row>
    <row r="7761" spans="1:5" x14ac:dyDescent="0.2">
      <c r="A7761">
        <v>7700</v>
      </c>
      <c r="B7761" s="1831">
        <f>'Revenues 9-14'!C253</f>
        <v>0</v>
      </c>
      <c r="D7761" s="2" t="str">
        <f t="shared" si="127"/>
        <v>Error?</v>
      </c>
      <c r="E7761" s="4" t="s">
        <v>1404</v>
      </c>
    </row>
    <row r="7762" spans="1:5" x14ac:dyDescent="0.2">
      <c r="A7762">
        <v>7701</v>
      </c>
      <c r="B7762" s="1831">
        <f>'Expenditures 15-22'!E6</f>
        <v>0</v>
      </c>
      <c r="D7762" s="2" t="str">
        <f t="shared" si="127"/>
        <v>Error?</v>
      </c>
      <c r="E7762" s="4" t="s">
        <v>1414</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1442</v>
      </c>
    </row>
    <row r="7765" spans="1:5" x14ac:dyDescent="0.2">
      <c r="A7765">
        <v>7704</v>
      </c>
      <c r="B7765" s="1831">
        <f>'Revenues 9-14'!C254</f>
        <v>84549</v>
      </c>
      <c r="D7765" s="2" t="str">
        <f t="shared" si="127"/>
        <v>Error?</v>
      </c>
      <c r="E7765" s="4" t="s">
        <v>1446</v>
      </c>
    </row>
    <row r="7766" spans="1:5" x14ac:dyDescent="0.2">
      <c r="A7766">
        <v>7705</v>
      </c>
      <c r="B7766" s="1831">
        <f>'Revenues 9-14'!D254</f>
        <v>0</v>
      </c>
      <c r="D7766" s="2" t="str">
        <f t="shared" si="127"/>
        <v>Error?</v>
      </c>
      <c r="E7766" s="4" t="s">
        <v>1446</v>
      </c>
    </row>
    <row r="7767" spans="1:5" x14ac:dyDescent="0.2">
      <c r="A7767" s="126">
        <v>7706</v>
      </c>
      <c r="B7767" s="1831"/>
      <c r="D7767" s="4" t="s">
        <v>1995</v>
      </c>
      <c r="E7767" s="4"/>
    </row>
    <row r="7768" spans="1:5" x14ac:dyDescent="0.2">
      <c r="A7768">
        <v>7707</v>
      </c>
      <c r="B7768" s="1831">
        <f>'Revenues 9-14'!F254</f>
        <v>0</v>
      </c>
      <c r="D7768" s="2" t="str">
        <f t="shared" si="127"/>
        <v>Error?</v>
      </c>
      <c r="E7768" s="4" t="s">
        <v>1446</v>
      </c>
    </row>
    <row r="7769" spans="1:5" x14ac:dyDescent="0.2">
      <c r="A7769">
        <v>7708</v>
      </c>
      <c r="B7769" s="1831">
        <f>'Revenues 9-14'!G254</f>
        <v>0</v>
      </c>
      <c r="D7769" s="2" t="str">
        <f t="shared" si="127"/>
        <v>Error?</v>
      </c>
      <c r="E7769" s="4" t="s">
        <v>1446</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1447</v>
      </c>
    </row>
    <row r="7773" spans="1:5" x14ac:dyDescent="0.2">
      <c r="A7773">
        <v>7712</v>
      </c>
      <c r="B7773" s="1831">
        <f>'Rest Tax Levies-Tort Im 25'!J22</f>
        <v>0</v>
      </c>
      <c r="D7773" s="2" t="str">
        <f t="shared" si="127"/>
        <v>Error?</v>
      </c>
      <c r="E7773" s="4" t="s">
        <v>1535</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0</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51204994</v>
      </c>
      <c r="D7817" s="2" t="str">
        <f t="shared" si="128"/>
        <v>Error?</v>
      </c>
      <c r="E7817" s="4" t="s">
        <v>1964</v>
      </c>
    </row>
    <row r="7818" spans="1:5" x14ac:dyDescent="0.2">
      <c r="A7818">
        <v>7757</v>
      </c>
      <c r="B7818" s="1831">
        <f>'PCTC-OEPP 27-28'!F172</f>
        <v>0</v>
      </c>
      <c r="D7818" s="2" t="str">
        <f t="shared" si="128"/>
        <v>Error?</v>
      </c>
      <c r="E7818" s="4" t="s">
        <v>1978</v>
      </c>
    </row>
    <row r="7819" spans="1:5" x14ac:dyDescent="0.2">
      <c r="A7819">
        <v>7758</v>
      </c>
      <c r="B7819" s="1831">
        <f>'PCTC-OEPP 27-28'!F173</f>
        <v>0</v>
      </c>
      <c r="D7819" s="2" t="str">
        <f t="shared" si="128"/>
        <v>Error?</v>
      </c>
      <c r="E7819" s="4" t="s">
        <v>1978</v>
      </c>
    </row>
    <row r="7820" spans="1:5" x14ac:dyDescent="0.2">
      <c r="A7820">
        <v>7759</v>
      </c>
      <c r="B7820" s="1831">
        <f>'ICR Computation 30'!E40</f>
        <v>-3981624</v>
      </c>
      <c r="D7820" s="2" t="str">
        <f t="shared" si="128"/>
        <v>Error?</v>
      </c>
    </row>
    <row r="7821" spans="1:5" x14ac:dyDescent="0.2">
      <c r="A7821">
        <v>7760</v>
      </c>
      <c r="B7821" s="1831">
        <f>'ICR Computation 30'!G40</f>
        <v>-3981624</v>
      </c>
      <c r="D7821" s="2" t="str">
        <f t="shared" si="128"/>
        <v>Error?</v>
      </c>
    </row>
    <row r="7822" spans="1:5" x14ac:dyDescent="0.2">
      <c r="A7822" s="1">
        <v>7761</v>
      </c>
      <c r="B7822" s="1831">
        <f>'PCTC-OEPP 27-28'!F14</f>
        <v>42420553</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0</v>
      </c>
      <c r="D7826" s="2" t="str">
        <f t="shared" si="129"/>
        <v>Error?</v>
      </c>
      <c r="E7826" s="4" t="s">
        <v>1996</v>
      </c>
    </row>
    <row r="7827" spans="1:5" x14ac:dyDescent="0.2">
      <c r="A7827">
        <v>7766</v>
      </c>
      <c r="B7827" s="1831">
        <f>'PCTC-OEPP 27-28'!F35</f>
        <v>0</v>
      </c>
      <c r="D7827" s="2" t="str">
        <f t="shared" si="129"/>
        <v>Error?</v>
      </c>
      <c r="E7827" s="4" t="s">
        <v>1996</v>
      </c>
    </row>
    <row r="7828" spans="1:5" x14ac:dyDescent="0.2">
      <c r="A7828">
        <v>7767</v>
      </c>
      <c r="B7828" s="1831">
        <f>'PCTC-OEPP 27-28'!F36</f>
        <v>229733</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646416</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7919866</v>
      </c>
      <c r="D7834" s="2" t="str">
        <f t="shared" si="129"/>
        <v>Error?</v>
      </c>
      <c r="E7834" s="4" t="s">
        <v>1996</v>
      </c>
    </row>
    <row r="7835" spans="1:5" x14ac:dyDescent="0.2">
      <c r="A7835">
        <v>7774</v>
      </c>
      <c r="B7835" s="1831">
        <f>'PCTC-OEPP 27-28'!F78</f>
        <v>34500687</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16290.045327919164</v>
      </c>
      <c r="D7837" s="2" t="str">
        <f t="shared" si="129"/>
        <v>Error?</v>
      </c>
      <c r="E7837" s="4" t="s">
        <v>1996</v>
      </c>
    </row>
    <row r="7838" spans="1:5" x14ac:dyDescent="0.2">
      <c r="A7838">
        <v>7777</v>
      </c>
      <c r="B7838" s="1831">
        <f>'PCTC-OEPP 27-28'!F96</f>
        <v>6430</v>
      </c>
      <c r="D7838" s="2" t="str">
        <f t="shared" si="129"/>
        <v>Error?</v>
      </c>
      <c r="E7838" s="4" t="s">
        <v>1996</v>
      </c>
    </row>
    <row r="7839" spans="1:5" x14ac:dyDescent="0.2">
      <c r="A7839">
        <v>7778</v>
      </c>
      <c r="B7839" s="1831">
        <f>'PCTC-OEPP 27-28'!F102</f>
        <v>0</v>
      </c>
      <c r="D7839" s="2" t="str">
        <f t="shared" si="129"/>
        <v>Error?</v>
      </c>
      <c r="E7839" s="4" t="s">
        <v>1996</v>
      </c>
    </row>
    <row r="7840" spans="1:5" x14ac:dyDescent="0.2">
      <c r="A7840">
        <v>7779</v>
      </c>
      <c r="B7840" s="1831">
        <f>'PCTC-OEPP 27-28'!F103</f>
        <v>0</v>
      </c>
      <c r="D7840" s="2" t="str">
        <f t="shared" si="129"/>
        <v>Error?</v>
      </c>
      <c r="E7840" s="4" t="s">
        <v>1996</v>
      </c>
    </row>
    <row r="7841" spans="1:5" x14ac:dyDescent="0.2">
      <c r="A7841">
        <v>7780</v>
      </c>
      <c r="B7841" s="1831">
        <f>'PCTC-OEPP 27-28'!F104</f>
        <v>0</v>
      </c>
      <c r="D7841" s="2" t="str">
        <f t="shared" si="129"/>
        <v>Error?</v>
      </c>
      <c r="E7841" s="4" t="s">
        <v>1996</v>
      </c>
    </row>
    <row r="7842" spans="1:5" x14ac:dyDescent="0.2">
      <c r="A7842">
        <v>7781</v>
      </c>
      <c r="B7842" s="1831">
        <f>'PCTC-OEPP 27-28'!F106</f>
        <v>192630</v>
      </c>
      <c r="D7842" s="2" t="str">
        <f t="shared" si="129"/>
        <v>Error?</v>
      </c>
      <c r="E7842" s="4" t="s">
        <v>1996</v>
      </c>
    </row>
    <row r="7843" spans="1:5" x14ac:dyDescent="0.2">
      <c r="A7843">
        <v>7782</v>
      </c>
      <c r="B7843" s="1831">
        <f>'PCTC-OEPP 27-28'!F107</f>
        <v>0</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0</v>
      </c>
      <c r="D7846" s="2" t="str">
        <f t="shared" si="129"/>
        <v>Error?</v>
      </c>
      <c r="E7846" s="4" t="s">
        <v>1996</v>
      </c>
    </row>
    <row r="7847" spans="1:5" x14ac:dyDescent="0.2">
      <c r="A7847">
        <v>7786</v>
      </c>
      <c r="B7847" s="1831">
        <f>'PCTC-OEPP 27-28'!F112</f>
        <v>659862</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0</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1327</v>
      </c>
      <c r="D7855" s="2" t="str">
        <f t="shared" si="129"/>
        <v>Error?</v>
      </c>
      <c r="E7855" s="4" t="s">
        <v>1996</v>
      </c>
    </row>
    <row r="7856" spans="1:5" x14ac:dyDescent="0.2">
      <c r="A7856">
        <v>7795</v>
      </c>
      <c r="B7856" s="1831">
        <f>'PCTC-OEPP 27-28'!F124</f>
        <v>0</v>
      </c>
      <c r="D7856" s="2" t="str">
        <f t="shared" si="129"/>
        <v>Error?</v>
      </c>
      <c r="E7856" s="4" t="s">
        <v>1996</v>
      </c>
    </row>
    <row r="7857" spans="1:5" x14ac:dyDescent="0.2">
      <c r="A7857">
        <v>7796</v>
      </c>
      <c r="B7857" s="1831">
        <f>'PCTC-OEPP 27-28'!F125</f>
        <v>0</v>
      </c>
      <c r="D7857" s="2" t="str">
        <f t="shared" si="129"/>
        <v>Error?</v>
      </c>
      <c r="E7857" s="4" t="s">
        <v>1996</v>
      </c>
    </row>
    <row r="7858" spans="1:5" x14ac:dyDescent="0.2">
      <c r="A7858">
        <v>7797</v>
      </c>
      <c r="B7858" s="1831">
        <f>'PCTC-OEPP 27-28'!F126</f>
        <v>1458051</v>
      </c>
      <c r="D7858" s="2" t="str">
        <f t="shared" si="129"/>
        <v>Error?</v>
      </c>
      <c r="E7858" s="4" t="s">
        <v>1996</v>
      </c>
    </row>
    <row r="7859" spans="1:5" x14ac:dyDescent="0.2">
      <c r="A7859">
        <v>7798</v>
      </c>
      <c r="B7859" s="1831">
        <f>'PCTC-OEPP 27-28'!F127</f>
        <v>2327665</v>
      </c>
      <c r="D7859" s="2" t="str">
        <f t="shared" si="129"/>
        <v>Error?</v>
      </c>
      <c r="E7859" s="4" t="s">
        <v>1996</v>
      </c>
    </row>
    <row r="7860" spans="1:5" x14ac:dyDescent="0.2">
      <c r="A7860">
        <v>7799</v>
      </c>
      <c r="B7860" s="1831">
        <f>'PCTC-OEPP 27-28'!F128</f>
        <v>11360</v>
      </c>
      <c r="D7860" s="2" t="str">
        <f t="shared" si="129"/>
        <v>Error?</v>
      </c>
      <c r="E7860" s="4" t="s">
        <v>1996</v>
      </c>
    </row>
    <row r="7861" spans="1:5" x14ac:dyDescent="0.2">
      <c r="A7861">
        <v>7800</v>
      </c>
      <c r="B7861" s="1831">
        <f>'PCTC-OEPP 27-28'!F129</f>
        <v>210996</v>
      </c>
      <c r="D7861" s="2" t="str">
        <f t="shared" si="129"/>
        <v>Error?</v>
      </c>
      <c r="E7861" s="4" t="s">
        <v>1996</v>
      </c>
    </row>
    <row r="7862" spans="1:5" x14ac:dyDescent="0.2">
      <c r="A7862">
        <v>7801</v>
      </c>
      <c r="B7862" s="1831">
        <f>'PCTC-OEPP 27-28'!F130</f>
        <v>0</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0</v>
      </c>
      <c r="D7865" s="2" t="str">
        <f t="shared" si="129"/>
        <v>Error?</v>
      </c>
      <c r="E7865" s="4" t="s">
        <v>1996</v>
      </c>
    </row>
    <row r="7866" spans="1:5" x14ac:dyDescent="0.2">
      <c r="A7866">
        <v>7805</v>
      </c>
      <c r="B7866" s="1831">
        <f>'PCTC-OEPP 27-28'!F158</f>
        <v>0</v>
      </c>
      <c r="D7866" s="2" t="str">
        <f t="shared" si="129"/>
        <v>Error?</v>
      </c>
      <c r="E7866" s="4" t="s">
        <v>1996</v>
      </c>
    </row>
    <row r="7867" spans="1:5" x14ac:dyDescent="0.2">
      <c r="A7867">
        <v>7806</v>
      </c>
      <c r="B7867" s="1831">
        <f>'PCTC-OEPP 27-28'!F160</f>
        <v>84549</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0</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300</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53874</v>
      </c>
      <c r="D7874" s="2" t="str">
        <f t="shared" si="129"/>
        <v>Error?</v>
      </c>
      <c r="E7874" s="4" t="s">
        <v>1996</v>
      </c>
    </row>
    <row r="7875" spans="1:5" x14ac:dyDescent="0.2">
      <c r="A7875">
        <v>7814</v>
      </c>
      <c r="B7875" s="1831">
        <f>'PCTC-OEPP 27-28'!F170</f>
        <v>180728</v>
      </c>
      <c r="D7875" s="2" t="str">
        <f t="shared" si="129"/>
        <v>Error?</v>
      </c>
      <c r="E7875" s="4" t="s">
        <v>1996</v>
      </c>
    </row>
    <row r="7876" spans="1:5" x14ac:dyDescent="0.2">
      <c r="A7876">
        <v>7815</v>
      </c>
      <c r="B7876" s="1831">
        <f>'PCTC-OEPP 27-28'!F171</f>
        <v>110094</v>
      </c>
      <c r="D7876" s="2" t="str">
        <f t="shared" si="129"/>
        <v>Error?</v>
      </c>
      <c r="E7876" s="4" t="s">
        <v>1996</v>
      </c>
    </row>
    <row r="7877" spans="1:5" x14ac:dyDescent="0.2">
      <c r="A7877">
        <v>7816</v>
      </c>
      <c r="B7877" s="1831">
        <f>'PCTC-OEPP 27-28'!F175</f>
        <v>5320129</v>
      </c>
      <c r="D7877" s="2" t="str">
        <f t="shared" si="129"/>
        <v>Error?</v>
      </c>
      <c r="E7877" s="4" t="s">
        <v>1996</v>
      </c>
    </row>
    <row r="7878" spans="1:5" x14ac:dyDescent="0.2">
      <c r="A7878">
        <v>7817</v>
      </c>
      <c r="B7878" s="1831">
        <f>'PCTC-OEPP 27-28'!F176</f>
        <v>29180558</v>
      </c>
      <c r="D7878" s="2" t="str">
        <f t="shared" si="129"/>
        <v>Error?</v>
      </c>
      <c r="E7878" s="4" t="s">
        <v>1996</v>
      </c>
    </row>
    <row r="7879" spans="1:5" x14ac:dyDescent="0.2">
      <c r="A7879">
        <v>7818</v>
      </c>
      <c r="B7879" s="1831">
        <f>'PCTC-OEPP 27-28'!F178</f>
        <v>29220751.699999999</v>
      </c>
      <c r="D7879" s="2" t="str">
        <f t="shared" si="129"/>
        <v>Error?</v>
      </c>
      <c r="E7879" s="4" t="s">
        <v>1996</v>
      </c>
    </row>
    <row r="7880" spans="1:5" x14ac:dyDescent="0.2">
      <c r="A7880">
        <v>7819</v>
      </c>
      <c r="B7880" s="1831">
        <f>'PCTC-OEPP 27-28'!F180</f>
        <v>13797.040322961424</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1180</v>
      </c>
      <c r="B2" s="2544"/>
      <c r="C2" s="2544"/>
      <c r="D2" s="2544"/>
      <c r="E2" s="2544"/>
      <c r="F2" s="2544"/>
      <c r="G2" s="2544"/>
      <c r="H2" s="2544"/>
      <c r="I2" s="2544"/>
      <c r="J2" s="2544"/>
      <c r="K2" s="2544"/>
      <c r="L2" s="2544"/>
    </row>
    <row r="3" spans="1:29" ht="13.5" customHeight="1" x14ac:dyDescent="0.2">
      <c r="A3" s="2530" t="s">
        <v>1179</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24" t="str">
        <f>COVER!A17</f>
        <v>Dolton SD 148</v>
      </c>
      <c r="B7" s="2525"/>
      <c r="C7" s="2525"/>
      <c r="D7" s="2563"/>
      <c r="E7" s="2564">
        <f>COVER!A13</f>
        <v>7016148002</v>
      </c>
      <c r="F7" s="2565"/>
      <c r="G7" s="2531" t="str">
        <f>COVER!T23</f>
        <v>066-003284</v>
      </c>
      <c r="H7" s="2532"/>
      <c r="I7" s="2532"/>
      <c r="J7" s="2532"/>
      <c r="K7" s="2532"/>
      <c r="L7" s="2533"/>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34"/>
      <c r="B9" s="2535"/>
      <c r="C9" s="2535"/>
      <c r="D9" s="2535"/>
      <c r="E9" s="2535"/>
      <c r="F9" s="2536"/>
      <c r="G9" s="2537" t="str">
        <f>COVER!T13</f>
        <v>Sikich LLP</v>
      </c>
      <c r="H9" s="2538"/>
      <c r="I9" s="2538"/>
      <c r="J9" s="2538"/>
      <c r="K9" s="2538"/>
      <c r="L9" s="2539"/>
    </row>
    <row r="10" spans="1:29" ht="13.5" customHeight="1" x14ac:dyDescent="0.2">
      <c r="A10" s="2521" t="str">
        <f>COVER!A38</f>
        <v>Dr. Kevin Nohelty</v>
      </c>
      <c r="B10" s="2522"/>
      <c r="C10" s="2522"/>
      <c r="D10" s="2522"/>
      <c r="E10" s="2522"/>
      <c r="F10" s="2523"/>
      <c r="G10" s="2537" t="str">
        <f>COVER!T17</f>
        <v>1415 W. Diehl Rd, Suite 400</v>
      </c>
      <c r="H10" s="2550"/>
      <c r="I10" s="2550"/>
      <c r="J10" s="2550"/>
      <c r="K10" s="2550"/>
      <c r="L10" s="2551"/>
    </row>
    <row r="11" spans="1:29" ht="13.5" customHeight="1" x14ac:dyDescent="0.2">
      <c r="A11" s="963" t="s">
        <v>1501</v>
      </c>
      <c r="B11" s="964"/>
      <c r="C11" s="965"/>
      <c r="D11" s="970"/>
      <c r="E11" s="965"/>
      <c r="F11" s="969"/>
      <c r="G11" s="2537" t="str">
        <f>COVER!T19</f>
        <v>Naperville</v>
      </c>
      <c r="H11" s="2550"/>
      <c r="I11" s="2550"/>
      <c r="J11" s="2550"/>
      <c r="K11" s="2550"/>
      <c r="L11" s="2551"/>
    </row>
    <row r="12" spans="1:29" ht="13.5" customHeight="1" x14ac:dyDescent="0.2">
      <c r="A12" s="2555" t="s">
        <v>1500</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1502</v>
      </c>
      <c r="H13" s="2546"/>
      <c r="I13" s="2558">
        <f>COVER!T25</f>
        <v>0</v>
      </c>
      <c r="J13" s="2559"/>
      <c r="K13" s="2559"/>
      <c r="L13" s="2560"/>
    </row>
    <row r="14" spans="1:29" ht="13.5" customHeight="1" x14ac:dyDescent="0.2">
      <c r="A14" s="2537" t="str">
        <f>COVER!A19</f>
        <v>114 West 114th Street</v>
      </c>
      <c r="B14" s="2550"/>
      <c r="C14" s="2550"/>
      <c r="D14" s="2550"/>
      <c r="E14" s="2550"/>
      <c r="F14" s="2551"/>
      <c r="G14" s="974" t="s">
        <v>1174</v>
      </c>
      <c r="H14" s="972"/>
      <c r="I14" s="972"/>
      <c r="J14" s="972"/>
      <c r="K14" s="972"/>
      <c r="L14" s="973"/>
    </row>
    <row r="15" spans="1:29" ht="13.5" customHeight="1" x14ac:dyDescent="0.2">
      <c r="A15" s="2537" t="str">
        <f>COVER!A21</f>
        <v>Riverdale, IL</v>
      </c>
      <c r="B15" s="2550"/>
      <c r="C15" s="2550"/>
      <c r="D15" s="2550"/>
      <c r="E15" s="2550"/>
      <c r="F15" s="2551"/>
      <c r="G15" s="2547" t="str">
        <f>COVER!T15</f>
        <v>Anthony Cervini, CPA</v>
      </c>
      <c r="H15" s="2548"/>
      <c r="I15" s="2548"/>
      <c r="J15" s="2548"/>
      <c r="K15" s="2548"/>
      <c r="L15" s="2549"/>
    </row>
    <row r="16" spans="1:29" ht="12.2" customHeight="1" x14ac:dyDescent="0.2">
      <c r="A16" s="2527">
        <f>COVER!A25</f>
        <v>60827</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1173</v>
      </c>
      <c r="H17" s="972"/>
      <c r="I17" s="972"/>
      <c r="J17" s="972"/>
      <c r="K17" s="976" t="s">
        <v>1172</v>
      </c>
      <c r="L17" s="969"/>
      <c r="M17" s="962"/>
    </row>
    <row r="18" spans="1:13" ht="12.2" customHeight="1" x14ac:dyDescent="0.2">
      <c r="A18" s="2521"/>
      <c r="B18" s="2522"/>
      <c r="C18" s="2522"/>
      <c r="D18" s="2522"/>
      <c r="E18" s="2522"/>
      <c r="F18" s="2523"/>
      <c r="G18" s="2524" t="str">
        <f>COVER!T21</f>
        <v>(630) 566-8400</v>
      </c>
      <c r="H18" s="2525"/>
      <c r="I18" s="2525"/>
      <c r="J18" s="2525"/>
      <c r="K18" s="2524" t="str">
        <f>COVER!X21</f>
        <v>(630) 566-8401</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K127"/>
  <sheetViews>
    <sheetView showGridLines="0" view="pageBreakPreview" zoomScale="60" zoomScaleNormal="125" workbookViewId="0"/>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Dolton SD 148</v>
      </c>
      <c r="B1" s="2567"/>
      <c r="C1" s="2567"/>
      <c r="D1" s="2567"/>
    </row>
    <row r="2" spans="1:11" s="991" customFormat="1" ht="12.75" x14ac:dyDescent="0.2">
      <c r="A2" s="2568">
        <f>'Single Audit Cover'!E7</f>
        <v>7016148002</v>
      </c>
      <c r="B2" s="2569"/>
      <c r="C2" s="2569"/>
      <c r="D2" s="2569"/>
    </row>
    <row r="3" spans="1:11" s="991" customFormat="1" ht="12.75" x14ac:dyDescent="0.2">
      <c r="A3" s="2566" t="s">
        <v>1495</v>
      </c>
      <c r="B3" s="2567"/>
      <c r="C3" s="2567"/>
      <c r="D3" s="256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7" firstPageNumber="36" fitToHeight="0" orientation="portrait" useFirstPageNumber="1" r:id="rId5"/>
  <headerFooter alignWithMargins="0">
    <oddHeader>&amp;R&amp;8Page 39</oddHeader>
  </headerFooter>
  <rowBreaks count="1" manualBreakCount="1">
    <brk id="78"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E49"/>
  <sheetViews>
    <sheetView showGridLines="0" zoomScaleNormal="10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Dolton SD 148</v>
      </c>
      <c r="B1" s="2571"/>
      <c r="C1" s="2571"/>
      <c r="D1" s="2571"/>
      <c r="E1" s="2571"/>
    </row>
    <row r="2" spans="1:5" x14ac:dyDescent="0.2">
      <c r="A2" s="2572">
        <f>'Single Audit Cover'!E7</f>
        <v>7016148002</v>
      </c>
      <c r="B2" s="2572"/>
      <c r="C2" s="2572"/>
      <c r="D2" s="2572"/>
      <c r="E2" s="2572"/>
    </row>
    <row r="3" spans="1:5" ht="4.5" customHeight="1" x14ac:dyDescent="0.2"/>
    <row r="4" spans="1:5" x14ac:dyDescent="0.2">
      <c r="A4" s="2571" t="s">
        <v>1233</v>
      </c>
      <c r="B4" s="2571"/>
      <c r="C4" s="2571"/>
      <c r="D4" s="2571"/>
      <c r="E4" s="2571"/>
    </row>
    <row r="5" spans="1:5" x14ac:dyDescent="0.2">
      <c r="A5" s="2574" t="str">
        <f>'Single Audit Cover'!A4</f>
        <v>Year Ending June 30, 2020</v>
      </c>
      <c r="B5" s="2574"/>
      <c r="C5" s="2574"/>
      <c r="D5" s="2574"/>
      <c r="E5" s="2574"/>
    </row>
    <row r="6" spans="1:5" x14ac:dyDescent="0.2">
      <c r="A6" s="2571" t="s">
        <v>1232</v>
      </c>
      <c r="B6" s="2571"/>
      <c r="C6" s="2571"/>
      <c r="D6" s="2571"/>
      <c r="E6" s="2571"/>
    </row>
    <row r="8" spans="1:5" x14ac:dyDescent="0.2">
      <c r="A8" s="1036" t="s">
        <v>1231</v>
      </c>
    </row>
    <row r="10" spans="1:5" x14ac:dyDescent="0.2">
      <c r="A10" s="1037" t="s">
        <v>1230</v>
      </c>
      <c r="B10" s="1038" t="s">
        <v>1229</v>
      </c>
      <c r="C10" s="1038"/>
      <c r="D10" s="1039">
        <f>SUM('Acct Summary 7-8'!C7:K7)</f>
        <v>4437617</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110094</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-180728</v>
      </c>
    </row>
    <row r="19" spans="1:4" ht="13.5" thickBot="1" x14ac:dyDescent="0.25">
      <c r="A19" s="1041" t="s">
        <v>1223</v>
      </c>
      <c r="D19" s="1042">
        <f>SUM(D10:D17)</f>
        <v>4366983</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73" t="s">
        <v>2088</v>
      </c>
      <c r="B24" s="2573"/>
      <c r="D24" s="1044">
        <v>-110094</v>
      </c>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1221</v>
      </c>
      <c r="D32" s="1039">
        <f>SUM(D19:D30)</f>
        <v>4256889</v>
      </c>
    </row>
    <row r="33" spans="1:4" x14ac:dyDescent="0.2">
      <c r="D33" s="1045"/>
    </row>
    <row r="34" spans="1:4" x14ac:dyDescent="0.2">
      <c r="A34" s="295" t="s">
        <v>1220</v>
      </c>
    </row>
    <row r="35" spans="1:4" x14ac:dyDescent="0.2">
      <c r="A35" s="295" t="s">
        <v>1219</v>
      </c>
      <c r="B35" s="1034" t="s">
        <v>1218</v>
      </c>
      <c r="D35" s="1046">
        <f>' SEFA (3)'!F36</f>
        <v>4256889</v>
      </c>
    </row>
    <row r="37" spans="1:4" x14ac:dyDescent="0.2">
      <c r="A37" s="1036" t="s">
        <v>1217</v>
      </c>
    </row>
    <row r="39" spans="1:4" ht="13.35" customHeight="1" x14ac:dyDescent="0.2">
      <c r="A39" s="1043" t="s">
        <v>1216</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1215</v>
      </c>
      <c r="C47" s="1048"/>
      <c r="D47" s="1049">
        <f>SUM(D35:D45)</f>
        <v>4256889</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view="pageBreakPreview" zoomScale="115" zoomScaleNormal="100" zoomScaleSheetLayoutView="115"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Dolton SD 148</v>
      </c>
      <c r="C1" s="2575"/>
      <c r="D1" s="2575"/>
      <c r="E1" s="2575"/>
      <c r="F1" s="2575"/>
      <c r="G1" s="2575"/>
      <c r="H1" s="2575"/>
      <c r="I1" s="2575"/>
      <c r="J1" s="2575"/>
      <c r="K1" s="2575"/>
      <c r="L1" s="2575"/>
      <c r="M1" s="2575"/>
    </row>
    <row r="2" spans="2:14" ht="15" x14ac:dyDescent="0.2">
      <c r="B2" s="2576">
        <f>'Single Audit Cover'!E7</f>
        <v>7016148002</v>
      </c>
      <c r="C2" s="2576"/>
      <c r="D2" s="2576"/>
      <c r="E2" s="2576"/>
      <c r="F2" s="2576"/>
      <c r="G2" s="2576"/>
      <c r="H2" s="2576"/>
      <c r="I2" s="2576"/>
      <c r="J2" s="2576"/>
      <c r="K2" s="2576"/>
      <c r="L2" s="2576"/>
      <c r="M2" s="2576"/>
      <c r="N2" s="1078"/>
    </row>
    <row r="3" spans="2:14" ht="15" x14ac:dyDescent="0.2">
      <c r="B3" s="2577" t="s">
        <v>1207</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4"/>
      <c r="J5" s="1914"/>
    </row>
    <row r="6" spans="2:14" x14ac:dyDescent="0.2">
      <c r="B6" s="1079"/>
      <c r="C6" s="1080"/>
      <c r="D6" s="1081" t="s">
        <v>1253</v>
      </c>
      <c r="E6" s="1082" t="s">
        <v>523</v>
      </c>
      <c r="F6" s="1083"/>
      <c r="G6" s="1084" t="s">
        <v>1709</v>
      </c>
      <c r="H6" s="1082"/>
      <c r="I6" s="1082"/>
      <c r="J6" s="1915"/>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818" t="str">
        <f>"7/1/"&amp;MID('AFR20'!$E$2,3,2)-2&amp;"-6/30/"&amp;MID('AFR20'!$E$2,3,2)-1</f>
        <v>7/1/18-6/30/19</v>
      </c>
      <c r="I8" s="1095" t="s">
        <v>1250</v>
      </c>
      <c r="J8" s="1819" t="str">
        <f>"7/1/"&amp;MID('AFR20'!$E$2,3,2)-1&amp;"-6/30/"&amp;MID('AFR20'!$E$2,3,2)</f>
        <v>7/1/19-6/30/20</v>
      </c>
      <c r="K8" s="1095" t="s">
        <v>1249</v>
      </c>
      <c r="L8" s="1096" t="s">
        <v>1245</v>
      </c>
      <c r="M8" s="1097" t="s">
        <v>30</v>
      </c>
    </row>
    <row r="9" spans="2:14" ht="14.25" x14ac:dyDescent="0.2">
      <c r="B9" s="1101" t="s">
        <v>1247</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1564</v>
      </c>
      <c r="I9" s="1913"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2089</v>
      </c>
      <c r="C11" s="1820"/>
      <c r="D11" s="1821"/>
      <c r="E11" s="1822"/>
      <c r="F11" s="1822"/>
      <c r="G11" s="1822"/>
      <c r="H11" s="1822"/>
      <c r="I11" s="1822"/>
      <c r="J11" s="1822"/>
      <c r="K11" s="1822"/>
      <c r="L11" s="1822"/>
      <c r="M11" s="1822"/>
    </row>
    <row r="12" spans="2:14" ht="20.100000000000001" customHeight="1" x14ac:dyDescent="0.2">
      <c r="B12" s="1113" t="s">
        <v>2090</v>
      </c>
      <c r="C12" s="1823" t="s">
        <v>2095</v>
      </c>
      <c r="D12" s="1824" t="s">
        <v>2099</v>
      </c>
      <c r="E12" s="1825">
        <v>0</v>
      </c>
      <c r="F12" s="1825">
        <v>1077672</v>
      </c>
      <c r="G12" s="1825">
        <v>0</v>
      </c>
      <c r="H12" s="1825">
        <v>0</v>
      </c>
      <c r="I12" s="2044">
        <v>1669788</v>
      </c>
      <c r="J12" s="1825">
        <v>0</v>
      </c>
      <c r="K12" s="1825">
        <v>0</v>
      </c>
      <c r="L12" s="1822">
        <f t="shared" ref="L12:L22" si="0">+G12+I12+K12</f>
        <v>1669788</v>
      </c>
      <c r="M12" s="1825">
        <v>2525555</v>
      </c>
    </row>
    <row r="13" spans="2:14" ht="20.100000000000001" customHeight="1" x14ac:dyDescent="0.2">
      <c r="B13" s="1113" t="s">
        <v>2090</v>
      </c>
      <c r="C13" s="1823" t="s">
        <v>2095</v>
      </c>
      <c r="D13" s="1824" t="s">
        <v>2100</v>
      </c>
      <c r="E13" s="1825">
        <v>1072831</v>
      </c>
      <c r="F13" s="1825">
        <v>954023</v>
      </c>
      <c r="G13" s="1825">
        <v>1845362</v>
      </c>
      <c r="H13" s="1825">
        <v>0</v>
      </c>
      <c r="I13" s="2044">
        <v>181492</v>
      </c>
      <c r="J13" s="1825">
        <v>0</v>
      </c>
      <c r="K13" s="1825">
        <v>0</v>
      </c>
      <c r="L13" s="1822">
        <f t="shared" si="0"/>
        <v>2026854</v>
      </c>
      <c r="M13" s="1825">
        <v>2404941</v>
      </c>
    </row>
    <row r="14" spans="2:14" ht="20.100000000000001" customHeight="1" x14ac:dyDescent="0.2">
      <c r="B14" s="1113" t="s">
        <v>2090</v>
      </c>
      <c r="C14" s="1823" t="s">
        <v>2095</v>
      </c>
      <c r="D14" s="1824" t="s">
        <v>2101</v>
      </c>
      <c r="E14" s="1825">
        <v>1043329</v>
      </c>
      <c r="F14" s="1825">
        <v>0</v>
      </c>
      <c r="G14" s="1825">
        <v>139282</v>
      </c>
      <c r="H14" s="1825">
        <v>0</v>
      </c>
      <c r="I14" s="2044">
        <v>0</v>
      </c>
      <c r="J14" s="1825">
        <v>0</v>
      </c>
      <c r="K14" s="1825">
        <v>0</v>
      </c>
      <c r="L14" s="1822">
        <f t="shared" si="0"/>
        <v>139282</v>
      </c>
      <c r="M14" s="1825">
        <v>2788997</v>
      </c>
    </row>
    <row r="15" spans="2:14" ht="20.100000000000001" customHeight="1" x14ac:dyDescent="0.2">
      <c r="B15" s="1113" t="s">
        <v>2091</v>
      </c>
      <c r="C15" s="1823" t="s">
        <v>2095</v>
      </c>
      <c r="D15" s="1824" t="s">
        <v>2102</v>
      </c>
      <c r="E15" s="1825">
        <v>0</v>
      </c>
      <c r="F15" s="1825">
        <v>88255</v>
      </c>
      <c r="G15" s="1825">
        <v>0</v>
      </c>
      <c r="H15" s="1825">
        <v>0</v>
      </c>
      <c r="I15" s="2044">
        <v>134062</v>
      </c>
      <c r="J15" s="1825">
        <v>0</v>
      </c>
      <c r="K15" s="1825">
        <v>0</v>
      </c>
      <c r="L15" s="1822">
        <f t="shared" si="0"/>
        <v>134062</v>
      </c>
      <c r="M15" s="1825">
        <v>160000</v>
      </c>
    </row>
    <row r="16" spans="2:14" ht="20.100000000000001" customHeight="1" x14ac:dyDescent="0.2">
      <c r="B16" s="1113" t="s">
        <v>2091</v>
      </c>
      <c r="C16" s="1823" t="s">
        <v>2095</v>
      </c>
      <c r="D16" s="1824" t="s">
        <v>2103</v>
      </c>
      <c r="E16" s="1825">
        <v>143865</v>
      </c>
      <c r="F16" s="1825">
        <v>207715</v>
      </c>
      <c r="G16" s="1825">
        <v>276544</v>
      </c>
      <c r="H16" s="1825">
        <v>0</v>
      </c>
      <c r="I16" s="2044">
        <v>75036</v>
      </c>
      <c r="J16" s="1825">
        <v>0</v>
      </c>
      <c r="K16" s="1825">
        <v>0</v>
      </c>
      <c r="L16" s="1822">
        <f t="shared" si="0"/>
        <v>351580</v>
      </c>
      <c r="M16" s="1825">
        <v>360441</v>
      </c>
    </row>
    <row r="17" spans="2:14" ht="20.100000000000001" customHeight="1" x14ac:dyDescent="0.2">
      <c r="B17" s="1113" t="s">
        <v>2092</v>
      </c>
      <c r="C17" s="1823" t="s">
        <v>2096</v>
      </c>
      <c r="D17" s="1824" t="s">
        <v>2147</v>
      </c>
      <c r="E17" s="1825">
        <v>0</v>
      </c>
      <c r="F17" s="1825">
        <v>0</v>
      </c>
      <c r="G17" s="1825">
        <v>0</v>
      </c>
      <c r="H17" s="1825">
        <v>0</v>
      </c>
      <c r="I17" s="2044">
        <v>0</v>
      </c>
      <c r="J17" s="1825">
        <v>0</v>
      </c>
      <c r="K17" s="1825">
        <v>0</v>
      </c>
      <c r="L17" s="1822">
        <f t="shared" ref="L17" si="1">+G17+I17+K17</f>
        <v>0</v>
      </c>
      <c r="M17" s="1825">
        <v>39062</v>
      </c>
    </row>
    <row r="18" spans="2:14" ht="20.100000000000001" customHeight="1" x14ac:dyDescent="0.2">
      <c r="B18" s="1113" t="s">
        <v>2092</v>
      </c>
      <c r="C18" s="1823" t="s">
        <v>2096</v>
      </c>
      <c r="D18" s="1824" t="s">
        <v>2104</v>
      </c>
      <c r="E18" s="1825">
        <v>108045</v>
      </c>
      <c r="F18" s="1825">
        <v>300</v>
      </c>
      <c r="G18" s="1825">
        <v>108045</v>
      </c>
      <c r="H18" s="1825">
        <v>0</v>
      </c>
      <c r="I18" s="2044">
        <v>300</v>
      </c>
      <c r="J18" s="1825">
        <v>0</v>
      </c>
      <c r="K18" s="1825">
        <v>0</v>
      </c>
      <c r="L18" s="1822">
        <f>+G18+I18+K18</f>
        <v>108345</v>
      </c>
      <c r="M18" s="1825">
        <v>187502</v>
      </c>
    </row>
    <row r="19" spans="2:14" ht="20.100000000000001" customHeight="1" x14ac:dyDescent="0.2">
      <c r="B19" s="1113" t="s">
        <v>2092</v>
      </c>
      <c r="C19" s="1823" t="s">
        <v>2096</v>
      </c>
      <c r="D19" s="1824" t="s">
        <v>2105</v>
      </c>
      <c r="E19" s="1825">
        <v>15676</v>
      </c>
      <c r="F19" s="1825">
        <v>0</v>
      </c>
      <c r="G19" s="1825">
        <v>0</v>
      </c>
      <c r="H19" s="1825">
        <v>0</v>
      </c>
      <c r="I19" s="1825">
        <v>0</v>
      </c>
      <c r="J19" s="1825">
        <v>0</v>
      </c>
      <c r="K19" s="1825">
        <v>0</v>
      </c>
      <c r="L19" s="1822">
        <f t="shared" si="0"/>
        <v>0</v>
      </c>
      <c r="M19" s="1825">
        <v>259731</v>
      </c>
    </row>
    <row r="20" spans="2:14" ht="20.100000000000001" customHeight="1" x14ac:dyDescent="0.2">
      <c r="B20" s="1113" t="s">
        <v>2093</v>
      </c>
      <c r="C20" s="1823" t="s">
        <v>2097</v>
      </c>
      <c r="D20" s="1824" t="s">
        <v>2106</v>
      </c>
      <c r="E20" s="1825">
        <v>289835</v>
      </c>
      <c r="F20" s="1825">
        <v>84549</v>
      </c>
      <c r="G20" s="1825">
        <v>374384</v>
      </c>
      <c r="H20" s="1825">
        <v>0</v>
      </c>
      <c r="I20" s="1825">
        <v>0</v>
      </c>
      <c r="J20" s="1825">
        <v>0</v>
      </c>
      <c r="K20" s="1825">
        <v>0</v>
      </c>
      <c r="L20" s="1822">
        <f t="shared" si="0"/>
        <v>374384</v>
      </c>
      <c r="M20" s="1825">
        <v>619422</v>
      </c>
    </row>
    <row r="21" spans="2:14" ht="20.100000000000001" customHeight="1" x14ac:dyDescent="0.2">
      <c r="B21" s="1113" t="s">
        <v>2093</v>
      </c>
      <c r="C21" s="1823" t="s">
        <v>2097</v>
      </c>
      <c r="D21" s="1824" t="s">
        <v>2107</v>
      </c>
      <c r="E21" s="1825">
        <v>76366</v>
      </c>
      <c r="F21" s="1825">
        <v>0</v>
      </c>
      <c r="G21" s="1825">
        <v>0</v>
      </c>
      <c r="H21" s="1825">
        <v>0</v>
      </c>
      <c r="I21" s="1825">
        <v>0</v>
      </c>
      <c r="J21" s="1825">
        <v>0</v>
      </c>
      <c r="K21" s="1825">
        <v>0</v>
      </c>
      <c r="L21" s="1822">
        <f>+G21+I21+K21</f>
        <v>0</v>
      </c>
      <c r="M21" s="1825">
        <v>619422</v>
      </c>
    </row>
    <row r="22" spans="2:14" ht="20.100000000000001" customHeight="1" x14ac:dyDescent="0.2">
      <c r="B22" s="1113" t="s">
        <v>2094</v>
      </c>
      <c r="C22" s="1823" t="s">
        <v>2098</v>
      </c>
      <c r="D22" s="1824" t="s">
        <v>2146</v>
      </c>
      <c r="E22" s="1825">
        <v>0</v>
      </c>
      <c r="F22" s="1825">
        <v>0</v>
      </c>
      <c r="G22" s="1825">
        <v>0</v>
      </c>
      <c r="H22" s="1825">
        <v>0</v>
      </c>
      <c r="I22" s="1825">
        <v>0</v>
      </c>
      <c r="J22" s="1825">
        <v>0</v>
      </c>
      <c r="K22" s="1825">
        <v>0</v>
      </c>
      <c r="L22" s="1822">
        <f t="shared" si="0"/>
        <v>0</v>
      </c>
      <c r="M22" s="1825">
        <v>28836</v>
      </c>
    </row>
    <row r="23" spans="2:14" ht="20.100000000000001" customHeight="1" x14ac:dyDescent="0.2">
      <c r="B23" s="1113" t="s">
        <v>2094</v>
      </c>
      <c r="C23" s="1823" t="s">
        <v>2098</v>
      </c>
      <c r="D23" s="1824" t="s">
        <v>2108</v>
      </c>
      <c r="E23" s="1825">
        <v>6400</v>
      </c>
      <c r="F23" s="1825">
        <v>11360</v>
      </c>
      <c r="G23" s="1825">
        <v>17760</v>
      </c>
      <c r="H23" s="1825">
        <v>0</v>
      </c>
      <c r="I23" s="1825">
        <v>0</v>
      </c>
      <c r="J23" s="1825">
        <v>0</v>
      </c>
      <c r="K23" s="1825">
        <v>0</v>
      </c>
      <c r="L23" s="1822">
        <f t="shared" ref="L23:L24" si="2">+G23+I23+K23</f>
        <v>17760</v>
      </c>
      <c r="M23" s="1825">
        <v>24102</v>
      </c>
    </row>
    <row r="24" spans="2:14" ht="20.100000000000001" customHeight="1" x14ac:dyDescent="0.2">
      <c r="B24" s="1113" t="s">
        <v>2094</v>
      </c>
      <c r="C24" s="1823" t="s">
        <v>2098</v>
      </c>
      <c r="D24" s="1824" t="s">
        <v>2109</v>
      </c>
      <c r="E24" s="1825">
        <v>10827</v>
      </c>
      <c r="F24" s="1825">
        <v>0</v>
      </c>
      <c r="G24" s="1825">
        <v>0</v>
      </c>
      <c r="H24" s="1825">
        <v>0</v>
      </c>
      <c r="I24" s="1825">
        <v>0</v>
      </c>
      <c r="J24" s="1825">
        <v>0</v>
      </c>
      <c r="K24" s="1825">
        <v>0</v>
      </c>
      <c r="L24" s="1822">
        <f t="shared" si="2"/>
        <v>0</v>
      </c>
      <c r="M24" s="1825">
        <v>19250</v>
      </c>
    </row>
    <row r="25" spans="2:14" ht="20.100000000000001" customHeight="1" x14ac:dyDescent="0.2">
      <c r="B25" s="1113" t="s">
        <v>2113</v>
      </c>
      <c r="C25" s="1823"/>
      <c r="D25" s="1824"/>
      <c r="E25" s="1825">
        <f t="shared" ref="E25:M25" si="3">SUM(E12:E24)</f>
        <v>2767174</v>
      </c>
      <c r="F25" s="1825">
        <f t="shared" si="3"/>
        <v>2423874</v>
      </c>
      <c r="G25" s="1825">
        <f t="shared" si="3"/>
        <v>2761377</v>
      </c>
      <c r="H25" s="1825">
        <f t="shared" si="3"/>
        <v>0</v>
      </c>
      <c r="I25" s="1825">
        <f t="shared" si="3"/>
        <v>2060678</v>
      </c>
      <c r="J25" s="1825">
        <f t="shared" si="3"/>
        <v>0</v>
      </c>
      <c r="K25" s="1825">
        <f t="shared" si="3"/>
        <v>0</v>
      </c>
      <c r="L25" s="1825">
        <f t="shared" si="3"/>
        <v>4822055</v>
      </c>
      <c r="M25" s="1825">
        <f t="shared" si="3"/>
        <v>10037261</v>
      </c>
    </row>
    <row r="26" spans="2:14" ht="20.100000000000001" customHeight="1" x14ac:dyDescent="0.2">
      <c r="B26" s="1113"/>
      <c r="C26" s="1823"/>
      <c r="D26" s="1824"/>
      <c r="E26" s="1825"/>
      <c r="F26" s="1825"/>
      <c r="G26" s="1825"/>
      <c r="H26" s="1825"/>
      <c r="I26" s="1825"/>
      <c r="J26" s="1825"/>
      <c r="K26" s="1825"/>
      <c r="L26" s="1822"/>
      <c r="M26" s="1825"/>
    </row>
    <row r="27" spans="2:14" ht="20.100000000000001" customHeight="1" x14ac:dyDescent="0.2">
      <c r="B27" s="1113" t="s">
        <v>2114</v>
      </c>
      <c r="C27" s="1823"/>
      <c r="D27" s="1824"/>
      <c r="E27" s="1825">
        <f>E25</f>
        <v>2767174</v>
      </c>
      <c r="F27" s="1825">
        <f t="shared" ref="F27:M27" si="4">F25</f>
        <v>2423874</v>
      </c>
      <c r="G27" s="1825">
        <f t="shared" si="4"/>
        <v>2761377</v>
      </c>
      <c r="H27" s="1825">
        <f t="shared" si="4"/>
        <v>0</v>
      </c>
      <c r="I27" s="1825">
        <f t="shared" si="4"/>
        <v>2060678</v>
      </c>
      <c r="J27" s="1825">
        <f t="shared" si="4"/>
        <v>0</v>
      </c>
      <c r="K27" s="1825">
        <f t="shared" si="4"/>
        <v>0</v>
      </c>
      <c r="L27" s="1825">
        <f t="shared" si="4"/>
        <v>4822055</v>
      </c>
      <c r="M27" s="1825">
        <f t="shared" si="4"/>
        <v>10037261</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66EC2-0FDF-4FB5-9CCD-E81FC90394B5}">
  <sheetPr>
    <tabColor rgb="FF00B050"/>
  </sheetPr>
  <dimension ref="B1:N157"/>
  <sheetViews>
    <sheetView showGridLines="0" view="pageBreakPreview" topLeftCell="A7" zoomScale="145" zoomScaleNormal="100" zoomScaleSheetLayoutView="145"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Dolton SD 148</v>
      </c>
      <c r="C1" s="2575"/>
      <c r="D1" s="2575"/>
      <c r="E1" s="2575"/>
      <c r="F1" s="2575"/>
      <c r="G1" s="2575"/>
      <c r="H1" s="2575"/>
      <c r="I1" s="2575"/>
      <c r="J1" s="2575"/>
      <c r="K1" s="2575"/>
      <c r="L1" s="2575"/>
      <c r="M1" s="2575"/>
    </row>
    <row r="2" spans="2:14" ht="15" x14ac:dyDescent="0.2">
      <c r="B2" s="2576">
        <f>'Single Audit Cover'!E7</f>
        <v>7016148002</v>
      </c>
      <c r="C2" s="2576"/>
      <c r="D2" s="2576"/>
      <c r="E2" s="2576"/>
      <c r="F2" s="2576"/>
      <c r="G2" s="2576"/>
      <c r="H2" s="2576"/>
      <c r="I2" s="2576"/>
      <c r="J2" s="2576"/>
      <c r="K2" s="2576"/>
      <c r="L2" s="2576"/>
      <c r="M2" s="2576"/>
      <c r="N2" s="1078"/>
    </row>
    <row r="3" spans="2:14" ht="15" x14ac:dyDescent="0.2">
      <c r="B3" s="2577" t="s">
        <v>1207</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4"/>
      <c r="J5" s="1914"/>
    </row>
    <row r="6" spans="2:14" x14ac:dyDescent="0.2">
      <c r="B6" s="1079"/>
      <c r="C6" s="1080"/>
      <c r="D6" s="1081" t="s">
        <v>1253</v>
      </c>
      <c r="E6" s="1082" t="s">
        <v>523</v>
      </c>
      <c r="F6" s="1083"/>
      <c r="G6" s="1084" t="s">
        <v>1709</v>
      </c>
      <c r="H6" s="1082"/>
      <c r="I6" s="1082"/>
      <c r="J6" s="1915"/>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818" t="str">
        <f>"7/1/"&amp;MID('AFR20'!$E$2,3,2)-2&amp;"-6/30/"&amp;MID('AFR20'!$E$2,3,2)-1</f>
        <v>7/1/18-6/30/19</v>
      </c>
      <c r="I8" s="1095" t="s">
        <v>1250</v>
      </c>
      <c r="J8" s="1819" t="str">
        <f>"7/1/"&amp;MID('AFR20'!$E$2,3,2)-1&amp;"-6/30/"&amp;MID('AFR20'!$E$2,3,2)</f>
        <v>7/1/19-6/30/20</v>
      </c>
      <c r="K8" s="1095" t="s">
        <v>1249</v>
      </c>
      <c r="L8" s="1096" t="s">
        <v>1245</v>
      </c>
      <c r="M8" s="1097" t="s">
        <v>30</v>
      </c>
    </row>
    <row r="9" spans="2:14" ht="14.25" x14ac:dyDescent="0.2">
      <c r="B9" s="1101" t="s">
        <v>1247</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1564</v>
      </c>
      <c r="I9" s="1913"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2114</v>
      </c>
      <c r="C11" s="1820"/>
      <c r="D11" s="1821"/>
      <c r="E11" s="1825">
        <v>2767174</v>
      </c>
      <c r="F11" s="1825">
        <v>2423874</v>
      </c>
      <c r="G11" s="1825">
        <v>2761377</v>
      </c>
      <c r="H11" s="1825">
        <v>0</v>
      </c>
      <c r="I11" s="1825">
        <v>2060678</v>
      </c>
      <c r="J11" s="1825">
        <v>0</v>
      </c>
      <c r="K11" s="1825">
        <v>0</v>
      </c>
      <c r="L11" s="1825">
        <v>4822055</v>
      </c>
      <c r="M11" s="1825">
        <v>10037261</v>
      </c>
    </row>
    <row r="12" spans="2:14" ht="20.100000000000001" customHeight="1" x14ac:dyDescent="0.2">
      <c r="B12" s="1113" t="s">
        <v>2115</v>
      </c>
      <c r="C12" s="1823"/>
      <c r="D12" s="1824"/>
      <c r="E12" s="1825"/>
      <c r="F12" s="1825"/>
      <c r="G12" s="1825"/>
      <c r="H12" s="1825"/>
      <c r="I12" s="1825"/>
      <c r="J12" s="1825"/>
      <c r="K12" s="1825"/>
      <c r="L12" s="1822"/>
      <c r="M12" s="1825"/>
    </row>
    <row r="13" spans="2:14" ht="20.100000000000001" customHeight="1" x14ac:dyDescent="0.2">
      <c r="B13" s="1113"/>
      <c r="C13" s="1823"/>
      <c r="D13" s="1824"/>
      <c r="E13" s="1825"/>
      <c r="F13" s="1825"/>
      <c r="G13" s="1825"/>
      <c r="H13" s="1825"/>
      <c r="I13" s="1825"/>
      <c r="J13" s="1825"/>
      <c r="K13" s="1825"/>
      <c r="L13" s="1822"/>
      <c r="M13" s="1825"/>
    </row>
    <row r="14" spans="2:14" ht="20.100000000000001" customHeight="1" x14ac:dyDescent="0.2">
      <c r="B14" s="1113" t="s">
        <v>2222</v>
      </c>
      <c r="C14" s="1823"/>
      <c r="D14" s="1824"/>
      <c r="E14" s="1825"/>
      <c r="F14" s="1825"/>
      <c r="G14" s="1825"/>
      <c r="H14" s="1825"/>
      <c r="I14" s="2044"/>
      <c r="J14" s="1825"/>
      <c r="K14" s="1825"/>
      <c r="L14" s="1822"/>
      <c r="M14" s="1825"/>
    </row>
    <row r="15" spans="2:14" ht="20.100000000000001" customHeight="1" x14ac:dyDescent="0.2">
      <c r="B15" s="1113" t="s">
        <v>2116</v>
      </c>
      <c r="C15" s="1823">
        <v>10.553000000000001</v>
      </c>
      <c r="D15" s="1824" t="s">
        <v>2120</v>
      </c>
      <c r="E15" s="1825">
        <v>0</v>
      </c>
      <c r="F15" s="1825">
        <v>287817</v>
      </c>
      <c r="G15" s="1825">
        <v>0</v>
      </c>
      <c r="H15" s="1825">
        <v>0</v>
      </c>
      <c r="I15" s="2044">
        <v>287817</v>
      </c>
      <c r="J15" s="1825">
        <v>0</v>
      </c>
      <c r="K15" s="1825"/>
      <c r="L15" s="1822">
        <f t="shared" ref="L15:L31" si="0">+G15+I15+K15</f>
        <v>287817</v>
      </c>
      <c r="M15" s="1825">
        <v>0</v>
      </c>
    </row>
    <row r="16" spans="2:14" ht="20.100000000000001" customHeight="1" x14ac:dyDescent="0.2">
      <c r="B16" s="1113" t="s">
        <v>2116</v>
      </c>
      <c r="C16" s="1823">
        <v>10.553000000000001</v>
      </c>
      <c r="D16" s="1824" t="s">
        <v>2121</v>
      </c>
      <c r="E16" s="1825">
        <v>436780</v>
      </c>
      <c r="F16" s="1825">
        <v>100997</v>
      </c>
      <c r="G16" s="1825">
        <v>436780</v>
      </c>
      <c r="H16" s="1825">
        <v>0</v>
      </c>
      <c r="I16" s="2044">
        <v>100997</v>
      </c>
      <c r="J16" s="1825">
        <v>0</v>
      </c>
      <c r="K16" s="1825"/>
      <c r="L16" s="1822">
        <f t="shared" si="0"/>
        <v>537777</v>
      </c>
      <c r="M16" s="1825">
        <v>0</v>
      </c>
    </row>
    <row r="17" spans="2:14" ht="20.100000000000001" customHeight="1" x14ac:dyDescent="0.2">
      <c r="B17" s="1113" t="s">
        <v>2117</v>
      </c>
      <c r="C17" s="1823">
        <v>10.553000000000001</v>
      </c>
      <c r="D17" s="1824" t="s">
        <v>2122</v>
      </c>
      <c r="E17" s="1825">
        <v>156243</v>
      </c>
      <c r="F17" s="1825">
        <v>0</v>
      </c>
      <c r="G17" s="1825">
        <v>156243</v>
      </c>
      <c r="H17" s="1825">
        <v>0</v>
      </c>
      <c r="I17" s="2044">
        <v>0</v>
      </c>
      <c r="J17" s="1825">
        <v>0</v>
      </c>
      <c r="K17" s="1825"/>
      <c r="L17" s="1822">
        <f t="shared" si="0"/>
        <v>156243</v>
      </c>
      <c r="M17" s="1825">
        <v>0</v>
      </c>
    </row>
    <row r="18" spans="2:14" ht="20.100000000000001" customHeight="1" x14ac:dyDescent="0.2">
      <c r="B18" s="1113" t="s">
        <v>1048</v>
      </c>
      <c r="C18" s="1823">
        <v>10.555</v>
      </c>
      <c r="D18" s="1824" t="s">
        <v>2123</v>
      </c>
      <c r="E18" s="1825">
        <v>0</v>
      </c>
      <c r="F18" s="1825">
        <v>624162</v>
      </c>
      <c r="G18" s="1825">
        <v>0</v>
      </c>
      <c r="H18" s="1825">
        <v>0</v>
      </c>
      <c r="I18" s="2044">
        <v>624162</v>
      </c>
      <c r="J18" s="1825">
        <v>0</v>
      </c>
      <c r="K18" s="1825"/>
      <c r="L18" s="1822">
        <f t="shared" si="0"/>
        <v>624162</v>
      </c>
      <c r="M18" s="1825">
        <v>0</v>
      </c>
    </row>
    <row r="19" spans="2:14" ht="20.100000000000001" customHeight="1" x14ac:dyDescent="0.2">
      <c r="B19" s="1113" t="s">
        <v>1048</v>
      </c>
      <c r="C19" s="1823">
        <v>10.555</v>
      </c>
      <c r="D19" s="1824" t="s">
        <v>2124</v>
      </c>
      <c r="E19" s="1825">
        <v>907554</v>
      </c>
      <c r="F19" s="1825">
        <v>167019</v>
      </c>
      <c r="G19" s="1825">
        <v>907554</v>
      </c>
      <c r="H19" s="1825">
        <v>0</v>
      </c>
      <c r="I19" s="2044">
        <v>167019</v>
      </c>
      <c r="J19" s="1825">
        <v>0</v>
      </c>
      <c r="K19" s="1825"/>
      <c r="L19" s="1822">
        <f t="shared" si="0"/>
        <v>1074573</v>
      </c>
      <c r="M19" s="1825">
        <v>0</v>
      </c>
    </row>
    <row r="20" spans="2:14" ht="20.100000000000001" customHeight="1" x14ac:dyDescent="0.2">
      <c r="B20" s="1113" t="s">
        <v>1048</v>
      </c>
      <c r="C20" s="1823">
        <v>10.555</v>
      </c>
      <c r="D20" s="1824" t="s">
        <v>2125</v>
      </c>
      <c r="E20" s="1825">
        <v>301165</v>
      </c>
      <c r="F20" s="1825">
        <v>0</v>
      </c>
      <c r="G20" s="1825">
        <v>301165</v>
      </c>
      <c r="H20" s="1825">
        <v>0</v>
      </c>
      <c r="I20" s="2044">
        <v>0</v>
      </c>
      <c r="J20" s="1825">
        <v>0</v>
      </c>
      <c r="K20" s="1825"/>
      <c r="L20" s="1822">
        <f t="shared" si="0"/>
        <v>301165</v>
      </c>
      <c r="M20" s="1825">
        <v>0</v>
      </c>
    </row>
    <row r="21" spans="2:14" ht="20.100000000000001" customHeight="1" x14ac:dyDescent="0.2">
      <c r="B21" s="1113" t="s">
        <v>2119</v>
      </c>
      <c r="C21" s="1823">
        <v>10.555</v>
      </c>
      <c r="D21" s="1824" t="s">
        <v>2130</v>
      </c>
      <c r="E21" s="1825">
        <v>0</v>
      </c>
      <c r="F21" s="1825">
        <v>110094</v>
      </c>
      <c r="G21" s="1825">
        <v>0</v>
      </c>
      <c r="H21" s="1825">
        <v>0</v>
      </c>
      <c r="I21" s="2044">
        <v>110094</v>
      </c>
      <c r="J21" s="1825">
        <v>0</v>
      </c>
      <c r="K21" s="1825"/>
      <c r="L21" s="1822">
        <f t="shared" si="0"/>
        <v>110094</v>
      </c>
      <c r="M21" s="1825">
        <v>0</v>
      </c>
    </row>
    <row r="22" spans="2:14" ht="20.100000000000001" customHeight="1" x14ac:dyDescent="0.2">
      <c r="B22" s="1113" t="s">
        <v>2119</v>
      </c>
      <c r="C22" s="1823">
        <v>10.555</v>
      </c>
      <c r="D22" s="1824" t="s">
        <v>2131</v>
      </c>
      <c r="E22" s="1825">
        <v>106524</v>
      </c>
      <c r="F22" s="1825">
        <v>0</v>
      </c>
      <c r="G22" s="1825">
        <v>106524</v>
      </c>
      <c r="H22" s="1825">
        <v>0</v>
      </c>
      <c r="I22" s="2044">
        <v>0</v>
      </c>
      <c r="J22" s="1825">
        <v>0</v>
      </c>
      <c r="K22" s="1825"/>
      <c r="L22" s="1822">
        <f t="shared" si="0"/>
        <v>106524</v>
      </c>
      <c r="M22" s="1825">
        <v>0</v>
      </c>
    </row>
    <row r="23" spans="2:14" ht="20.100000000000001" customHeight="1" x14ac:dyDescent="0.2">
      <c r="B23" s="1113" t="s">
        <v>1037</v>
      </c>
      <c r="C23" s="1823">
        <v>10.555999999999999</v>
      </c>
      <c r="D23" s="1824" t="s">
        <v>2128</v>
      </c>
      <c r="E23" s="1825">
        <v>82</v>
      </c>
      <c r="F23" s="1825">
        <v>0</v>
      </c>
      <c r="G23" s="1825">
        <v>82</v>
      </c>
      <c r="H23" s="1825">
        <v>0</v>
      </c>
      <c r="I23" s="2044">
        <v>0</v>
      </c>
      <c r="J23" s="1825">
        <v>0</v>
      </c>
      <c r="K23" s="1825"/>
      <c r="L23" s="1822">
        <f t="shared" si="0"/>
        <v>82</v>
      </c>
      <c r="M23" s="1825">
        <v>0</v>
      </c>
    </row>
    <row r="24" spans="2:14" ht="20.100000000000001" customHeight="1" x14ac:dyDescent="0.2">
      <c r="B24" s="1113" t="s">
        <v>1433</v>
      </c>
      <c r="C24" s="1823">
        <v>10.558999999999999</v>
      </c>
      <c r="D24" s="1824" t="s">
        <v>2129</v>
      </c>
      <c r="E24" s="1825">
        <v>0</v>
      </c>
      <c r="F24" s="1825">
        <v>59542</v>
      </c>
      <c r="G24" s="1825">
        <v>0</v>
      </c>
      <c r="H24" s="1825">
        <v>0</v>
      </c>
      <c r="I24" s="2044">
        <v>59542</v>
      </c>
      <c r="J24" s="1825">
        <v>0</v>
      </c>
      <c r="K24" s="1825"/>
      <c r="L24" s="1822">
        <f t="shared" si="0"/>
        <v>59542</v>
      </c>
      <c r="M24" s="1825">
        <v>0</v>
      </c>
    </row>
    <row r="25" spans="2:14" ht="20.100000000000001" customHeight="1" x14ac:dyDescent="0.2">
      <c r="B25" s="1113" t="s">
        <v>2223</v>
      </c>
      <c r="C25" s="1823"/>
      <c r="D25" s="1824"/>
      <c r="E25" s="1825">
        <f>SUM(E15:E24)</f>
        <v>1908348</v>
      </c>
      <c r="F25" s="1825">
        <f t="shared" ref="F25:M25" si="1">SUM(F15:F24)</f>
        <v>1349631</v>
      </c>
      <c r="G25" s="1825">
        <f t="shared" si="1"/>
        <v>1908348</v>
      </c>
      <c r="H25" s="1825">
        <f t="shared" si="1"/>
        <v>0</v>
      </c>
      <c r="I25" s="2044">
        <f t="shared" si="1"/>
        <v>1349631</v>
      </c>
      <c r="J25" s="1825">
        <f t="shared" si="1"/>
        <v>0</v>
      </c>
      <c r="K25" s="1825">
        <f t="shared" si="1"/>
        <v>0</v>
      </c>
      <c r="L25" s="1825">
        <f t="shared" si="1"/>
        <v>3257979</v>
      </c>
      <c r="M25" s="1825">
        <f t="shared" si="1"/>
        <v>0</v>
      </c>
    </row>
    <row r="26" spans="2:14" ht="20.100000000000001" customHeight="1" x14ac:dyDescent="0.2">
      <c r="B26" s="1113"/>
      <c r="C26" s="1823"/>
      <c r="D26" s="1824"/>
      <c r="E26" s="1825"/>
      <c r="F26" s="1825"/>
      <c r="G26" s="1825"/>
      <c r="H26" s="1825"/>
      <c r="I26" s="2044"/>
      <c r="J26" s="1825"/>
      <c r="K26" s="1825"/>
      <c r="L26" s="1822"/>
      <c r="M26" s="1825"/>
    </row>
    <row r="27" spans="2:14" ht="20.100000000000001" customHeight="1" x14ac:dyDescent="0.2">
      <c r="B27" s="1113" t="s">
        <v>2118</v>
      </c>
      <c r="C27" s="1823">
        <v>10.558</v>
      </c>
      <c r="D27" s="1824" t="s">
        <v>2126</v>
      </c>
      <c r="E27" s="1825">
        <v>0</v>
      </c>
      <c r="F27" s="1825">
        <v>181040</v>
      </c>
      <c r="G27" s="1825">
        <v>0</v>
      </c>
      <c r="H27" s="1825">
        <v>0</v>
      </c>
      <c r="I27" s="2044">
        <v>181040</v>
      </c>
      <c r="J27" s="1825">
        <v>0</v>
      </c>
      <c r="K27" s="1825"/>
      <c r="L27" s="1822">
        <f t="shared" si="0"/>
        <v>181040</v>
      </c>
      <c r="M27" s="1825">
        <v>0</v>
      </c>
    </row>
    <row r="28" spans="2:14" ht="20.100000000000001" customHeight="1" x14ac:dyDescent="0.2">
      <c r="B28" s="1113" t="s">
        <v>2118</v>
      </c>
      <c r="C28" s="1823">
        <v>10.558</v>
      </c>
      <c r="D28" s="1824" t="s">
        <v>2127</v>
      </c>
      <c r="E28" s="1825">
        <v>110342</v>
      </c>
      <c r="F28" s="1825">
        <v>37474</v>
      </c>
      <c r="G28" s="1825">
        <v>110342</v>
      </c>
      <c r="H28" s="1825">
        <v>0</v>
      </c>
      <c r="I28" s="2044">
        <v>37474</v>
      </c>
      <c r="J28" s="1825">
        <v>0</v>
      </c>
      <c r="K28" s="1825"/>
      <c r="L28" s="1822">
        <f t="shared" si="0"/>
        <v>147816</v>
      </c>
      <c r="M28" s="1825">
        <v>0</v>
      </c>
    </row>
    <row r="29" spans="2:14" ht="20.100000000000001" customHeight="1" x14ac:dyDescent="0.2">
      <c r="B29" s="1113"/>
      <c r="C29" s="1823"/>
      <c r="D29" s="1824"/>
      <c r="E29" s="1825"/>
      <c r="F29" s="1825"/>
      <c r="G29" s="1825"/>
      <c r="H29" s="1825"/>
      <c r="I29" s="1825"/>
      <c r="J29" s="1825"/>
      <c r="K29" s="1825"/>
      <c r="L29" s="1822"/>
      <c r="M29" s="1825"/>
    </row>
    <row r="30" spans="2:14" ht="20.100000000000001" customHeight="1" x14ac:dyDescent="0.2">
      <c r="B30" s="1113" t="s">
        <v>2226</v>
      </c>
      <c r="C30" s="1823"/>
      <c r="D30" s="1824"/>
      <c r="E30" s="1825">
        <f t="shared" ref="E30:M30" si="2">SUM(E25:E28)</f>
        <v>2018690</v>
      </c>
      <c r="F30" s="1825">
        <f t="shared" si="2"/>
        <v>1568145</v>
      </c>
      <c r="G30" s="1825">
        <f t="shared" si="2"/>
        <v>2018690</v>
      </c>
      <c r="H30" s="1825">
        <f t="shared" si="2"/>
        <v>0</v>
      </c>
      <c r="I30" s="1825">
        <f t="shared" si="2"/>
        <v>1568145</v>
      </c>
      <c r="J30" s="1825">
        <f t="shared" si="2"/>
        <v>0</v>
      </c>
      <c r="K30" s="1825">
        <f t="shared" si="2"/>
        <v>0</v>
      </c>
      <c r="L30" s="1825">
        <f t="shared" si="2"/>
        <v>3586835</v>
      </c>
      <c r="M30" s="1825">
        <f t="shared" si="2"/>
        <v>0</v>
      </c>
    </row>
    <row r="31" spans="2:14" ht="20.100000000000001" customHeight="1" x14ac:dyDescent="0.2">
      <c r="B31" s="1113"/>
      <c r="C31" s="1823"/>
      <c r="D31" s="1824"/>
      <c r="E31" s="1825"/>
      <c r="F31" s="1825"/>
      <c r="G31" s="1825"/>
      <c r="H31" s="1825"/>
      <c r="I31" s="1825"/>
      <c r="J31" s="1825"/>
      <c r="K31" s="1825"/>
      <c r="L31" s="1822">
        <f t="shared" si="0"/>
        <v>0</v>
      </c>
      <c r="M31" s="1825"/>
    </row>
    <row r="32" spans="2:14" ht="20.100000000000001" customHeight="1" x14ac:dyDescent="0.2">
      <c r="B32" s="1113" t="s">
        <v>2114</v>
      </c>
      <c r="C32" s="1823"/>
      <c r="D32" s="1824"/>
      <c r="E32" s="1825">
        <f t="shared" ref="E32:M32" si="3">E11+E30</f>
        <v>4785864</v>
      </c>
      <c r="F32" s="1825">
        <f t="shared" si="3"/>
        <v>3992019</v>
      </c>
      <c r="G32" s="1825">
        <f t="shared" si="3"/>
        <v>4780067</v>
      </c>
      <c r="H32" s="1825">
        <f t="shared" si="3"/>
        <v>0</v>
      </c>
      <c r="I32" s="1825">
        <f t="shared" si="3"/>
        <v>3628823</v>
      </c>
      <c r="J32" s="1825">
        <f t="shared" si="3"/>
        <v>0</v>
      </c>
      <c r="K32" s="1825">
        <f t="shared" si="3"/>
        <v>0</v>
      </c>
      <c r="L32" s="1825">
        <f t="shared" si="3"/>
        <v>8408890</v>
      </c>
      <c r="M32" s="1825">
        <f t="shared" si="3"/>
        <v>10037261</v>
      </c>
      <c r="N32" s="1114"/>
    </row>
    <row r="33" spans="2:14" ht="12.75" customHeight="1" x14ac:dyDescent="0.2">
      <c r="B33" s="1115"/>
      <c r="C33" s="1116"/>
      <c r="D33" s="1117"/>
      <c r="E33" s="1118"/>
      <c r="F33" s="1118"/>
      <c r="G33" s="1118"/>
      <c r="H33" s="1118"/>
      <c r="I33" s="1118"/>
      <c r="J33" s="1118"/>
      <c r="K33" s="1118"/>
      <c r="L33" s="1118"/>
      <c r="M33" s="1118"/>
      <c r="N33" s="1114"/>
    </row>
    <row r="34" spans="2:14" x14ac:dyDescent="0.2">
      <c r="B34" s="1033"/>
      <c r="C34" s="1119"/>
      <c r="D34" s="1120"/>
      <c r="E34" s="1033"/>
      <c r="F34" s="1033"/>
      <c r="G34" s="1026"/>
      <c r="H34" s="1026"/>
      <c r="I34" s="1026"/>
      <c r="J34" s="1026"/>
      <c r="K34" s="1026"/>
      <c r="L34" s="1026"/>
      <c r="M34" s="1033"/>
      <c r="N34" s="1114"/>
    </row>
    <row r="35" spans="2:14" ht="13.5" customHeight="1" x14ac:dyDescent="0.2">
      <c r="B35" s="1058" t="s">
        <v>1712</v>
      </c>
      <c r="C35" s="1119"/>
      <c r="D35" s="1120"/>
      <c r="E35" s="1033"/>
      <c r="F35" s="1033"/>
      <c r="G35" s="1026"/>
      <c r="H35" s="1026"/>
      <c r="I35" s="1026"/>
      <c r="J35" s="1026"/>
      <c r="K35" s="1026"/>
      <c r="L35" s="1026"/>
      <c r="M35" s="1033"/>
      <c r="N35" s="1114"/>
    </row>
    <row r="36" spans="2:14" ht="8.25" customHeight="1" x14ac:dyDescent="0.2">
      <c r="B36" s="1058"/>
      <c r="C36" s="1119"/>
      <c r="D36" s="1120"/>
      <c r="E36" s="1033"/>
      <c r="F36" s="1033"/>
      <c r="G36" s="1026"/>
      <c r="H36" s="1026"/>
      <c r="I36" s="1026"/>
      <c r="J36" s="1026"/>
      <c r="K36" s="1026"/>
      <c r="L36" s="1026"/>
      <c r="M36" s="1033"/>
      <c r="N36" s="1114"/>
    </row>
    <row r="37" spans="2:14" x14ac:dyDescent="0.2">
      <c r="B37" s="1121" t="s">
        <v>1810</v>
      </c>
      <c r="C37" s="1122"/>
      <c r="D37" s="1123"/>
      <c r="E37" s="1124"/>
      <c r="F37" s="1124"/>
      <c r="G37" s="1124"/>
      <c r="H37" s="1124"/>
      <c r="I37" s="295"/>
      <c r="J37" s="295"/>
    </row>
    <row r="38" spans="2:14" x14ac:dyDescent="0.2">
      <c r="B38" s="1053"/>
      <c r="C38" s="1125"/>
      <c r="D38" s="1126"/>
      <c r="E38" s="1054"/>
      <c r="F38" s="1054"/>
      <c r="G38" s="295"/>
      <c r="H38" s="295"/>
      <c r="I38" s="295"/>
      <c r="J38" s="295"/>
    </row>
    <row r="39" spans="2:14" ht="13.5" customHeight="1" x14ac:dyDescent="0.2">
      <c r="B39" s="1052" t="s">
        <v>1234</v>
      </c>
      <c r="G39" s="295"/>
      <c r="H39" s="295"/>
      <c r="I39" s="295"/>
      <c r="J39" s="295"/>
    </row>
    <row r="40" spans="2:14" ht="13.5" customHeight="1" x14ac:dyDescent="0.2">
      <c r="B40" s="1129"/>
      <c r="C40" s="1130"/>
      <c r="D40" s="1131"/>
      <c r="E40" s="1073"/>
      <c r="F40" s="1073"/>
      <c r="G40" s="1073"/>
      <c r="H40" s="1073"/>
      <c r="I40" s="1073"/>
      <c r="J40" s="1073"/>
      <c r="K40" s="1132"/>
      <c r="L40" s="1132"/>
      <c r="M40" s="1073"/>
    </row>
    <row r="41" spans="2:14" ht="9.6" customHeight="1" x14ac:dyDescent="0.2">
      <c r="B41" s="1133"/>
      <c r="G41" s="295"/>
      <c r="H41" s="295"/>
      <c r="I41" s="295"/>
      <c r="J41" s="295"/>
    </row>
    <row r="42" spans="2:14" ht="11.25" customHeight="1" x14ac:dyDescent="0.2">
      <c r="B42" s="1134" t="s">
        <v>1713</v>
      </c>
      <c r="C42" s="1135"/>
      <c r="D42" s="1135"/>
      <c r="E42" s="1135"/>
      <c r="F42" s="1135"/>
      <c r="G42" s="1135"/>
      <c r="H42" s="1135"/>
      <c r="I42" s="1136"/>
      <c r="J42" s="1136"/>
      <c r="K42" s="1136"/>
      <c r="L42" s="1136"/>
      <c r="M42" s="1136"/>
    </row>
    <row r="43" spans="2:14" ht="11.25" customHeight="1" x14ac:dyDescent="0.2">
      <c r="B43" s="1137" t="s">
        <v>1566</v>
      </c>
      <c r="C43" s="1136"/>
      <c r="D43" s="1136"/>
      <c r="E43" s="1136"/>
      <c r="F43" s="1136"/>
      <c r="G43" s="1136"/>
      <c r="H43" s="1136"/>
      <c r="I43" s="1136"/>
      <c r="J43" s="1136"/>
      <c r="K43" s="1136"/>
      <c r="L43" s="1136"/>
      <c r="M43" s="1136"/>
    </row>
    <row r="44" spans="2:14" ht="3.95" customHeight="1" x14ac:dyDescent="0.2">
      <c r="B44" s="1137"/>
      <c r="C44" s="1136"/>
      <c r="D44" s="1136"/>
      <c r="E44" s="1136"/>
      <c r="F44" s="1136"/>
      <c r="G44" s="1136"/>
      <c r="H44" s="1136"/>
      <c r="I44" s="1136"/>
      <c r="J44" s="1136"/>
      <c r="K44" s="1136"/>
      <c r="L44" s="1136"/>
      <c r="M44" s="1136"/>
    </row>
    <row r="45" spans="2:14" ht="11.25" customHeight="1" x14ac:dyDescent="0.2">
      <c r="B45" s="1134" t="s">
        <v>1714</v>
      </c>
      <c r="C45" s="1136"/>
      <c r="D45" s="1136"/>
      <c r="E45" s="1136"/>
      <c r="F45" s="1136"/>
      <c r="G45" s="1136"/>
      <c r="H45" s="1136"/>
      <c r="I45" s="1136"/>
      <c r="J45" s="1136"/>
      <c r="K45" s="1136"/>
      <c r="L45" s="1136"/>
      <c r="M45" s="1136"/>
    </row>
    <row r="46" spans="2:14" ht="11.25" customHeight="1" x14ac:dyDescent="0.2">
      <c r="B46" s="1076" t="s">
        <v>1567</v>
      </c>
      <c r="C46" s="1138"/>
      <c r="D46" s="1139"/>
      <c r="E46" s="1076"/>
      <c r="F46" s="1076"/>
      <c r="G46" s="1076"/>
      <c r="H46" s="1076"/>
      <c r="I46" s="1076"/>
      <c r="J46" s="1076"/>
      <c r="K46" s="1140"/>
      <c r="L46" s="1140"/>
      <c r="M46" s="1076"/>
    </row>
    <row r="47" spans="2:14" ht="3.95" customHeight="1" x14ac:dyDescent="0.2">
      <c r="B47" s="1076"/>
      <c r="C47" s="1138"/>
      <c r="D47" s="1139"/>
      <c r="E47" s="1076"/>
      <c r="F47" s="1076"/>
      <c r="G47" s="1076"/>
      <c r="H47" s="1076"/>
      <c r="I47" s="1076"/>
      <c r="J47" s="1076"/>
      <c r="K47" s="1140"/>
      <c r="L47" s="1140"/>
      <c r="M47" s="1076"/>
    </row>
    <row r="48" spans="2:14" ht="11.25" customHeight="1" x14ac:dyDescent="0.2">
      <c r="B48" s="1141" t="s">
        <v>1715</v>
      </c>
      <c r="C48" s="1138"/>
      <c r="D48" s="1139"/>
      <c r="E48" s="1076"/>
      <c r="F48" s="1076"/>
      <c r="G48" s="1076"/>
      <c r="H48" s="1076"/>
      <c r="I48" s="1076"/>
      <c r="J48" s="1076"/>
      <c r="K48" s="1140"/>
      <c r="L48" s="1140"/>
      <c r="M48" s="1076"/>
    </row>
    <row r="49" spans="2:13" ht="3.95" customHeight="1" x14ac:dyDescent="0.2">
      <c r="B49" s="1141"/>
      <c r="C49" s="1138"/>
      <c r="D49" s="1139"/>
      <c r="E49" s="1076"/>
      <c r="F49" s="1076"/>
      <c r="G49" s="1076"/>
      <c r="H49" s="1076"/>
      <c r="I49" s="1076"/>
      <c r="J49" s="1076"/>
      <c r="K49" s="1140"/>
      <c r="L49" s="1140"/>
      <c r="M49" s="1076"/>
    </row>
    <row r="50" spans="2:13" ht="11.25" customHeight="1" x14ac:dyDescent="0.2">
      <c r="B50" s="1142" t="s">
        <v>1716</v>
      </c>
      <c r="C50" s="1138"/>
      <c r="D50" s="1139"/>
      <c r="E50" s="1076"/>
      <c r="F50" s="1076"/>
      <c r="G50" s="1076"/>
      <c r="H50" s="1076"/>
      <c r="I50" s="1076"/>
      <c r="J50" s="1076"/>
      <c r="K50" s="1140"/>
      <c r="L50" s="1140"/>
      <c r="M50" s="1076"/>
    </row>
    <row r="51" spans="2:13" ht="11.25" customHeight="1" x14ac:dyDescent="0.2">
      <c r="B51" s="1076" t="s">
        <v>1568</v>
      </c>
      <c r="G51" s="295"/>
      <c r="H51" s="295"/>
      <c r="I51" s="295"/>
      <c r="J51" s="295"/>
    </row>
    <row r="52" spans="2:13" ht="11.1" customHeight="1" x14ac:dyDescent="0.2">
      <c r="B52" s="1076"/>
      <c r="G52" s="295"/>
      <c r="H52" s="295"/>
      <c r="I52" s="295"/>
      <c r="J52" s="295"/>
    </row>
    <row r="53" spans="2:13" ht="11.1" customHeight="1" x14ac:dyDescent="0.2">
      <c r="B53" s="1076"/>
      <c r="G53" s="295"/>
      <c r="H53" s="295"/>
      <c r="I53" s="295"/>
      <c r="J53" s="295"/>
    </row>
    <row r="54" spans="2:13" ht="13.5" customHeight="1" x14ac:dyDescent="0.2">
      <c r="M54" s="1143"/>
    </row>
    <row r="55" spans="2:13" ht="13.5" customHeight="1" x14ac:dyDescent="0.2">
      <c r="M55" s="1143"/>
    </row>
    <row r="56" spans="2:13" ht="13.5" customHeight="1" x14ac:dyDescent="0.2">
      <c r="M56" s="1143"/>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71"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1"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1157</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v>1</v>
      </c>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2049</v>
      </c>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7" t="s">
        <v>1615</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309</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2049</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2049</v>
      </c>
      <c r="C53" s="174">
        <v>22</v>
      </c>
      <c r="D53" s="242" t="s">
        <v>1444</v>
      </c>
      <c r="E53" s="243"/>
      <c r="F53" s="244"/>
      <c r="G53" s="244" t="s">
        <v>1443</v>
      </c>
      <c r="H53" s="245">
        <v>34335</v>
      </c>
      <c r="I53" s="232" t="s">
        <v>1465</v>
      </c>
    </row>
    <row r="54" spans="1:10" s="176" customFormat="1" x14ac:dyDescent="0.2">
      <c r="A54" s="214"/>
      <c r="B54" s="215" t="s">
        <v>2049</v>
      </c>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t="s">
        <v>2065</v>
      </c>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1311</v>
      </c>
      <c r="B70" s="2180"/>
      <c r="C70" s="2180"/>
      <c r="D70" s="2180"/>
      <c r="E70" s="2181"/>
      <c r="F70" s="2181"/>
      <c r="G70" s="2181"/>
      <c r="H70" s="2181"/>
      <c r="I70" s="218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0"/>
      <c r="J77" s="256" t="s">
        <v>2175</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1308</v>
      </c>
      <c r="B83" s="2182"/>
      <c r="C83" s="2182"/>
      <c r="D83" s="218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3" t="s">
        <v>1987</v>
      </c>
      <c r="B85" s="2193"/>
      <c r="C85" s="2193"/>
      <c r="D85" s="2194"/>
      <c r="E85" s="1543"/>
      <c r="F85" s="1543">
        <v>1</v>
      </c>
      <c r="G85" s="1543"/>
      <c r="H85" s="1543"/>
      <c r="I85" s="1903"/>
      <c r="J85" s="1726">
        <f>SUM(E85:I85)</f>
        <v>1</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1309</v>
      </c>
      <c r="B87" s="271"/>
      <c r="C87" s="272"/>
      <c r="D87" s="269"/>
      <c r="E87" s="264"/>
      <c r="F87" s="264"/>
      <c r="G87" s="264"/>
      <c r="H87" s="264"/>
      <c r="I87" s="265"/>
      <c r="J87" s="1727"/>
    </row>
    <row r="88" spans="1:10" s="176" customFormat="1" ht="13.5" customHeight="1" x14ac:dyDescent="0.2">
      <c r="A88" s="2195" t="s">
        <v>1987</v>
      </c>
      <c r="B88" s="2196"/>
      <c r="C88" s="2196"/>
      <c r="D88" s="2197"/>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1</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2057</v>
      </c>
      <c r="D114" s="217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1318</v>
      </c>
      <c r="D117" s="2175"/>
      <c r="E117" s="2176"/>
      <c r="F117" s="2176"/>
      <c r="G117" s="2176"/>
      <c r="H117" s="2176"/>
      <c r="I117" s="282"/>
    </row>
    <row r="118" spans="1:9" s="176" customFormat="1" ht="24" customHeight="1" x14ac:dyDescent="0.2">
      <c r="A118" s="294"/>
      <c r="B118" s="294"/>
      <c r="C118" s="294"/>
      <c r="D118" s="301" t="s">
        <v>2229</v>
      </c>
      <c r="E118" s="300"/>
      <c r="F118" s="2045"/>
      <c r="G118" s="1472"/>
      <c r="H118" s="300"/>
      <c r="I118" s="282"/>
    </row>
    <row r="119" spans="1:9" s="176" customFormat="1" ht="11.25" customHeight="1" x14ac:dyDescent="0.2">
      <c r="A119" s="303"/>
      <c r="B119" s="303"/>
      <c r="C119" s="304"/>
      <c r="D119" s="305" t="s">
        <v>357</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1A97-3C45-4F87-A99B-9CB5145EB61A}">
  <sheetPr>
    <tabColor rgb="FF00B050"/>
  </sheetPr>
  <dimension ref="B1:N161"/>
  <sheetViews>
    <sheetView showGridLines="0" view="pageBreakPreview" topLeftCell="A7" zoomScale="130" zoomScaleNormal="100" zoomScaleSheetLayoutView="13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Dolton SD 148</v>
      </c>
      <c r="C1" s="2575"/>
      <c r="D1" s="2575"/>
      <c r="E1" s="2575"/>
      <c r="F1" s="2575"/>
      <c r="G1" s="2575"/>
      <c r="H1" s="2575"/>
      <c r="I1" s="2575"/>
      <c r="J1" s="2575"/>
      <c r="K1" s="2575"/>
      <c r="L1" s="2575"/>
      <c r="M1" s="2575"/>
    </row>
    <row r="2" spans="2:14" ht="15" x14ac:dyDescent="0.2">
      <c r="B2" s="2576">
        <f>'Single Audit Cover'!E7</f>
        <v>7016148002</v>
      </c>
      <c r="C2" s="2576"/>
      <c r="D2" s="2576"/>
      <c r="E2" s="2576"/>
      <c r="F2" s="2576"/>
      <c r="G2" s="2576"/>
      <c r="H2" s="2576"/>
      <c r="I2" s="2576"/>
      <c r="J2" s="2576"/>
      <c r="K2" s="2576"/>
      <c r="L2" s="2576"/>
      <c r="M2" s="2576"/>
      <c r="N2" s="1078"/>
    </row>
    <row r="3" spans="2:14" ht="15" x14ac:dyDescent="0.2">
      <c r="B3" s="2577" t="s">
        <v>1207</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4"/>
      <c r="J5" s="1914"/>
    </row>
    <row r="6" spans="2:14" x14ac:dyDescent="0.2">
      <c r="B6" s="1079"/>
      <c r="C6" s="1080"/>
      <c r="D6" s="1081" t="s">
        <v>1253</v>
      </c>
      <c r="E6" s="1082" t="s">
        <v>523</v>
      </c>
      <c r="F6" s="1083"/>
      <c r="G6" s="1084" t="s">
        <v>1709</v>
      </c>
      <c r="H6" s="1082"/>
      <c r="I6" s="1082"/>
      <c r="J6" s="1915"/>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818" t="str">
        <f>"7/1/"&amp;MID('AFR20'!$E$2,3,2)-2&amp;"-6/30/"&amp;MID('AFR20'!$E$2,3,2)-1</f>
        <v>7/1/18-6/30/19</v>
      </c>
      <c r="I8" s="1095" t="s">
        <v>1250</v>
      </c>
      <c r="J8" s="1819" t="str">
        <f>"7/1/"&amp;MID('AFR20'!$E$2,3,2)-1&amp;"-6/30/"&amp;MID('AFR20'!$E$2,3,2)</f>
        <v>7/1/19-6/30/20</v>
      </c>
      <c r="K8" s="1095" t="s">
        <v>1249</v>
      </c>
      <c r="L8" s="1096" t="s">
        <v>1245</v>
      </c>
      <c r="M8" s="1097" t="s">
        <v>30</v>
      </c>
    </row>
    <row r="9" spans="2:14" ht="14.25" x14ac:dyDescent="0.2">
      <c r="B9" s="1101" t="s">
        <v>1247</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1564</v>
      </c>
      <c r="I9" s="1913"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2114</v>
      </c>
      <c r="C11" s="1823"/>
      <c r="D11" s="1824"/>
      <c r="E11" s="1825">
        <v>4785864</v>
      </c>
      <c r="F11" s="1825">
        <v>3992019</v>
      </c>
      <c r="G11" s="1825">
        <v>4780067</v>
      </c>
      <c r="H11" s="1825">
        <v>0</v>
      </c>
      <c r="I11" s="1825">
        <v>3628823</v>
      </c>
      <c r="J11" s="1825">
        <v>0</v>
      </c>
      <c r="K11" s="1825">
        <v>0</v>
      </c>
      <c r="L11" s="1825">
        <v>8408890</v>
      </c>
      <c r="M11" s="1825">
        <v>10037261</v>
      </c>
    </row>
    <row r="12" spans="2:14" ht="20.100000000000001" customHeight="1" x14ac:dyDescent="0.2">
      <c r="B12" s="1113"/>
      <c r="C12" s="1823"/>
      <c r="D12" s="1824"/>
      <c r="E12" s="1825"/>
      <c r="F12" s="1825"/>
      <c r="G12" s="1822"/>
      <c r="H12" s="1822"/>
      <c r="I12" s="1822"/>
      <c r="J12" s="1822"/>
      <c r="K12" s="1822"/>
      <c r="L12" s="1822"/>
      <c r="M12" s="1822"/>
    </row>
    <row r="13" spans="2:14" ht="20.100000000000001" customHeight="1" x14ac:dyDescent="0.2">
      <c r="B13" s="1113" t="s">
        <v>2132</v>
      </c>
      <c r="C13" s="1823"/>
      <c r="D13" s="1824"/>
      <c r="E13" s="1825"/>
      <c r="F13" s="1825"/>
      <c r="G13" s="1825"/>
      <c r="H13" s="1825"/>
      <c r="I13" s="1825"/>
      <c r="J13" s="1825"/>
      <c r="K13" s="1825"/>
      <c r="L13" s="1822"/>
      <c r="M13" s="1825"/>
    </row>
    <row r="14" spans="2:14" ht="20.100000000000001" customHeight="1" x14ac:dyDescent="0.2">
      <c r="B14" s="1113"/>
      <c r="C14" s="1823"/>
      <c r="D14" s="1824"/>
      <c r="E14" s="1825"/>
      <c r="F14" s="1825"/>
      <c r="G14" s="1825"/>
      <c r="H14" s="1825"/>
      <c r="I14" s="1825"/>
      <c r="J14" s="1825"/>
      <c r="K14" s="1825"/>
      <c r="L14" s="1822"/>
      <c r="M14" s="1825"/>
    </row>
    <row r="15" spans="2:14" ht="20.100000000000001" customHeight="1" x14ac:dyDescent="0.2">
      <c r="B15" s="1113" t="s">
        <v>2133</v>
      </c>
      <c r="C15" s="1823"/>
      <c r="D15" s="1824"/>
      <c r="E15" s="1825"/>
      <c r="F15" s="1825"/>
      <c r="G15" s="1825"/>
      <c r="H15" s="1825"/>
      <c r="I15" s="1825"/>
      <c r="J15" s="1825"/>
      <c r="K15" s="1825"/>
      <c r="L15" s="1822"/>
      <c r="M15" s="1825"/>
    </row>
    <row r="16" spans="2:14" ht="20.100000000000001" customHeight="1" x14ac:dyDescent="0.2">
      <c r="B16" s="1113" t="s">
        <v>2110</v>
      </c>
      <c r="C16" s="1823" t="s">
        <v>2111</v>
      </c>
      <c r="D16" s="1824" t="s">
        <v>2112</v>
      </c>
      <c r="E16" s="1825">
        <v>7432</v>
      </c>
      <c r="F16" s="1825">
        <v>0</v>
      </c>
      <c r="G16" s="1825">
        <v>7432</v>
      </c>
      <c r="H16" s="1825">
        <v>0</v>
      </c>
      <c r="I16" s="2044">
        <v>0</v>
      </c>
      <c r="J16" s="1825">
        <v>0</v>
      </c>
      <c r="K16" s="1825">
        <v>0</v>
      </c>
      <c r="L16" s="1822">
        <f t="shared" ref="L16" si="0">+G16+I16+K16</f>
        <v>7432</v>
      </c>
      <c r="M16" s="1825">
        <v>0</v>
      </c>
    </row>
    <row r="17" spans="2:13" ht="20.100000000000001" customHeight="1" x14ac:dyDescent="0.2">
      <c r="B17" s="1113" t="s">
        <v>2134</v>
      </c>
      <c r="C17" s="1823" t="s">
        <v>2111</v>
      </c>
      <c r="D17" s="1824" t="s">
        <v>2135</v>
      </c>
      <c r="E17" s="1825">
        <v>0</v>
      </c>
      <c r="F17" s="1825">
        <v>210996</v>
      </c>
      <c r="G17" s="1825">
        <v>0</v>
      </c>
      <c r="H17" s="1825">
        <v>0</v>
      </c>
      <c r="I17" s="2044">
        <v>210996</v>
      </c>
      <c r="J17" s="1825">
        <v>0</v>
      </c>
      <c r="K17" s="1825">
        <v>0</v>
      </c>
      <c r="L17" s="1822">
        <f t="shared" ref="L17:L27" si="1">+G17+I17+K17</f>
        <v>210996</v>
      </c>
      <c r="M17" s="1825">
        <v>0</v>
      </c>
    </row>
    <row r="18" spans="2:13" ht="20.100000000000001" customHeight="1" x14ac:dyDescent="0.2">
      <c r="B18" s="1113" t="s">
        <v>2134</v>
      </c>
      <c r="C18" s="1823" t="s">
        <v>2111</v>
      </c>
      <c r="D18" s="1824" t="s">
        <v>2136</v>
      </c>
      <c r="E18" s="1825">
        <v>71599</v>
      </c>
      <c r="F18" s="1825">
        <v>0</v>
      </c>
      <c r="G18" s="1825">
        <v>71599</v>
      </c>
      <c r="H18" s="1825">
        <v>0</v>
      </c>
      <c r="I18" s="2044">
        <v>0</v>
      </c>
      <c r="J18" s="1825">
        <v>0</v>
      </c>
      <c r="K18" s="1825">
        <v>0</v>
      </c>
      <c r="L18" s="1822">
        <f t="shared" si="1"/>
        <v>71599</v>
      </c>
      <c r="M18" s="1825">
        <v>0</v>
      </c>
    </row>
    <row r="19" spans="2:13" ht="20.100000000000001" customHeight="1" x14ac:dyDescent="0.2">
      <c r="B19" s="1113" t="s">
        <v>2221</v>
      </c>
      <c r="C19" s="1823"/>
      <c r="D19" s="1824"/>
      <c r="E19" s="1825">
        <f>SUM(E16:E18)</f>
        <v>79031</v>
      </c>
      <c r="F19" s="1825">
        <f t="shared" ref="F19:M19" si="2">SUM(F16:F18)</f>
        <v>210996</v>
      </c>
      <c r="G19" s="1825">
        <f t="shared" si="2"/>
        <v>79031</v>
      </c>
      <c r="H19" s="1825">
        <f t="shared" si="2"/>
        <v>0</v>
      </c>
      <c r="I19" s="2044">
        <f t="shared" si="2"/>
        <v>210996</v>
      </c>
      <c r="J19" s="1825">
        <f t="shared" si="2"/>
        <v>0</v>
      </c>
      <c r="K19" s="1825">
        <f t="shared" si="2"/>
        <v>0</v>
      </c>
      <c r="L19" s="1825">
        <f t="shared" si="2"/>
        <v>290027</v>
      </c>
      <c r="M19" s="1825">
        <f t="shared" si="2"/>
        <v>0</v>
      </c>
    </row>
    <row r="20" spans="2:13" ht="20.100000000000001" customHeight="1" x14ac:dyDescent="0.2">
      <c r="B20" s="1113"/>
      <c r="C20" s="1823"/>
      <c r="D20" s="1824"/>
      <c r="E20" s="1825"/>
      <c r="F20" s="1825"/>
      <c r="G20" s="1825"/>
      <c r="H20" s="1825"/>
      <c r="I20" s="2044"/>
      <c r="J20" s="1825"/>
      <c r="K20" s="1825"/>
      <c r="L20" s="1822"/>
      <c r="M20" s="1825"/>
    </row>
    <row r="21" spans="2:13" ht="20.100000000000001" customHeight="1" x14ac:dyDescent="0.2">
      <c r="B21" s="1113" t="s">
        <v>2137</v>
      </c>
      <c r="C21" s="1823"/>
      <c r="D21" s="1824"/>
      <c r="E21" s="1825">
        <f>E19</f>
        <v>79031</v>
      </c>
      <c r="F21" s="1825">
        <f t="shared" ref="F21:M21" si="3">F19</f>
        <v>210996</v>
      </c>
      <c r="G21" s="1825">
        <f t="shared" si="3"/>
        <v>79031</v>
      </c>
      <c r="H21" s="1825">
        <f t="shared" si="3"/>
        <v>0</v>
      </c>
      <c r="I21" s="2044">
        <f t="shared" si="3"/>
        <v>210996</v>
      </c>
      <c r="J21" s="1825">
        <f t="shared" si="3"/>
        <v>0</v>
      </c>
      <c r="K21" s="1825">
        <f t="shared" si="3"/>
        <v>0</v>
      </c>
      <c r="L21" s="1825">
        <f t="shared" si="3"/>
        <v>290027</v>
      </c>
      <c r="M21" s="1825">
        <f t="shared" si="3"/>
        <v>0</v>
      </c>
    </row>
    <row r="22" spans="2:13" ht="20.100000000000001" customHeight="1" x14ac:dyDescent="0.2">
      <c r="B22" s="1113"/>
      <c r="C22" s="1823"/>
      <c r="D22" s="1824"/>
      <c r="E22" s="1825"/>
      <c r="F22" s="1825"/>
      <c r="G22" s="1825"/>
      <c r="H22" s="1825"/>
      <c r="I22" s="2044"/>
      <c r="J22" s="1825"/>
      <c r="K22" s="1825"/>
      <c r="L22" s="1822"/>
      <c r="M22" s="1825"/>
    </row>
    <row r="23" spans="2:13" ht="20.100000000000001" customHeight="1" x14ac:dyDescent="0.2">
      <c r="B23" s="1113" t="s">
        <v>2138</v>
      </c>
      <c r="C23" s="1823"/>
      <c r="D23" s="1824"/>
      <c r="E23" s="1825"/>
      <c r="F23" s="1825"/>
      <c r="G23" s="1825"/>
      <c r="H23" s="1825"/>
      <c r="I23" s="2044"/>
      <c r="J23" s="1825"/>
      <c r="K23" s="1825"/>
      <c r="L23" s="1822"/>
      <c r="M23" s="1825"/>
    </row>
    <row r="24" spans="2:13" ht="20.100000000000001" customHeight="1" x14ac:dyDescent="0.2">
      <c r="B24" s="1113"/>
      <c r="C24" s="1823"/>
      <c r="D24" s="1824"/>
      <c r="E24" s="1825"/>
      <c r="F24" s="1825"/>
      <c r="G24" s="1825"/>
      <c r="H24" s="1825"/>
      <c r="I24" s="2044"/>
      <c r="J24" s="1825"/>
      <c r="K24" s="1825"/>
      <c r="L24" s="1822"/>
      <c r="M24" s="1825"/>
    </row>
    <row r="25" spans="2:13" ht="20.100000000000001" customHeight="1" x14ac:dyDescent="0.2">
      <c r="B25" s="1113" t="s">
        <v>2224</v>
      </c>
      <c r="C25" s="1823"/>
      <c r="D25" s="1824"/>
      <c r="E25" s="1825"/>
      <c r="F25" s="1825"/>
      <c r="G25" s="1825"/>
      <c r="H25" s="1825"/>
      <c r="I25" s="2044"/>
      <c r="J25" s="1825"/>
      <c r="K25" s="1825"/>
      <c r="L25" s="1822"/>
      <c r="M25" s="1825"/>
    </row>
    <row r="26" spans="2:13" ht="20.100000000000001" customHeight="1" x14ac:dyDescent="0.2">
      <c r="B26" s="1113" t="s">
        <v>2139</v>
      </c>
      <c r="C26" s="1823">
        <v>93.778000000000006</v>
      </c>
      <c r="D26" s="1824">
        <v>2020</v>
      </c>
      <c r="E26" s="1825">
        <v>0</v>
      </c>
      <c r="F26" s="1825">
        <v>53874</v>
      </c>
      <c r="G26" s="1825">
        <v>0</v>
      </c>
      <c r="H26" s="1825">
        <v>0</v>
      </c>
      <c r="I26" s="2044">
        <v>53874</v>
      </c>
      <c r="J26" s="1825">
        <v>0</v>
      </c>
      <c r="K26" s="1825">
        <v>0</v>
      </c>
      <c r="L26" s="1822">
        <f t="shared" si="1"/>
        <v>53874</v>
      </c>
      <c r="M26" s="1825">
        <v>0</v>
      </c>
    </row>
    <row r="27" spans="2:13" ht="20.100000000000001" customHeight="1" x14ac:dyDescent="0.2">
      <c r="B27" s="1113" t="s">
        <v>2139</v>
      </c>
      <c r="C27" s="1823">
        <v>93.778000000000006</v>
      </c>
      <c r="D27" s="1824">
        <v>2019</v>
      </c>
      <c r="E27" s="1825">
        <v>11252</v>
      </c>
      <c r="F27" s="1825">
        <v>0</v>
      </c>
      <c r="G27" s="1825">
        <v>11252</v>
      </c>
      <c r="H27" s="1825">
        <v>0</v>
      </c>
      <c r="I27" s="1825">
        <v>0</v>
      </c>
      <c r="J27" s="1825">
        <v>0</v>
      </c>
      <c r="K27" s="1825">
        <v>0</v>
      </c>
      <c r="L27" s="1822">
        <f t="shared" si="1"/>
        <v>11252</v>
      </c>
      <c r="M27" s="1825">
        <v>0</v>
      </c>
    </row>
    <row r="28" spans="2:13" ht="20.100000000000001" customHeight="1" x14ac:dyDescent="0.2">
      <c r="B28" s="1113" t="s">
        <v>2225</v>
      </c>
      <c r="C28" s="1823"/>
      <c r="D28" s="1824"/>
      <c r="E28" s="1825">
        <f>SUM(E26:E27)</f>
        <v>11252</v>
      </c>
      <c r="F28" s="1825">
        <f t="shared" ref="F28:M28" si="4">SUM(F26:F27)</f>
        <v>53874</v>
      </c>
      <c r="G28" s="1825">
        <f t="shared" si="4"/>
        <v>11252</v>
      </c>
      <c r="H28" s="1825">
        <f t="shared" si="4"/>
        <v>0</v>
      </c>
      <c r="I28" s="1825">
        <f t="shared" si="4"/>
        <v>53874</v>
      </c>
      <c r="J28" s="1825">
        <f t="shared" si="4"/>
        <v>0</v>
      </c>
      <c r="K28" s="1825">
        <f t="shared" si="4"/>
        <v>0</v>
      </c>
      <c r="L28" s="1825">
        <f t="shared" si="4"/>
        <v>65126</v>
      </c>
      <c r="M28" s="1825">
        <f t="shared" si="4"/>
        <v>0</v>
      </c>
    </row>
    <row r="29" spans="2:13" ht="20.100000000000001" customHeight="1" x14ac:dyDescent="0.2">
      <c r="B29" s="1113"/>
      <c r="C29" s="1823"/>
      <c r="D29" s="1824"/>
      <c r="E29" s="1825"/>
      <c r="F29" s="1825"/>
      <c r="G29" s="1825"/>
      <c r="H29" s="1825"/>
      <c r="I29" s="1825"/>
      <c r="J29" s="1825"/>
      <c r="K29" s="1825"/>
      <c r="L29" s="1822"/>
      <c r="M29" s="1825"/>
    </row>
    <row r="30" spans="2:13" ht="20.100000000000001" customHeight="1" x14ac:dyDescent="0.2">
      <c r="B30" s="1113" t="s">
        <v>2140</v>
      </c>
      <c r="C30" s="1823"/>
      <c r="D30" s="1824"/>
      <c r="E30" s="1825">
        <f>E28</f>
        <v>11252</v>
      </c>
      <c r="F30" s="1825">
        <f t="shared" ref="F30:M30" si="5">F28</f>
        <v>53874</v>
      </c>
      <c r="G30" s="1825">
        <f t="shared" si="5"/>
        <v>11252</v>
      </c>
      <c r="H30" s="1825">
        <f t="shared" si="5"/>
        <v>0</v>
      </c>
      <c r="I30" s="1825">
        <f t="shared" si="5"/>
        <v>53874</v>
      </c>
      <c r="J30" s="1825">
        <f t="shared" si="5"/>
        <v>0</v>
      </c>
      <c r="K30" s="1825">
        <f t="shared" si="5"/>
        <v>0</v>
      </c>
      <c r="L30" s="1825">
        <f t="shared" si="5"/>
        <v>65126</v>
      </c>
      <c r="M30" s="1825">
        <f t="shared" si="5"/>
        <v>0</v>
      </c>
    </row>
    <row r="31" spans="2:13" ht="20.100000000000001" customHeight="1" x14ac:dyDescent="0.2">
      <c r="B31" s="1113"/>
      <c r="C31" s="1823"/>
      <c r="D31" s="1824"/>
      <c r="E31" s="1825"/>
      <c r="F31" s="1825"/>
      <c r="G31" s="1825"/>
      <c r="H31" s="1825"/>
      <c r="I31" s="1825"/>
      <c r="J31" s="1825"/>
      <c r="K31" s="1825"/>
      <c r="L31" s="1822"/>
      <c r="M31" s="1825"/>
    </row>
    <row r="32" spans="2:13" ht="20.100000000000001" customHeight="1" x14ac:dyDescent="0.2">
      <c r="B32" s="1113"/>
      <c r="C32" s="1823"/>
      <c r="D32" s="1824"/>
      <c r="E32" s="1825"/>
      <c r="F32" s="1825"/>
      <c r="G32" s="1825"/>
      <c r="H32" s="1825"/>
      <c r="I32" s="1825"/>
      <c r="J32" s="1825"/>
      <c r="K32" s="1825"/>
      <c r="L32" s="1822"/>
      <c r="M32" s="1825"/>
    </row>
    <row r="33" spans="2:14" ht="20.100000000000001" customHeight="1" x14ac:dyDescent="0.2">
      <c r="B33" s="1113"/>
      <c r="C33" s="1823"/>
      <c r="D33" s="1824"/>
      <c r="E33" s="1825"/>
      <c r="F33" s="1825"/>
      <c r="G33" s="1825"/>
      <c r="H33" s="1825"/>
      <c r="I33" s="1825"/>
      <c r="J33" s="1825"/>
      <c r="K33" s="1825"/>
      <c r="L33" s="1822"/>
      <c r="M33" s="1825"/>
    </row>
    <row r="34" spans="2:14" ht="20.100000000000001" customHeight="1" x14ac:dyDescent="0.2">
      <c r="B34" s="1113"/>
      <c r="C34" s="1823"/>
      <c r="D34" s="1824"/>
      <c r="E34" s="1825"/>
      <c r="F34" s="1825"/>
      <c r="G34" s="1825"/>
      <c r="H34" s="1825"/>
      <c r="I34" s="1825"/>
      <c r="J34" s="1825"/>
      <c r="K34" s="1825"/>
      <c r="L34" s="1822"/>
      <c r="M34" s="1825"/>
    </row>
    <row r="35" spans="2:14" ht="20.100000000000001" customHeight="1" x14ac:dyDescent="0.2">
      <c r="B35" s="1113"/>
      <c r="C35" s="1823"/>
      <c r="D35" s="1824"/>
      <c r="E35" s="1825"/>
      <c r="F35" s="1825"/>
      <c r="G35" s="1825"/>
      <c r="H35" s="1825"/>
      <c r="I35" s="1825"/>
      <c r="J35" s="1825"/>
      <c r="K35" s="1825"/>
      <c r="L35" s="1822"/>
      <c r="M35" s="1825"/>
    </row>
    <row r="36" spans="2:14" ht="20.100000000000001" customHeight="1" x14ac:dyDescent="0.2">
      <c r="B36" s="1113" t="s">
        <v>2141</v>
      </c>
      <c r="C36" s="1823"/>
      <c r="D36" s="1824"/>
      <c r="E36" s="1825">
        <f t="shared" ref="E36:M36" si="6">E11+E21+E30</f>
        <v>4876147</v>
      </c>
      <c r="F36" s="1825">
        <f t="shared" si="6"/>
        <v>4256889</v>
      </c>
      <c r="G36" s="1825">
        <f t="shared" si="6"/>
        <v>4870350</v>
      </c>
      <c r="H36" s="1825">
        <f t="shared" si="6"/>
        <v>0</v>
      </c>
      <c r="I36" s="1825">
        <f t="shared" si="6"/>
        <v>3893693</v>
      </c>
      <c r="J36" s="1825">
        <f t="shared" si="6"/>
        <v>0</v>
      </c>
      <c r="K36" s="1825">
        <f t="shared" si="6"/>
        <v>0</v>
      </c>
      <c r="L36" s="1825">
        <f t="shared" si="6"/>
        <v>8764043</v>
      </c>
      <c r="M36" s="1825">
        <f t="shared" si="6"/>
        <v>10037261</v>
      </c>
      <c r="N36" s="1114"/>
    </row>
    <row r="37" spans="2:14" ht="12.75" customHeight="1" x14ac:dyDescent="0.2">
      <c r="B37" s="1115"/>
      <c r="C37" s="1116"/>
      <c r="D37" s="1117"/>
      <c r="E37" s="1118"/>
      <c r="F37" s="1118"/>
      <c r="G37" s="1118"/>
      <c r="H37" s="1118"/>
      <c r="I37" s="1118"/>
      <c r="J37" s="1118"/>
      <c r="K37" s="1118"/>
      <c r="L37" s="1118"/>
      <c r="M37" s="1118"/>
      <c r="N37" s="1114"/>
    </row>
    <row r="38" spans="2:14" x14ac:dyDescent="0.2">
      <c r="B38" s="1033"/>
      <c r="C38" s="1119"/>
      <c r="D38" s="1120"/>
      <c r="E38" s="1033"/>
      <c r="F38" s="1033"/>
      <c r="G38" s="1026"/>
      <c r="H38" s="1026"/>
      <c r="I38" s="1026"/>
      <c r="J38" s="1026"/>
      <c r="K38" s="1026"/>
      <c r="L38" s="1026"/>
      <c r="M38" s="1033"/>
      <c r="N38" s="1114"/>
    </row>
    <row r="39" spans="2:14" ht="13.5" customHeight="1" x14ac:dyDescent="0.2">
      <c r="B39" s="1058" t="s">
        <v>1712</v>
      </c>
      <c r="C39" s="1119"/>
      <c r="D39" s="1120"/>
      <c r="E39" s="1033"/>
      <c r="F39" s="1033"/>
      <c r="G39" s="1026"/>
      <c r="H39" s="1026"/>
      <c r="I39" s="1026"/>
      <c r="J39" s="1026"/>
      <c r="K39" s="1026"/>
      <c r="L39" s="1026"/>
      <c r="M39" s="1033"/>
      <c r="N39" s="1114"/>
    </row>
    <row r="40" spans="2:14" ht="8.25" customHeight="1" x14ac:dyDescent="0.2">
      <c r="B40" s="1058"/>
      <c r="C40" s="1119"/>
      <c r="D40" s="1120"/>
      <c r="E40" s="1033"/>
      <c r="F40" s="1033"/>
      <c r="G40" s="1026"/>
      <c r="H40" s="1026"/>
      <c r="I40" s="1026"/>
      <c r="J40" s="1026"/>
      <c r="K40" s="1026"/>
      <c r="L40" s="1026"/>
      <c r="M40" s="1033"/>
      <c r="N40" s="1114"/>
    </row>
    <row r="41" spans="2:14" x14ac:dyDescent="0.2">
      <c r="B41" s="1121" t="s">
        <v>1810</v>
      </c>
      <c r="C41" s="1122"/>
      <c r="D41" s="1123"/>
      <c r="E41" s="1124"/>
      <c r="F41" s="1124"/>
      <c r="G41" s="1124"/>
      <c r="H41" s="1124"/>
      <c r="I41" s="295"/>
      <c r="J41" s="295"/>
    </row>
    <row r="42" spans="2:14" x14ac:dyDescent="0.2">
      <c r="B42" s="1053"/>
      <c r="C42" s="1125"/>
      <c r="D42" s="1126"/>
      <c r="E42" s="1054"/>
      <c r="F42" s="1054"/>
      <c r="G42" s="295"/>
      <c r="H42" s="295"/>
      <c r="I42" s="295"/>
      <c r="J42" s="295"/>
    </row>
    <row r="43" spans="2:14" ht="13.5" customHeight="1" x14ac:dyDescent="0.2">
      <c r="B43" s="1052" t="s">
        <v>1234</v>
      </c>
      <c r="G43" s="295"/>
      <c r="H43" s="295"/>
      <c r="I43" s="295"/>
      <c r="J43" s="295"/>
    </row>
    <row r="44" spans="2:14" ht="13.5" customHeight="1" x14ac:dyDescent="0.2">
      <c r="B44" s="1129"/>
      <c r="C44" s="1130"/>
      <c r="D44" s="1131"/>
      <c r="E44" s="1073"/>
      <c r="F44" s="1073"/>
      <c r="G44" s="1073"/>
      <c r="H44" s="1073"/>
      <c r="I44" s="1073"/>
      <c r="J44" s="1073"/>
      <c r="K44" s="1132"/>
      <c r="L44" s="1132"/>
      <c r="M44" s="1073"/>
    </row>
    <row r="45" spans="2:14" ht="9.6" customHeight="1" x14ac:dyDescent="0.2">
      <c r="B45" s="1133"/>
      <c r="G45" s="295"/>
      <c r="H45" s="295"/>
      <c r="I45" s="295"/>
      <c r="J45" s="295"/>
    </row>
    <row r="46" spans="2:14" ht="11.25" customHeight="1" x14ac:dyDescent="0.2">
      <c r="B46" s="1134" t="s">
        <v>1713</v>
      </c>
      <c r="C46" s="1135"/>
      <c r="D46" s="1135"/>
      <c r="E46" s="1135"/>
      <c r="F46" s="1135"/>
      <c r="G46" s="1135"/>
      <c r="H46" s="1135"/>
      <c r="I46" s="1136"/>
      <c r="J46" s="1136"/>
      <c r="K46" s="1136"/>
      <c r="L46" s="1136"/>
      <c r="M46" s="1136"/>
    </row>
    <row r="47" spans="2:14" ht="11.25" customHeight="1" x14ac:dyDescent="0.2">
      <c r="B47" s="1137" t="s">
        <v>1566</v>
      </c>
      <c r="C47" s="1136"/>
      <c r="D47" s="1136"/>
      <c r="E47" s="1136"/>
      <c r="F47" s="1136"/>
      <c r="G47" s="1136"/>
      <c r="H47" s="1136"/>
      <c r="I47" s="1136"/>
      <c r="J47" s="1136"/>
      <c r="K47" s="1136"/>
      <c r="L47" s="1136"/>
      <c r="M47" s="1136"/>
    </row>
    <row r="48" spans="2:14" ht="3.95" customHeight="1" x14ac:dyDescent="0.2">
      <c r="B48" s="1137"/>
      <c r="C48" s="1136"/>
      <c r="D48" s="1136"/>
      <c r="E48" s="1136"/>
      <c r="F48" s="1136"/>
      <c r="G48" s="1136"/>
      <c r="H48" s="1136"/>
      <c r="I48" s="1136"/>
      <c r="J48" s="1136"/>
      <c r="K48" s="1136"/>
      <c r="L48" s="1136"/>
      <c r="M48" s="1136"/>
    </row>
    <row r="49" spans="2:13" ht="11.25" customHeight="1" x14ac:dyDescent="0.2">
      <c r="B49" s="1134" t="s">
        <v>1714</v>
      </c>
      <c r="C49" s="1136"/>
      <c r="D49" s="1136"/>
      <c r="E49" s="1136"/>
      <c r="F49" s="1136"/>
      <c r="G49" s="1136"/>
      <c r="H49" s="1136"/>
      <c r="I49" s="1136"/>
      <c r="J49" s="1136"/>
      <c r="K49" s="1136"/>
      <c r="L49" s="1136"/>
      <c r="M49" s="1136"/>
    </row>
    <row r="50" spans="2:13" ht="11.25" customHeight="1" x14ac:dyDescent="0.2">
      <c r="B50" s="1076" t="s">
        <v>1567</v>
      </c>
      <c r="C50" s="1138"/>
      <c r="D50" s="1139"/>
      <c r="E50" s="1076"/>
      <c r="F50" s="1076"/>
      <c r="G50" s="1076"/>
      <c r="H50" s="1076"/>
      <c r="I50" s="1076"/>
      <c r="J50" s="1076"/>
      <c r="K50" s="1140"/>
      <c r="L50" s="1140"/>
      <c r="M50" s="1076"/>
    </row>
    <row r="51" spans="2:13" ht="3.95" customHeight="1" x14ac:dyDescent="0.2">
      <c r="B51" s="1076"/>
      <c r="C51" s="1138"/>
      <c r="D51" s="1139"/>
      <c r="E51" s="1076"/>
      <c r="F51" s="1076"/>
      <c r="G51" s="1076"/>
      <c r="H51" s="1076"/>
      <c r="I51" s="1076"/>
      <c r="J51" s="1076"/>
      <c r="K51" s="1140"/>
      <c r="L51" s="1140"/>
      <c r="M51" s="1076"/>
    </row>
    <row r="52" spans="2:13" ht="11.25" customHeight="1" x14ac:dyDescent="0.2">
      <c r="B52" s="1141" t="s">
        <v>1715</v>
      </c>
      <c r="C52" s="1138"/>
      <c r="D52" s="1139"/>
      <c r="E52" s="1076"/>
      <c r="F52" s="1076"/>
      <c r="G52" s="1076"/>
      <c r="H52" s="1076"/>
      <c r="I52" s="1076"/>
      <c r="J52" s="1076"/>
      <c r="K52" s="1140"/>
      <c r="L52" s="1140"/>
      <c r="M52" s="1076"/>
    </row>
    <row r="53" spans="2:13" ht="3.95" customHeight="1" x14ac:dyDescent="0.2">
      <c r="B53" s="1141"/>
      <c r="C53" s="1138"/>
      <c r="D53" s="1139"/>
      <c r="E53" s="1076"/>
      <c r="F53" s="1076"/>
      <c r="G53" s="1076"/>
      <c r="H53" s="1076"/>
      <c r="I53" s="1076"/>
      <c r="J53" s="1076"/>
      <c r="K53" s="1140"/>
      <c r="L53" s="1140"/>
      <c r="M53" s="1076"/>
    </row>
    <row r="54" spans="2:13" ht="11.25" customHeight="1" x14ac:dyDescent="0.2">
      <c r="B54" s="1142" t="s">
        <v>1716</v>
      </c>
      <c r="C54" s="1138"/>
      <c r="D54" s="1139"/>
      <c r="E54" s="1076"/>
      <c r="F54" s="1076"/>
      <c r="G54" s="1076"/>
      <c r="H54" s="1076"/>
      <c r="I54" s="1076"/>
      <c r="J54" s="1076"/>
      <c r="K54" s="1140"/>
      <c r="L54" s="1140"/>
      <c r="M54" s="1076"/>
    </row>
    <row r="55" spans="2:13" ht="11.25" customHeight="1" x14ac:dyDescent="0.2">
      <c r="B55" s="1076" t="s">
        <v>1568</v>
      </c>
      <c r="G55" s="295"/>
      <c r="H55" s="295"/>
      <c r="I55" s="295"/>
      <c r="J55" s="295"/>
    </row>
    <row r="56" spans="2:13" ht="11.1" customHeight="1" x14ac:dyDescent="0.2">
      <c r="B56" s="1076"/>
      <c r="G56" s="295"/>
      <c r="H56" s="295"/>
      <c r="I56" s="295"/>
      <c r="J56" s="295"/>
    </row>
    <row r="57" spans="2:13" ht="11.1" customHeight="1" x14ac:dyDescent="0.2">
      <c r="B57" s="1076"/>
      <c r="G57" s="295"/>
      <c r="H57" s="295"/>
      <c r="I57" s="295"/>
      <c r="J57" s="295"/>
    </row>
    <row r="58" spans="2:13" ht="13.5" customHeight="1" x14ac:dyDescent="0.2">
      <c r="M58" s="1143"/>
    </row>
    <row r="59" spans="2:13" ht="13.5" customHeight="1" x14ac:dyDescent="0.2">
      <c r="M59" s="1143"/>
    </row>
    <row r="60" spans="2:13" ht="13.5" customHeight="1" x14ac:dyDescent="0.2">
      <c r="M60" s="1143"/>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c r="G64" s="295"/>
      <c r="H64" s="295"/>
      <c r="I64" s="295"/>
      <c r="J64" s="295"/>
    </row>
    <row r="65" spans="7:10" ht="13.5" customHeight="1" x14ac:dyDescent="0.2">
      <c r="G65" s="295"/>
      <c r="H65" s="295"/>
      <c r="I65" s="295"/>
      <c r="J65" s="295"/>
    </row>
    <row r="66" spans="7:10" ht="13.5" customHeight="1" x14ac:dyDescent="0.2">
      <c r="G66" s="295"/>
      <c r="H66" s="295"/>
      <c r="I66" s="295"/>
      <c r="J66" s="295"/>
    </row>
    <row r="67" spans="7:10" ht="13.5" customHeight="1" x14ac:dyDescent="0.2">
      <c r="G67" s="295"/>
      <c r="H67" s="295"/>
      <c r="I67" s="295"/>
      <c r="J67" s="295"/>
    </row>
    <row r="68" spans="7:10" ht="13.5" customHeight="1" x14ac:dyDescent="0.2"/>
    <row r="69" spans="7:10" ht="13.5" customHeight="1" x14ac:dyDescent="0.2"/>
    <row r="70" spans="7:10" ht="13.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4.7" customHeight="1" x14ac:dyDescent="0.2"/>
    <row r="121" ht="12.2"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4.7" customHeight="1" x14ac:dyDescent="0.2"/>
    <row r="161" ht="12.2" customHeight="1" x14ac:dyDescent="0.2"/>
  </sheetData>
  <mergeCells count="4">
    <mergeCell ref="B1:M1"/>
    <mergeCell ref="B2:M2"/>
    <mergeCell ref="B3:M3"/>
    <mergeCell ref="B4:M4"/>
  </mergeCells>
  <pageMargins left="0.09" right="0" top="0.5" bottom="0.5" header="0.25" footer="0.25"/>
  <pageSetup scale="6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view="pageBreakPreview" zoomScaleNormal="85" zoomScaleSheetLayoutView="100" workbookViewId="0"/>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Dolton SD 148</v>
      </c>
      <c r="B1" s="2580"/>
      <c r="C1" s="2580"/>
      <c r="D1" s="2580"/>
      <c r="E1" s="2580"/>
      <c r="F1" s="2580"/>
    </row>
    <row r="2" spans="1:7" ht="13.5" customHeight="1" x14ac:dyDescent="0.2">
      <c r="A2" s="2576">
        <f>'Single Audit Cover'!E7</f>
        <v>7016148002</v>
      </c>
      <c r="B2" s="2576"/>
      <c r="C2" s="2576"/>
      <c r="D2" s="2576"/>
      <c r="E2" s="2576"/>
      <c r="F2" s="2576"/>
      <c r="G2" s="1051"/>
    </row>
    <row r="3" spans="1:7" ht="15.75" customHeight="1" x14ac:dyDescent="0.2">
      <c r="A3" s="2581" t="s">
        <v>1259</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1704</v>
      </c>
      <c r="C6" s="295"/>
      <c r="D6" s="295"/>
    </row>
    <row r="7" spans="1:7" ht="60.95" customHeight="1" x14ac:dyDescent="0.2">
      <c r="A7" s="2579" t="s">
        <v>2142</v>
      </c>
      <c r="B7" s="2579"/>
      <c r="C7" s="2579"/>
      <c r="D7" s="2579"/>
      <c r="E7" s="2579"/>
      <c r="F7" s="2579"/>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2049</v>
      </c>
      <c r="F10" s="1056" t="s">
        <v>99</v>
      </c>
      <c r="G10" s="1054"/>
    </row>
    <row r="11" spans="1:7" ht="12" customHeight="1" x14ac:dyDescent="0.2">
      <c r="A11" s="1055"/>
      <c r="B11" s="1056"/>
      <c r="C11" s="1524"/>
      <c r="D11" s="1056"/>
      <c r="E11" s="1524"/>
      <c r="F11" s="1056"/>
      <c r="G11" s="1054"/>
    </row>
    <row r="12" spans="1:7" x14ac:dyDescent="0.2">
      <c r="A12" s="1052" t="s">
        <v>1569</v>
      </c>
      <c r="C12" s="1036"/>
      <c r="D12" s="1036"/>
    </row>
    <row r="13" spans="1:7" ht="15" customHeight="1" x14ac:dyDescent="0.2">
      <c r="A13" s="2579" t="s">
        <v>1706</v>
      </c>
      <c r="B13" s="2579"/>
      <c r="C13" s="2579"/>
      <c r="D13" s="2579"/>
      <c r="E13" s="2579"/>
      <c r="F13" s="2579"/>
    </row>
    <row r="14" spans="1:7" ht="9.75" customHeight="1" x14ac:dyDescent="0.2">
      <c r="C14" s="1036"/>
      <c r="D14" s="1036"/>
    </row>
    <row r="15" spans="1:7" ht="13.5" customHeight="1" x14ac:dyDescent="0.2">
      <c r="C15" s="1475" t="s">
        <v>1258</v>
      </c>
      <c r="D15" s="2584" t="s">
        <v>1257</v>
      </c>
      <c r="E15" s="2584"/>
      <c r="F15" s="2584"/>
    </row>
    <row r="16" spans="1:7" ht="13.5" customHeight="1" x14ac:dyDescent="0.2">
      <c r="A16" s="1058"/>
      <c r="B16" s="1052" t="s">
        <v>1256</v>
      </c>
      <c r="C16" s="1475" t="s">
        <v>1255</v>
      </c>
      <c r="D16" s="2585" t="s">
        <v>1570</v>
      </c>
      <c r="E16" s="2585"/>
      <c r="F16" s="2585"/>
    </row>
    <row r="17" spans="1:6" ht="20.45" customHeight="1" x14ac:dyDescent="0.2">
      <c r="A17" s="1059"/>
      <c r="B17" s="1060" t="s">
        <v>2080</v>
      </c>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5"/>
      <c r="E30" s="1062"/>
    </row>
    <row r="31" spans="1:6" ht="12" customHeight="1" x14ac:dyDescent="0.2">
      <c r="A31" s="1063" t="s">
        <v>1531</v>
      </c>
      <c r="B31" s="306"/>
      <c r="C31" s="1233"/>
      <c r="D31" s="1525"/>
      <c r="E31" s="1062"/>
    </row>
    <row r="32" spans="1:6" ht="30" customHeight="1" x14ac:dyDescent="0.2">
      <c r="A32" s="2587" t="s">
        <v>1707</v>
      </c>
      <c r="B32" s="2587"/>
      <c r="C32" s="2587"/>
      <c r="D32" s="2587"/>
      <c r="E32" s="2587"/>
      <c r="F32" s="2587"/>
    </row>
    <row r="33" spans="1:6" ht="13.5" customHeight="1" x14ac:dyDescent="0.2">
      <c r="A33" s="306" t="s">
        <v>1416</v>
      </c>
      <c r="B33" s="306"/>
      <c r="C33" s="1064">
        <f>' SEFA (2)'!I21</f>
        <v>110094</v>
      </c>
      <c r="D33" s="1525"/>
      <c r="E33" s="1062"/>
    </row>
    <row r="34" spans="1:6" ht="13.5" customHeight="1" x14ac:dyDescent="0.2">
      <c r="A34" s="306" t="s">
        <v>1809</v>
      </c>
      <c r="B34" s="306"/>
      <c r="C34" s="1065">
        <v>0</v>
      </c>
      <c r="D34" s="1525" t="s">
        <v>1571</v>
      </c>
      <c r="E34" s="2588">
        <f>+C33+C34</f>
        <v>110094</v>
      </c>
      <c r="F34" s="2589"/>
    </row>
    <row r="35" spans="1:6" ht="12" customHeight="1" x14ac:dyDescent="0.2">
      <c r="A35" s="306"/>
      <c r="B35" s="306"/>
      <c r="C35" s="1526"/>
      <c r="D35" s="1525"/>
      <c r="E35" s="1066"/>
      <c r="F35" s="1067"/>
    </row>
    <row r="36" spans="1:6" ht="13.5" customHeight="1" x14ac:dyDescent="0.2">
      <c r="A36" s="1063" t="s">
        <v>1532</v>
      </c>
      <c r="B36" s="306"/>
      <c r="C36" s="1233"/>
      <c r="D36" s="1525"/>
      <c r="E36" s="1062"/>
    </row>
    <row r="37" spans="1:6" ht="14.25" customHeight="1" x14ac:dyDescent="0.2">
      <c r="A37" s="306" t="s">
        <v>1466</v>
      </c>
      <c r="B37" s="306"/>
      <c r="C37" s="1527"/>
      <c r="D37" s="1525"/>
      <c r="E37" s="1062"/>
    </row>
    <row r="38" spans="1:6" ht="14.25" customHeight="1" x14ac:dyDescent="0.2">
      <c r="A38" s="306"/>
      <c r="B38" s="306" t="s">
        <v>1417</v>
      </c>
      <c r="C38" s="1068" t="s">
        <v>379</v>
      </c>
      <c r="D38" s="1525"/>
      <c r="E38" s="1062"/>
    </row>
    <row r="39" spans="1:6" ht="14.25" customHeight="1" x14ac:dyDescent="0.2">
      <c r="A39" s="306"/>
      <c r="B39" s="306" t="s">
        <v>1418</v>
      </c>
      <c r="C39" s="1068" t="s">
        <v>379</v>
      </c>
      <c r="D39" s="1525"/>
      <c r="E39" s="1062"/>
    </row>
    <row r="40" spans="1:6" ht="14.25" customHeight="1" x14ac:dyDescent="0.2">
      <c r="A40" s="306"/>
      <c r="B40" s="306" t="s">
        <v>1419</v>
      </c>
      <c r="C40" s="1068" t="s">
        <v>379</v>
      </c>
      <c r="D40" s="1525"/>
      <c r="E40" s="1062"/>
    </row>
    <row r="41" spans="1:6" ht="14.25" customHeight="1" x14ac:dyDescent="0.2">
      <c r="A41" s="306"/>
      <c r="B41" s="306" t="s">
        <v>1420</v>
      </c>
      <c r="C41" s="1068" t="s">
        <v>379</v>
      </c>
      <c r="D41" s="1525"/>
      <c r="E41" s="1062"/>
    </row>
    <row r="42" spans="1:6" ht="14.25" customHeight="1" x14ac:dyDescent="0.2">
      <c r="A42" s="306" t="s">
        <v>1421</v>
      </c>
      <c r="B42" s="306"/>
      <c r="C42" s="1523" t="s">
        <v>379</v>
      </c>
      <c r="D42" s="1525"/>
      <c r="E42" s="1062"/>
    </row>
    <row r="43" spans="1:6" ht="14.25" customHeight="1" x14ac:dyDescent="0.2">
      <c r="A43" s="306" t="s">
        <v>1422</v>
      </c>
      <c r="B43" s="306"/>
      <c r="C43" s="1069" t="s">
        <v>379</v>
      </c>
      <c r="D43" s="1525"/>
      <c r="E43" s="1062"/>
    </row>
    <row r="44" spans="1:6" ht="14.25" customHeight="1" x14ac:dyDescent="0.2">
      <c r="A44" s="306"/>
      <c r="B44" s="306"/>
      <c r="C44" s="1527" t="s">
        <v>1423</v>
      </c>
      <c r="D44" s="152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1572</v>
      </c>
      <c r="C49" s="2590"/>
      <c r="D49" s="2590"/>
      <c r="E49" s="1168"/>
    </row>
    <row r="50" spans="1:5" s="1076" customFormat="1" ht="3.75" customHeight="1" x14ac:dyDescent="0.2">
      <c r="A50" s="1075"/>
      <c r="B50" s="1474"/>
      <c r="C50" s="1474"/>
      <c r="D50" s="1474"/>
      <c r="E50" s="1168"/>
    </row>
    <row r="51" spans="1:5" s="1076" customFormat="1" ht="20.25" customHeight="1" x14ac:dyDescent="0.2">
      <c r="A51" s="1077">
        <v>6</v>
      </c>
      <c r="B51" s="2586" t="s">
        <v>1533</v>
      </c>
      <c r="C51" s="2586"/>
      <c r="D51" s="2586"/>
    </row>
    <row r="52" spans="1:5" ht="14.25" customHeight="1" x14ac:dyDescent="0.2">
      <c r="A52" s="1077"/>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topLeftCell="B1" zoomScaleNormal="110" zoomScaleSheetLayoutView="10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Dolton SD 148</v>
      </c>
      <c r="C1" s="2596"/>
      <c r="D1" s="2596"/>
      <c r="E1" s="2596"/>
      <c r="F1" s="2596"/>
      <c r="G1" s="2596"/>
      <c r="H1" s="2596"/>
      <c r="I1" s="2596"/>
      <c r="J1" s="1178"/>
    </row>
    <row r="2" spans="2:10" s="295" customFormat="1" ht="12.75" customHeight="1" x14ac:dyDescent="0.2">
      <c r="B2" s="2597">
        <f>'Single Audit Cover'!E7</f>
        <v>7016148002</v>
      </c>
      <c r="C2" s="2598"/>
      <c r="D2" s="2598"/>
      <c r="E2" s="2598"/>
      <c r="F2" s="2598"/>
      <c r="G2" s="2598"/>
      <c r="H2" s="2598"/>
      <c r="I2" s="2598"/>
      <c r="J2" s="1178"/>
    </row>
    <row r="3" spans="2:10" s="295" customFormat="1" ht="12.75" customHeight="1" x14ac:dyDescent="0.2">
      <c r="B3" s="2599" t="s">
        <v>1273</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1272</v>
      </c>
      <c r="C7" s="2600"/>
      <c r="D7" s="2600"/>
      <c r="E7" s="2600"/>
      <c r="F7" s="2600"/>
      <c r="G7" s="2600"/>
      <c r="H7" s="2600"/>
      <c r="I7" s="2600"/>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01" t="s">
        <v>2143</v>
      </c>
      <c r="D11" s="260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t="s">
        <v>2049</v>
      </c>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2049</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2049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2049</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2049</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2" t="s">
        <v>2144</v>
      </c>
      <c r="E29" s="2602"/>
      <c r="F29" s="2602"/>
      <c r="G29" s="2602"/>
      <c r="H29" s="2602"/>
      <c r="I29" s="2602"/>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2049</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603" t="s">
        <v>1726</v>
      </c>
      <c r="D37" s="2604"/>
      <c r="E37" s="2604"/>
      <c r="F37" s="2605"/>
      <c r="G37" s="2603" t="s">
        <v>1574</v>
      </c>
      <c r="H37" s="2604"/>
      <c r="I37" s="2605"/>
    </row>
    <row r="38" spans="2:9" ht="16.5" customHeight="1" x14ac:dyDescent="0.2">
      <c r="B38" s="1200" t="s">
        <v>2095</v>
      </c>
      <c r="C38" s="2591" t="s">
        <v>2145</v>
      </c>
      <c r="D38" s="2592"/>
      <c r="E38" s="2592"/>
      <c r="F38" s="2593"/>
      <c r="G38" s="2606">
        <f>' SEFA'!I12+' SEFA'!I13+' SEFA'!I14+' SEFA'!I15+' SEFA'!I16</f>
        <v>2060378</v>
      </c>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1575</v>
      </c>
      <c r="D43" s="2610"/>
      <c r="E43" s="2610"/>
      <c r="F43" s="2611"/>
      <c r="G43" s="2612">
        <f>SUM(G38:I42)</f>
        <v>2060378</v>
      </c>
      <c r="H43" s="2612"/>
      <c r="I43" s="2612"/>
    </row>
    <row r="44" spans="2:9" ht="12.75" customHeight="1" x14ac:dyDescent="0.2"/>
    <row r="45" spans="2:9" ht="12.75" customHeight="1" x14ac:dyDescent="0.2">
      <c r="B45" s="1916" t="str">
        <f>"Total Federal Expenditures for 7/1/"&amp;MID('AFR20'!E2,3,2)-1&amp;"-6/30/"&amp;MID('AFR20'!E2,3,2)</f>
        <v>Total Federal Expenditures for 7/1/19-6/30/20</v>
      </c>
      <c r="C45" s="1917"/>
      <c r="D45" s="2613">
        <f>' SEFA (3)'!I36</f>
        <v>3893693</v>
      </c>
      <c r="E45" s="2614"/>
    </row>
    <row r="46" spans="2:9" ht="5.25" customHeight="1" x14ac:dyDescent="0.2">
      <c r="B46" s="1201"/>
      <c r="D46" s="1202"/>
      <c r="E46" s="1203"/>
    </row>
    <row r="47" spans="2:9" ht="12.75" customHeight="1" x14ac:dyDescent="0.2">
      <c r="B47" s="1076" t="s">
        <v>1576</v>
      </c>
      <c r="C47" s="1076"/>
      <c r="D47" s="1204">
        <f>+G43/D45</f>
        <v>0.52915779441265653</v>
      </c>
      <c r="E47" s="1205"/>
      <c r="F47" s="1206"/>
      <c r="I47" s="1207"/>
    </row>
    <row r="48" spans="2:9" ht="9.9499999999999993" customHeight="1" x14ac:dyDescent="0.2"/>
    <row r="49" spans="1:9" x14ac:dyDescent="0.2">
      <c r="B49" s="1138" t="s">
        <v>1261</v>
      </c>
      <c r="C49" s="1058"/>
      <c r="D49" s="1058"/>
      <c r="E49" s="2615">
        <v>750000</v>
      </c>
      <c r="F49" s="2615"/>
      <c r="G49" s="2615"/>
      <c r="H49" s="300"/>
    </row>
    <row r="51" spans="1:9" ht="13.5" customHeight="1" x14ac:dyDescent="0.2">
      <c r="B51" s="1138" t="s">
        <v>1260</v>
      </c>
      <c r="C51" s="1058"/>
      <c r="E51" s="1194"/>
      <c r="F51" s="1076" t="s">
        <v>878</v>
      </c>
      <c r="G51" s="1194" t="s">
        <v>2049</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view="pageBreakPreview" zoomScaleNormal="100" zoomScaleSheetLayoutView="10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Dolton SD 148</v>
      </c>
      <c r="C1" s="2595"/>
      <c r="D1" s="2595"/>
      <c r="E1" s="2595"/>
      <c r="F1" s="2595"/>
      <c r="G1" s="2595"/>
      <c r="H1" s="2595"/>
      <c r="I1" s="2595"/>
      <c r="J1" s="2595"/>
      <c r="K1" s="2595"/>
      <c r="L1" s="1144"/>
      <c r="M1" s="1144"/>
    </row>
    <row r="2" spans="1:13" ht="12" customHeight="1" x14ac:dyDescent="0.2">
      <c r="B2" s="2597">
        <f>'Single Audit Cover'!E7</f>
        <v>7016148002</v>
      </c>
      <c r="C2" s="2597"/>
      <c r="D2" s="2597"/>
      <c r="E2" s="2597"/>
      <c r="F2" s="2597"/>
      <c r="G2" s="2597"/>
      <c r="H2" s="2597"/>
      <c r="I2" s="2597"/>
      <c r="J2" s="2597"/>
      <c r="K2" s="2597"/>
      <c r="L2" s="1145"/>
      <c r="M2" s="1146"/>
    </row>
    <row r="3" spans="1:13" ht="10.35" customHeight="1" x14ac:dyDescent="0.2">
      <c r="B3" s="2618" t="s">
        <v>1273</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1284</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8" t="str">
        <f>'AFR20'!$E$2&amp;"-"</f>
        <v>2020-</v>
      </c>
      <c r="D10" s="1155">
        <v>1</v>
      </c>
      <c r="E10" s="300"/>
      <c r="F10" s="1156" t="s">
        <v>1283</v>
      </c>
      <c r="G10" s="1157"/>
      <c r="H10" s="1158" t="s">
        <v>1282</v>
      </c>
      <c r="I10" s="1157" t="s">
        <v>2049</v>
      </c>
      <c r="J10" s="1159" t="s">
        <v>1281</v>
      </c>
      <c r="K10" s="300"/>
      <c r="L10" s="1151"/>
    </row>
    <row r="11" spans="1:13" ht="13.5" customHeight="1" x14ac:dyDescent="0.2">
      <c r="B11" s="300"/>
      <c r="C11" s="300"/>
      <c r="D11" s="300"/>
      <c r="E11" s="300"/>
      <c r="F11" s="300"/>
      <c r="G11" s="1153"/>
      <c r="H11" s="300"/>
      <c r="I11" s="1160" t="s">
        <v>1280</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17" t="s">
        <v>2149</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17" t="s">
        <v>2152</v>
      </c>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197.45" customHeight="1" x14ac:dyDescent="0.2">
      <c r="B20" s="2621" t="s">
        <v>2227</v>
      </c>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17" t="s">
        <v>2158</v>
      </c>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17" t="s">
        <v>2159</v>
      </c>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115.9" customHeight="1" x14ac:dyDescent="0.2">
      <c r="B29" s="2616" t="s">
        <v>2160</v>
      </c>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16" t="s">
        <v>2161</v>
      </c>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rowBreaks count="1" manualBreakCount="1">
    <brk id="2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0623-F04B-43D9-B615-03D99E5D5D31}">
  <sheetPr>
    <tabColor rgb="FF00B050"/>
  </sheetPr>
  <dimension ref="A1:M41"/>
  <sheetViews>
    <sheetView showGridLines="0" view="pageBreakPreview" zoomScaleNormal="100" zoomScaleSheetLayoutView="10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Dolton SD 148</v>
      </c>
      <c r="C1" s="2595"/>
      <c r="D1" s="2595"/>
      <c r="E1" s="2595"/>
      <c r="F1" s="2595"/>
      <c r="G1" s="2595"/>
      <c r="H1" s="2595"/>
      <c r="I1" s="2595"/>
      <c r="J1" s="2595"/>
      <c r="K1" s="2595"/>
      <c r="L1" s="1144"/>
      <c r="M1" s="1144"/>
    </row>
    <row r="2" spans="1:13" ht="12" customHeight="1" x14ac:dyDescent="0.2">
      <c r="B2" s="2597">
        <f>'Single Audit Cover'!E7</f>
        <v>7016148002</v>
      </c>
      <c r="C2" s="2597"/>
      <c r="D2" s="2597"/>
      <c r="E2" s="2597"/>
      <c r="F2" s="2597"/>
      <c r="G2" s="2597"/>
      <c r="H2" s="2597"/>
      <c r="I2" s="2597"/>
      <c r="J2" s="2597"/>
      <c r="K2" s="2597"/>
      <c r="L2" s="1145"/>
      <c r="M2" s="1146"/>
    </row>
    <row r="3" spans="1:13" ht="10.35" customHeight="1" x14ac:dyDescent="0.2">
      <c r="B3" s="2618" t="s">
        <v>1273</v>
      </c>
      <c r="C3" s="2618"/>
      <c r="D3" s="2618"/>
      <c r="E3" s="2618"/>
      <c r="F3" s="2618"/>
      <c r="G3" s="2618"/>
      <c r="H3" s="2618"/>
      <c r="I3" s="2618"/>
      <c r="J3" s="2618"/>
      <c r="K3" s="2618"/>
      <c r="L3" s="2034"/>
      <c r="M3" s="2034"/>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1284</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8" t="str">
        <f>'AFR20'!$E$2&amp;"-"</f>
        <v>2020-</v>
      </c>
      <c r="D10" s="1155">
        <v>2</v>
      </c>
      <c r="E10" s="300"/>
      <c r="F10" s="1156" t="s">
        <v>1283</v>
      </c>
      <c r="G10" s="1157"/>
      <c r="H10" s="1158" t="s">
        <v>1282</v>
      </c>
      <c r="I10" s="1157" t="s">
        <v>2049</v>
      </c>
      <c r="J10" s="1159" t="s">
        <v>1281</v>
      </c>
      <c r="K10" s="300"/>
      <c r="L10" s="1151"/>
    </row>
    <row r="11" spans="1:13" ht="13.5" customHeight="1" x14ac:dyDescent="0.2">
      <c r="B11" s="300"/>
      <c r="C11" s="300"/>
      <c r="D11" s="300"/>
      <c r="E11" s="300"/>
      <c r="F11" s="300"/>
      <c r="G11" s="1153"/>
      <c r="H11" s="300"/>
      <c r="I11" s="1160" t="s">
        <v>1280</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67.150000000000006" customHeight="1" x14ac:dyDescent="0.2">
      <c r="B14" s="2617" t="s">
        <v>2162</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17" t="s">
        <v>2153</v>
      </c>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0.9" customHeight="1" x14ac:dyDescent="0.2">
      <c r="B20" s="2621" t="s">
        <v>2163</v>
      </c>
      <c r="C20" s="2621"/>
      <c r="D20" s="2617"/>
      <c r="E20" s="2617"/>
      <c r="F20" s="2617"/>
      <c r="G20" s="2617"/>
      <c r="H20" s="2617"/>
      <c r="I20" s="2617"/>
      <c r="J20" s="2617"/>
      <c r="K20" s="2617"/>
      <c r="L20" s="1151"/>
    </row>
    <row r="21" spans="2:12" ht="40.9"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17" t="s">
        <v>2164</v>
      </c>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17" t="s">
        <v>2165</v>
      </c>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51.6" customHeight="1" x14ac:dyDescent="0.2">
      <c r="B29" s="2616" t="s">
        <v>2166</v>
      </c>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16" t="s">
        <v>2161</v>
      </c>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C399-130A-4C47-9CFD-745276504DB9}">
  <sheetPr>
    <tabColor rgb="FF00B050"/>
  </sheetPr>
  <dimension ref="A1:L48"/>
  <sheetViews>
    <sheetView showGridLines="0" view="pageBreakPreview" zoomScaleNormal="110" zoomScaleSheetLayoutView="10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Dolton SD 148</v>
      </c>
      <c r="C1" s="2625"/>
      <c r="D1" s="2625"/>
      <c r="E1" s="2625"/>
      <c r="F1" s="2625"/>
      <c r="G1" s="2625"/>
      <c r="H1" s="2625"/>
      <c r="I1" s="2625"/>
      <c r="J1" s="2625"/>
      <c r="K1" s="2625"/>
      <c r="L1" s="1221"/>
    </row>
    <row r="2" spans="1:12" ht="12.75" customHeight="1" x14ac:dyDescent="0.2">
      <c r="B2" s="2626">
        <f>'Single Audit Cover'!E7</f>
        <v>7016148002</v>
      </c>
      <c r="C2" s="2626"/>
      <c r="D2" s="2626"/>
      <c r="E2" s="2626"/>
      <c r="F2" s="2626"/>
      <c r="G2" s="2626"/>
      <c r="H2" s="2626"/>
      <c r="I2" s="2626"/>
      <c r="J2" s="2626"/>
      <c r="K2" s="2626"/>
      <c r="L2" s="1222"/>
    </row>
    <row r="3" spans="1:12" ht="12.75" customHeight="1" x14ac:dyDescent="0.2">
      <c r="B3" s="2618" t="s">
        <v>1273</v>
      </c>
      <c r="C3" s="2618"/>
      <c r="D3" s="2618"/>
      <c r="E3" s="2618"/>
      <c r="F3" s="2618"/>
      <c r="G3" s="2618"/>
      <c r="H3" s="2618"/>
      <c r="I3" s="2618"/>
      <c r="J3" s="2618"/>
      <c r="K3" s="2618"/>
      <c r="L3" s="2034"/>
    </row>
    <row r="4" spans="1:12" ht="12.75" customHeight="1" x14ac:dyDescent="0.2">
      <c r="B4" s="2618" t="str">
        <f>'Single Audit Cover'!A4</f>
        <v>Year Ending June 30, 2020</v>
      </c>
      <c r="C4" s="2618"/>
      <c r="D4" s="2618"/>
      <c r="E4" s="2618"/>
      <c r="F4" s="2618"/>
      <c r="G4" s="2618"/>
      <c r="H4" s="2618"/>
      <c r="I4" s="2618"/>
      <c r="J4" s="2618"/>
      <c r="K4" s="2618"/>
      <c r="L4" s="2034"/>
    </row>
    <row r="5" spans="1:12" ht="5.25" customHeight="1" x14ac:dyDescent="0.2">
      <c r="B5" s="1036" t="s">
        <v>1158</v>
      </c>
      <c r="C5" s="1036"/>
      <c r="L5" s="300"/>
    </row>
    <row r="6" spans="1:12" ht="30.75" customHeight="1" x14ac:dyDescent="0.2">
      <c r="A6" s="300"/>
      <c r="B6" s="2627" t="s">
        <v>1296</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8" t="str">
        <f>'AFR20'!$E$2&amp;"-"</f>
        <v>2020-</v>
      </c>
      <c r="D8" s="1223">
        <v>3</v>
      </c>
      <c r="E8" s="300"/>
      <c r="F8" s="1154" t="s">
        <v>1283</v>
      </c>
      <c r="G8" s="1224"/>
      <c r="H8" s="1225" t="s">
        <v>1295</v>
      </c>
      <c r="I8" s="1224" t="s">
        <v>2049</v>
      </c>
      <c r="J8" s="1226" t="s">
        <v>1294</v>
      </c>
      <c r="L8" s="300"/>
    </row>
    <row r="9" spans="1:12" ht="13.5" customHeight="1" x14ac:dyDescent="0.2">
      <c r="D9" s="300"/>
      <c r="E9" s="300"/>
      <c r="F9" s="300"/>
      <c r="G9" s="1153"/>
      <c r="H9" s="300"/>
      <c r="I9" s="1227" t="s">
        <v>1280</v>
      </c>
      <c r="J9" s="300"/>
      <c r="K9" s="1228">
        <v>2017</v>
      </c>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2" t="s">
        <v>2167</v>
      </c>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22" t="s">
        <v>2099</v>
      </c>
      <c r="E14" s="2622"/>
      <c r="F14" s="2622"/>
      <c r="H14" s="1230" t="s">
        <v>1291</v>
      </c>
      <c r="I14" s="2623" t="s">
        <v>2095</v>
      </c>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23" t="s">
        <v>2168</v>
      </c>
      <c r="E16" s="2623"/>
      <c r="F16" s="2623"/>
      <c r="G16" s="2623"/>
      <c r="H16" s="2623"/>
      <c r="I16" s="2623"/>
      <c r="J16" s="2623"/>
      <c r="K16" s="2623"/>
      <c r="L16" s="300"/>
    </row>
    <row r="17" spans="2:12" ht="13.5" customHeight="1" x14ac:dyDescent="0.2">
      <c r="B17" s="1156" t="s">
        <v>1289</v>
      </c>
      <c r="C17" s="1156"/>
      <c r="D17" s="2624" t="s">
        <v>2169</v>
      </c>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7" t="s">
        <v>2170</v>
      </c>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17" t="s">
        <v>2154</v>
      </c>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17" t="s">
        <v>2080</v>
      </c>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17" t="s">
        <v>2174</v>
      </c>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7" t="s">
        <v>2171</v>
      </c>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7" t="s">
        <v>2172</v>
      </c>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7" t="s">
        <v>2173</v>
      </c>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17" t="s">
        <v>2161</v>
      </c>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5"/>
  <sheetViews>
    <sheetView showGridLines="0" view="pageBreakPreview" zoomScaleNormal="110" zoomScaleSheetLayoutView="10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Dolton SD 148</v>
      </c>
      <c r="C1" s="2595"/>
      <c r="D1" s="2595"/>
      <c r="E1" s="1240"/>
    </row>
    <row r="2" spans="2:5" s="1058" customFormat="1" ht="12.75" customHeight="1" x14ac:dyDescent="0.2">
      <c r="B2" s="2597">
        <f>'Single Audit Cover'!E7</f>
        <v>7016148002</v>
      </c>
      <c r="C2" s="2597"/>
      <c r="D2" s="2597"/>
      <c r="E2" s="1241"/>
    </row>
    <row r="3" spans="2:5" ht="12.75" customHeight="1" x14ac:dyDescent="0.2">
      <c r="B3" s="2618" t="s">
        <v>1741</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38.25" x14ac:dyDescent="0.2">
      <c r="B7" s="2038" t="s">
        <v>2148</v>
      </c>
      <c r="C7" s="2037" t="s">
        <v>2152</v>
      </c>
      <c r="D7" s="2040" t="s">
        <v>2155</v>
      </c>
      <c r="E7" s="302"/>
    </row>
    <row r="8" spans="2:5" x14ac:dyDescent="0.2">
      <c r="B8" s="2038"/>
      <c r="C8" s="2037"/>
      <c r="D8" s="2040"/>
      <c r="E8" s="302"/>
    </row>
    <row r="9" spans="2:5" ht="25.5" x14ac:dyDescent="0.2">
      <c r="B9" s="2038" t="s">
        <v>2150</v>
      </c>
      <c r="C9" s="2037" t="s">
        <v>2153</v>
      </c>
      <c r="D9" s="2040" t="s">
        <v>2156</v>
      </c>
      <c r="E9" s="302"/>
    </row>
    <row r="10" spans="2:5" x14ac:dyDescent="0.2">
      <c r="B10" s="2038"/>
      <c r="C10" s="2037"/>
      <c r="D10" s="2040"/>
      <c r="E10" s="302"/>
    </row>
    <row r="11" spans="2:5" ht="51" x14ac:dyDescent="0.2">
      <c r="B11" s="2039" t="s">
        <v>2151</v>
      </c>
      <c r="C11" s="2035" t="s">
        <v>2154</v>
      </c>
      <c r="D11" s="2041" t="s">
        <v>2157</v>
      </c>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5"/>
      <c r="C32" s="301"/>
      <c r="D32" s="301"/>
      <c r="E32" s="301"/>
    </row>
    <row r="33" spans="2:5" ht="13.5" customHeight="1" x14ac:dyDescent="0.2">
      <c r="B33" s="1245"/>
      <c r="C33" s="301"/>
      <c r="D33" s="301"/>
      <c r="E33" s="301"/>
    </row>
    <row r="34" spans="2:5" ht="13.5" customHeight="1" x14ac:dyDescent="0.2">
      <c r="B34" s="1246"/>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7"/>
      <c r="C37" s="301"/>
      <c r="D37" s="301"/>
      <c r="E37" s="301"/>
    </row>
    <row r="38" spans="2:5" ht="13.5" customHeight="1" x14ac:dyDescent="0.2">
      <c r="B38" s="1248"/>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8"/>
      <c r="C41" s="301"/>
      <c r="D41" s="301"/>
      <c r="E41" s="301"/>
    </row>
    <row r="42" spans="2:5" ht="13.5" customHeight="1" x14ac:dyDescent="0.2">
      <c r="B42" s="1247"/>
      <c r="C42" s="301"/>
      <c r="D42" s="301"/>
      <c r="E42" s="301"/>
    </row>
    <row r="43" spans="2:5" ht="13.5" customHeight="1" x14ac:dyDescent="0.2">
      <c r="B43" s="1249"/>
      <c r="C43" s="301"/>
      <c r="D43" s="301"/>
      <c r="E43" s="301"/>
    </row>
    <row r="44" spans="2:5" ht="13.5" customHeight="1" x14ac:dyDescent="0.2">
      <c r="B44" s="1250"/>
      <c r="C44" s="301"/>
      <c r="D44" s="301"/>
      <c r="E44" s="301"/>
    </row>
    <row r="45" spans="2:5" ht="12.75" customHeight="1" x14ac:dyDescent="0.2">
      <c r="B45" s="1251"/>
      <c r="C45" s="1252"/>
      <c r="D45" s="1252"/>
      <c r="E45" s="301"/>
    </row>
    <row r="46" spans="2:5" ht="12.2" customHeight="1" x14ac:dyDescent="0.2">
      <c r="B46" s="1033" t="s">
        <v>1301</v>
      </c>
      <c r="C46" s="300"/>
    </row>
    <row r="47" spans="2:5" ht="12.2" customHeight="1" x14ac:dyDescent="0.2">
      <c r="B47" s="1253" t="s">
        <v>1744</v>
      </c>
    </row>
    <row r="48" spans="2:5" ht="12.2" customHeight="1" x14ac:dyDescent="0.2">
      <c r="B48" s="1253" t="s">
        <v>1745</v>
      </c>
    </row>
    <row r="49" spans="2:5" ht="12.2" customHeight="1" x14ac:dyDescent="0.2">
      <c r="B49" s="1254" t="s">
        <v>1300</v>
      </c>
    </row>
    <row r="50" spans="2:5" ht="12.2" customHeight="1" x14ac:dyDescent="0.2">
      <c r="B50" s="1254" t="s">
        <v>1299</v>
      </c>
    </row>
    <row r="51" spans="2:5" ht="12.2" customHeight="1" x14ac:dyDescent="0.2">
      <c r="B51" s="1254" t="s">
        <v>1298</v>
      </c>
    </row>
    <row r="52" spans="2:5" ht="12.2" customHeight="1" x14ac:dyDescent="0.2">
      <c r="B52" s="1254" t="s">
        <v>1297</v>
      </c>
    </row>
    <row r="55" spans="2:5" ht="12.75" customHeight="1" x14ac:dyDescent="0.2"/>
    <row r="56" spans="2:5" ht="12.75" customHeight="1" x14ac:dyDescent="0.2">
      <c r="B56" s="1043"/>
    </row>
    <row r="57" spans="2:5" ht="12.75" customHeight="1" x14ac:dyDescent="0.2"/>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4" spans="2:5" ht="12.75" customHeight="1" x14ac:dyDescent="0.2">
      <c r="B64" s="300"/>
      <c r="C64" s="300"/>
      <c r="D64" s="300"/>
      <c r="E64" s="300"/>
    </row>
    <row r="65" spans="2:5" ht="12.75" customHeight="1" x14ac:dyDescent="0.2">
      <c r="B65" s="300"/>
      <c r="C65" s="300"/>
      <c r="D65" s="300"/>
      <c r="E65" s="300"/>
    </row>
    <row r="69" spans="2:5" x14ac:dyDescent="0.2">
      <c r="B69" s="1175"/>
    </row>
    <row r="70" spans="2:5" x14ac:dyDescent="0.2">
      <c r="B70" s="1076"/>
    </row>
    <row r="71" spans="2:5" x14ac:dyDescent="0.2">
      <c r="B71" s="1076"/>
    </row>
    <row r="72" spans="2:5" x14ac:dyDescent="0.2">
      <c r="B72" s="1176"/>
    </row>
    <row r="73" spans="2:5" x14ac:dyDescent="0.2">
      <c r="B73" s="1176"/>
    </row>
    <row r="74" spans="2:5" x14ac:dyDescent="0.2">
      <c r="B74" s="1176"/>
    </row>
    <row r="75" spans="2:5" x14ac:dyDescent="0.2">
      <c r="B75" s="1076"/>
    </row>
  </sheetData>
  <mergeCells count="4">
    <mergeCell ref="B1:D1"/>
    <mergeCell ref="B2:D2"/>
    <mergeCell ref="B3:D3"/>
    <mergeCell ref="B4:D4"/>
  </mergeCells>
  <pageMargins left="0.32" right="0.27" top="0.52" bottom="0.57999999999999996" header="0.26" footer="0.26"/>
  <pageSetup scale="86"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85" zoomScaleNormal="85"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382</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150587233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4.7753999999999998E-2</v>
      </c>
      <c r="E10" s="333" t="s">
        <v>997</v>
      </c>
      <c r="F10" s="332">
        <v>5.4999999999999997E-3</v>
      </c>
      <c r="G10" s="333" t="s">
        <v>997</v>
      </c>
      <c r="H10" s="332">
        <v>8.2480000000000001E-3</v>
      </c>
      <c r="I10" s="333" t="s">
        <v>998</v>
      </c>
      <c r="J10" s="1423">
        <f>ROUND(D10+F10+H10,5)</f>
        <v>6.1499999999999999E-2</v>
      </c>
      <c r="K10" s="217"/>
      <c r="L10" s="332">
        <v>5.0000000000000001E-4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35858110</v>
      </c>
      <c r="E16" s="1546"/>
      <c r="F16" s="1545">
        <f>SUM('Acct Summary 7-8'!C17,'Acct Summary 7-8'!D17,'Acct Summary 7-8'!F17)</f>
        <v>36865939</v>
      </c>
      <c r="G16" s="1546"/>
      <c r="H16" s="1545">
        <f>SUM(D16-F16)</f>
        <v>-1007829</v>
      </c>
      <c r="I16" s="1547"/>
      <c r="J16" s="1545">
        <f>SUM('Acct Summary 7-8'!C81,'Acct Summary 7-8'!D81,'Acct Summary 7-8'!F81,'Acct Summary 7-8'!I81)</f>
        <v>17241457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581</v>
      </c>
      <c r="D31" s="232" t="s">
        <v>1062</v>
      </c>
      <c r="E31" s="217"/>
      <c r="F31" s="217"/>
      <c r="G31" s="340"/>
      <c r="H31" s="1424">
        <f>IF(B31="X",(J7*0.069),IF(B32="X",(J7*0.138),"Enter x in a.or b."))</f>
        <v>10390519.077000001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25206997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Normal="10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551</v>
      </c>
      <c r="B2" s="2217"/>
      <c r="C2" s="2217"/>
      <c r="D2" s="2217"/>
      <c r="E2" s="2217"/>
      <c r="F2" s="2217"/>
      <c r="G2" s="2217"/>
      <c r="H2" s="2217"/>
      <c r="I2" s="2217"/>
      <c r="J2" s="2217"/>
      <c r="K2" s="2217"/>
      <c r="L2" s="2217"/>
      <c r="M2" s="2217"/>
      <c r="N2" s="2217"/>
      <c r="O2" s="2217"/>
      <c r="P2" s="2217"/>
      <c r="Q2" s="2217"/>
      <c r="R2" s="2217"/>
    </row>
    <row r="3" spans="1:18" ht="12.75" x14ac:dyDescent="0.2">
      <c r="A3" s="2218" t="s">
        <v>1395</v>
      </c>
      <c r="B3" s="2218"/>
      <c r="C3" s="2218"/>
      <c r="D3" s="2218"/>
      <c r="E3" s="2218"/>
      <c r="F3" s="2218"/>
      <c r="G3" s="2218"/>
      <c r="H3" s="2218"/>
      <c r="I3" s="2218"/>
      <c r="J3" s="2218"/>
      <c r="K3" s="2218"/>
      <c r="L3" s="2218"/>
      <c r="M3" s="2218"/>
      <c r="N3" s="2218"/>
      <c r="O3" s="2218"/>
      <c r="P3" s="2218"/>
      <c r="Q3" s="2218"/>
      <c r="R3" s="2218"/>
    </row>
    <row r="4" spans="1:18" x14ac:dyDescent="0.2">
      <c r="A4" s="2219" t="s">
        <v>1536</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Dolton SD 148</v>
      </c>
      <c r="E7" s="368"/>
      <c r="G7" s="247"/>
      <c r="H7" s="364"/>
      <c r="I7" s="364"/>
      <c r="J7" s="364"/>
      <c r="K7" s="364"/>
      <c r="L7" s="307"/>
      <c r="M7" s="307"/>
      <c r="N7" s="307"/>
      <c r="O7" s="307"/>
      <c r="P7" s="307"/>
    </row>
    <row r="8" spans="1:18" ht="12.75" x14ac:dyDescent="0.2">
      <c r="A8" s="307"/>
      <c r="B8" s="307"/>
      <c r="C8" s="366" t="s">
        <v>1114</v>
      </c>
      <c r="D8" s="369">
        <f>COVER!A13</f>
        <v>7016148002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17191135</v>
      </c>
      <c r="I12" s="380"/>
      <c r="J12" s="380"/>
      <c r="K12" s="1558">
        <f>TRUNC((H12/H13*100000),5)/100000</f>
        <v>0.47942111279999999</v>
      </c>
      <c r="L12" s="381"/>
      <c r="M12" s="337" t="s">
        <v>1133</v>
      </c>
      <c r="N12" s="337"/>
      <c r="O12" s="1561">
        <v>0.35</v>
      </c>
      <c r="P12" s="213"/>
      <c r="Q12" s="213"/>
    </row>
    <row r="13" spans="1:18" s="382" customFormat="1" ht="12.75" x14ac:dyDescent="0.2">
      <c r="A13" s="213"/>
      <c r="B13" s="377"/>
      <c r="C13" s="2215" t="s">
        <v>1312</v>
      </c>
      <c r="D13" s="2216"/>
      <c r="E13" s="213"/>
      <c r="F13" s="383" t="s">
        <v>787</v>
      </c>
      <c r="G13" s="378"/>
      <c r="H13" s="1550">
        <f>SUM('Acct Summary 7-8'!C8+'Acct Summary 7-8'!D8+'Acct Summary 7-8'!F8+'Acct Summary 7-8'!I8)+H14</f>
        <v>35858110</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t="str">
        <f>IF(K17&gt;1.2,"1",IF(K17&gt;1.1,"2",IF(K17&gt;1,"3",4)))</f>
        <v>3</v>
      </c>
      <c r="P16" s="211"/>
      <c r="R16" s="361"/>
    </row>
    <row r="17" spans="1:18" s="382" customFormat="1" ht="11.25" x14ac:dyDescent="0.2">
      <c r="A17" s="213"/>
      <c r="B17" s="377"/>
      <c r="C17" s="213" t="s">
        <v>791</v>
      </c>
      <c r="D17" s="213"/>
      <c r="E17" s="213"/>
      <c r="F17" s="213" t="s">
        <v>440</v>
      </c>
      <c r="G17" s="378"/>
      <c r="H17" s="1550">
        <f>SUM('Acct Summary 7-8'!C17+'Acct Summary 7-8'!D17+'Acct Summary 7-8'!F17)</f>
        <v>36865939</v>
      </c>
      <c r="I17" s="380"/>
      <c r="J17" s="389"/>
      <c r="K17" s="1558">
        <f>TRUNC((H17/H18*100000),5)/100000</f>
        <v>1.0281060267</v>
      </c>
      <c r="L17" s="381"/>
      <c r="M17" s="390" t="s">
        <v>1160</v>
      </c>
      <c r="O17" s="1564" t="str">
        <f>IF(AND(O16="2", J20 &gt; 2),"1",IF(AND(O16 = "1", J20 &gt; 2),"2",IF(AND(O16="1", J20 &gt;1),"1","0")))</f>
        <v>0</v>
      </c>
      <c r="P17" s="213"/>
    </row>
    <row r="18" spans="1:18" s="382" customFormat="1" ht="11.25" x14ac:dyDescent="0.2">
      <c r="A18" s="213"/>
      <c r="B18" s="377"/>
      <c r="C18" s="2215" t="s">
        <v>1305</v>
      </c>
      <c r="D18" s="2216"/>
      <c r="E18" s="213"/>
      <c r="F18" s="391" t="s">
        <v>788</v>
      </c>
      <c r="G18" s="378"/>
      <c r="H18" s="1550">
        <f>SUM('Acct Summary 7-8'!C8+'Acct Summary 7-8'!D8+'Acct Summary 7-8'!F8+'Acct Summary 7-8'!I8)+H19</f>
        <v>35858110</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f>IF(K17&lt;=1,"0",TRUNC(((K12-0.1)/(K17-1)*100),5)/100)</f>
        <v>13.4996353</v>
      </c>
      <c r="K20" s="1558" t="str">
        <f>IF(K17&lt;=1,"0",IF(AND(O16="2", J20 &gt; 2),TRUNC(((K12-0.1)/(K17-1)*100),5)/100,IF(AND(O16 = "1", J20 &gt; 2),TRUNC(((K12-0.1)/(K17-1)*100),5)/100,IF(AND(O16="1", J20 &gt;1),TRUNC(((K12-0.1)/(K17-1)*100),5)/100,""))))</f>
        <v/>
      </c>
      <c r="L20" s="213"/>
      <c r="M20" s="337" t="s">
        <v>1134</v>
      </c>
      <c r="N20" s="337"/>
      <c r="O20" s="1562">
        <f>(O16+O17)*O18</f>
        <v>1.0499999999999998</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3</v>
      </c>
      <c r="P23" s="211"/>
      <c r="R23" s="361"/>
    </row>
    <row r="24" spans="1:18" s="382" customFormat="1" ht="11.25" x14ac:dyDescent="0.2">
      <c r="A24" s="213"/>
      <c r="B24" s="377"/>
      <c r="C24" s="2212" t="s">
        <v>1394</v>
      </c>
      <c r="D24" s="2212"/>
      <c r="E24" s="213"/>
      <c r="F24" s="213" t="s">
        <v>441</v>
      </c>
      <c r="G24" s="378"/>
      <c r="H24" s="1550">
        <f>SUM('Assets-Liab 5-6'!C4+'Assets-Liab 5-6'!D4+'Assets-Liab 5-6'!F4+'Assets-Liab 5-6'!I4+'Assets-Liab 5-6'!C5+'Assets-Liab 5-6'!D5+'Assets-Liab 5-6'!F5+'Assets-Liab 5-6'!I5)</f>
        <v>16470382</v>
      </c>
      <c r="I24" s="394"/>
      <c r="J24" s="394"/>
      <c r="K24" s="1554">
        <f>TRUNC(((H24/H25*100000)/100000),2)</f>
        <v>160.83000000000001</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102405.38611000001</v>
      </c>
      <c r="I25" s="396"/>
      <c r="J25" s="396"/>
      <c r="K25" s="1557"/>
      <c r="L25" s="213"/>
      <c r="M25" s="337" t="s">
        <v>1134</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1891</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7871947.6050800001</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f>IF(K32&gt;=75,"4",IF(K32&gt;=50,"3",IF(K32&gt;=25,"2",1)))</f>
        <v>1</v>
      </c>
      <c r="P31" s="211"/>
    </row>
    <row r="32" spans="1:18" s="382" customFormat="1" ht="11.25" x14ac:dyDescent="0.2">
      <c r="A32" s="213"/>
      <c r="B32" s="377"/>
      <c r="C32" s="213" t="s">
        <v>841</v>
      </c>
      <c r="D32" s="213"/>
      <c r="E32" s="213"/>
      <c r="F32" s="213"/>
      <c r="G32" s="378"/>
      <c r="H32" s="1550">
        <f>'FP Info 3'!H37</f>
        <v>25206997</v>
      </c>
      <c r="I32" s="392"/>
      <c r="J32" s="392"/>
      <c r="K32" s="1554">
        <f>TRUNC(100-((((H32/H33*100))*100)/100),2)</f>
        <v>-142.59</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10390519.077000001</v>
      </c>
      <c r="I33" s="392"/>
      <c r="J33" s="392"/>
      <c r="K33" s="379"/>
      <c r="L33" s="213"/>
      <c r="M33" s="401" t="s">
        <v>1134</v>
      </c>
      <c r="N33" s="401"/>
      <c r="O33" s="1567">
        <f>(O31*O32)</f>
        <v>0.1</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3.25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G1" colorId="8" zoomScaleNormal="100" workbookViewId="0">
      <pane ySplit="2" topLeftCell="A20"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2" t="s">
        <v>966</v>
      </c>
      <c r="B3" s="2223"/>
      <c r="C3" s="1305"/>
      <c r="D3" s="1306"/>
      <c r="E3" s="1306"/>
      <c r="F3" s="1306"/>
      <c r="G3" s="1306"/>
      <c r="H3" s="1306"/>
      <c r="I3" s="1306"/>
      <c r="J3" s="1306"/>
      <c r="K3" s="1306"/>
      <c r="L3" s="1306"/>
      <c r="M3" s="1307"/>
      <c r="N3" s="1308"/>
    </row>
    <row r="4" spans="1:14" ht="13.5" customHeight="1" x14ac:dyDescent="0.2">
      <c r="A4" s="427" t="s">
        <v>1631</v>
      </c>
      <c r="B4" s="428"/>
      <c r="C4" s="1571">
        <v>14868998</v>
      </c>
      <c r="D4" s="1572"/>
      <c r="E4" s="1572"/>
      <c r="F4" s="1572">
        <v>642950</v>
      </c>
      <c r="G4" s="1572">
        <v>392571</v>
      </c>
      <c r="H4" s="1572">
        <v>52006</v>
      </c>
      <c r="I4" s="1572">
        <v>958434</v>
      </c>
      <c r="J4" s="1573">
        <v>457619</v>
      </c>
      <c r="K4" s="1572">
        <v>654296</v>
      </c>
      <c r="L4" s="1572">
        <v>39765</v>
      </c>
      <c r="M4" s="1574"/>
      <c r="N4" s="1575"/>
    </row>
    <row r="5" spans="1:14" x14ac:dyDescent="0.2">
      <c r="A5" s="427" t="s">
        <v>984</v>
      </c>
      <c r="B5" s="429">
        <v>120</v>
      </c>
      <c r="C5" s="1571"/>
      <c r="D5" s="1572"/>
      <c r="E5" s="1572"/>
      <c r="F5" s="1572"/>
      <c r="G5" s="1572"/>
      <c r="H5" s="1572"/>
      <c r="I5" s="1572"/>
      <c r="J5" s="1573"/>
      <c r="K5" s="1576"/>
      <c r="L5" s="1577"/>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v>5815509</v>
      </c>
      <c r="D7" s="1573"/>
      <c r="E7" s="1573"/>
      <c r="F7" s="1573"/>
      <c r="G7" s="1573"/>
      <c r="H7" s="1573"/>
      <c r="I7" s="1573"/>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c r="D9" s="1573"/>
      <c r="E9" s="1573"/>
      <c r="F9" s="1573"/>
      <c r="G9" s="1573"/>
      <c r="H9" s="1582"/>
      <c r="I9" s="1573"/>
      <c r="J9" s="1573"/>
      <c r="K9" s="1573"/>
      <c r="L9" s="1573">
        <v>19724</v>
      </c>
      <c r="M9" s="1574"/>
      <c r="N9" s="1575"/>
    </row>
    <row r="10" spans="1:14" ht="13.5" customHeight="1" x14ac:dyDescent="0.2">
      <c r="A10" s="430" t="s">
        <v>983</v>
      </c>
      <c r="B10" s="429">
        <v>170</v>
      </c>
      <c r="C10" s="1571"/>
      <c r="D10" s="1572"/>
      <c r="E10" s="1573"/>
      <c r="F10" s="1572"/>
      <c r="G10" s="1582"/>
      <c r="H10" s="1585"/>
      <c r="I10" s="1573"/>
      <c r="J10" s="1573"/>
      <c r="K10" s="1585"/>
      <c r="L10" s="1585"/>
      <c r="M10" s="1575"/>
      <c r="N10" s="1575"/>
    </row>
    <row r="11" spans="1:14" ht="13.5" customHeight="1" x14ac:dyDescent="0.2">
      <c r="A11" s="430" t="s">
        <v>268</v>
      </c>
      <c r="B11" s="429">
        <v>180</v>
      </c>
      <c r="C11" s="1580"/>
      <c r="D11" s="1573"/>
      <c r="E11" s="1573"/>
      <c r="F11" s="1573"/>
      <c r="G11" s="1573"/>
      <c r="H11" s="1573"/>
      <c r="I11" s="1582"/>
      <c r="J11" s="1582"/>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20684507</v>
      </c>
      <c r="D13" s="1586">
        <f t="shared" ref="D13:L13" si="0">SUM(D4:D12)</f>
        <v>0</v>
      </c>
      <c r="E13" s="1586">
        <f t="shared" si="0"/>
        <v>0</v>
      </c>
      <c r="F13" s="1586">
        <f t="shared" si="0"/>
        <v>642950</v>
      </c>
      <c r="G13" s="1586">
        <f t="shared" si="0"/>
        <v>392571</v>
      </c>
      <c r="H13" s="1586">
        <f t="shared" si="0"/>
        <v>52006</v>
      </c>
      <c r="I13" s="1586">
        <f t="shared" si="0"/>
        <v>958434</v>
      </c>
      <c r="J13" s="1586">
        <f t="shared" si="0"/>
        <v>457619</v>
      </c>
      <c r="K13" s="1586">
        <f t="shared" si="0"/>
        <v>654296</v>
      </c>
      <c r="L13" s="1586">
        <f t="shared" si="0"/>
        <v>59489</v>
      </c>
      <c r="M13" s="1574"/>
      <c r="N13" s="1575"/>
    </row>
    <row r="14" spans="1:14" ht="18" customHeight="1" thickTop="1" x14ac:dyDescent="0.2">
      <c r="A14" s="2224" t="s">
        <v>146</v>
      </c>
      <c r="B14" s="2225"/>
      <c r="C14" s="1587"/>
      <c r="D14" s="1588"/>
      <c r="E14" s="1588"/>
      <c r="F14" s="1588"/>
      <c r="G14" s="1588"/>
      <c r="H14" s="1588"/>
      <c r="I14" s="1588"/>
      <c r="J14" s="1588"/>
      <c r="K14" s="1588"/>
      <c r="L14" s="1588"/>
      <c r="M14" s="1589"/>
      <c r="N14" s="1590"/>
    </row>
    <row r="15" spans="1:14" s="433" customFormat="1" ht="12.75" customHeight="1" x14ac:dyDescent="0.2">
      <c r="A15" s="431" t="s">
        <v>1383</v>
      </c>
      <c r="B15" s="432">
        <v>210</v>
      </c>
      <c r="C15" s="1581"/>
      <c r="D15" s="1581"/>
      <c r="E15" s="1581"/>
      <c r="F15" s="1581"/>
      <c r="G15" s="1581"/>
      <c r="H15" s="1581"/>
      <c r="I15" s="1581"/>
      <c r="J15" s="1581"/>
      <c r="K15" s="1581"/>
      <c r="L15" s="1581"/>
      <c r="M15" s="1582"/>
      <c r="N15" s="1591"/>
    </row>
    <row r="16" spans="1:14" s="433" customFormat="1" ht="12.75" customHeight="1" x14ac:dyDescent="0.2">
      <c r="A16" s="431" t="s">
        <v>1384</v>
      </c>
      <c r="B16" s="432">
        <v>220</v>
      </c>
      <c r="C16" s="1581"/>
      <c r="D16" s="1581"/>
      <c r="E16" s="1581"/>
      <c r="F16" s="1581"/>
      <c r="G16" s="1581"/>
      <c r="H16" s="1581"/>
      <c r="I16" s="1581"/>
      <c r="J16" s="1581"/>
      <c r="K16" s="1581"/>
      <c r="L16" s="1581"/>
      <c r="M16" s="1573">
        <v>234520</v>
      </c>
      <c r="N16" s="1591"/>
    </row>
    <row r="17" spans="1:14" s="433" customFormat="1" ht="12.75" customHeight="1" x14ac:dyDescent="0.2">
      <c r="A17" s="431" t="s">
        <v>1385</v>
      </c>
      <c r="B17" s="432">
        <v>230</v>
      </c>
      <c r="C17" s="1581"/>
      <c r="D17" s="1581"/>
      <c r="E17" s="1581"/>
      <c r="F17" s="1581"/>
      <c r="G17" s="1581"/>
      <c r="H17" s="1581"/>
      <c r="I17" s="1581"/>
      <c r="J17" s="1581"/>
      <c r="K17" s="1581"/>
      <c r="L17" s="1581"/>
      <c r="M17" s="1573">
        <f>47322721+638832</f>
        <v>47961553</v>
      </c>
      <c r="N17" s="1591"/>
    </row>
    <row r="18" spans="1:14" s="433" customFormat="1" ht="12.75" customHeight="1" x14ac:dyDescent="0.2">
      <c r="A18" s="431" t="s">
        <v>1386</v>
      </c>
      <c r="B18" s="432">
        <v>240</v>
      </c>
      <c r="C18" s="1581"/>
      <c r="D18" s="1581"/>
      <c r="E18" s="1581"/>
      <c r="F18" s="1581"/>
      <c r="G18" s="1581"/>
      <c r="H18" s="1581"/>
      <c r="I18" s="1581"/>
      <c r="J18" s="1581"/>
      <c r="K18" s="1581"/>
      <c r="L18" s="1581"/>
      <c r="M18" s="1573">
        <f>3385145+11880</f>
        <v>3397025</v>
      </c>
      <c r="N18" s="1591"/>
    </row>
    <row r="19" spans="1:14" s="433" customFormat="1" ht="12.75" customHeight="1" x14ac:dyDescent="0.2">
      <c r="A19" s="431" t="s">
        <v>1387</v>
      </c>
      <c r="B19" s="432">
        <v>250</v>
      </c>
      <c r="C19" s="1581"/>
      <c r="D19" s="1581"/>
      <c r="E19" s="1581"/>
      <c r="F19" s="1581"/>
      <c r="G19" s="1581"/>
      <c r="H19" s="1581"/>
      <c r="I19" s="1581"/>
      <c r="J19" s="1581"/>
      <c r="K19" s="1581"/>
      <c r="L19" s="1581"/>
      <c r="M19" s="1573">
        <v>9098463</v>
      </c>
      <c r="N19" s="1591"/>
    </row>
    <row r="20" spans="1:14" s="433" customFormat="1" ht="12.75" customHeight="1" x14ac:dyDescent="0.2">
      <c r="A20" s="431" t="s">
        <v>1388</v>
      </c>
      <c r="B20" s="432">
        <v>260</v>
      </c>
      <c r="C20" s="1581"/>
      <c r="D20" s="1581"/>
      <c r="E20" s="1581"/>
      <c r="F20" s="1581"/>
      <c r="G20" s="1581"/>
      <c r="H20" s="1581"/>
      <c r="I20" s="1581"/>
      <c r="J20" s="1581"/>
      <c r="K20" s="1581"/>
      <c r="L20" s="1581"/>
      <c r="M20" s="1573"/>
      <c r="N20" s="1591"/>
    </row>
    <row r="21" spans="1:14" s="433" customFormat="1" ht="12.75" customHeight="1" x14ac:dyDescent="0.2">
      <c r="A21" s="431" t="s">
        <v>1389</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1390</v>
      </c>
      <c r="B22" s="432">
        <v>350</v>
      </c>
      <c r="C22" s="1581"/>
      <c r="D22" s="1581"/>
      <c r="E22" s="1581"/>
      <c r="F22" s="1581"/>
      <c r="G22" s="1581"/>
      <c r="H22" s="1581"/>
      <c r="I22" s="1581"/>
      <c r="J22" s="1581"/>
      <c r="K22" s="1581"/>
      <c r="L22" s="1581"/>
      <c r="M22" s="1592"/>
      <c r="N22" s="1606">
        <f>'Short-Term Long-Term Debt 24'!J49</f>
        <v>25206997</v>
      </c>
    </row>
    <row r="23" spans="1:14" ht="13.5" customHeight="1" thickBot="1" x14ac:dyDescent="0.25">
      <c r="A23" s="1425" t="s">
        <v>637</v>
      </c>
      <c r="B23" s="1428"/>
      <c r="C23" s="1574"/>
      <c r="D23" s="1574"/>
      <c r="E23" s="1574"/>
      <c r="F23" s="1574"/>
      <c r="G23" s="1574"/>
      <c r="H23" s="1574"/>
      <c r="I23" s="1574"/>
      <c r="J23" s="1574"/>
      <c r="K23" s="1574"/>
      <c r="L23" s="1574"/>
      <c r="M23" s="1593">
        <f>SUM(M15:M22)</f>
        <v>60691561</v>
      </c>
      <c r="N23" s="1593">
        <f>SUM(N21:N22)</f>
        <v>25206997</v>
      </c>
    </row>
    <row r="24" spans="1:14" ht="18" customHeight="1" thickTop="1" x14ac:dyDescent="0.2">
      <c r="A24" s="2226" t="s">
        <v>593</v>
      </c>
      <c r="B24" s="2227"/>
      <c r="C24" s="1594"/>
      <c r="D24" s="1589"/>
      <c r="E24" s="1589"/>
      <c r="F24" s="1589"/>
      <c r="G24" s="1589"/>
      <c r="H24" s="1589"/>
      <c r="I24" s="1589"/>
      <c r="J24" s="1589"/>
      <c r="K24" s="1589"/>
      <c r="L24" s="1589"/>
      <c r="M24" s="1588"/>
      <c r="N24" s="1595"/>
    </row>
    <row r="25" spans="1:14" x14ac:dyDescent="0.2">
      <c r="A25" s="430" t="s">
        <v>639</v>
      </c>
      <c r="B25" s="429">
        <v>410</v>
      </c>
      <c r="C25" s="1582"/>
      <c r="D25" s="1582">
        <v>3881836</v>
      </c>
      <c r="E25" s="1582">
        <v>971576</v>
      </c>
      <c r="F25" s="1582">
        <v>278940</v>
      </c>
      <c r="G25" s="1582">
        <v>112372</v>
      </c>
      <c r="H25" s="1583">
        <v>55030</v>
      </c>
      <c r="I25" s="1574"/>
      <c r="J25" s="1582">
        <v>507941</v>
      </c>
      <c r="K25" s="1582">
        <v>5210</v>
      </c>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v>2604</v>
      </c>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c r="D30" s="1578"/>
      <c r="E30" s="1573"/>
      <c r="F30" s="1573"/>
      <c r="G30" s="1573"/>
      <c r="H30" s="1573"/>
      <c r="I30" s="1573"/>
      <c r="J30" s="1573"/>
      <c r="K30" s="1582"/>
      <c r="L30" s="1574"/>
      <c r="M30" s="1574"/>
      <c r="N30" s="1574"/>
    </row>
    <row r="31" spans="1:14" ht="13.5" customHeight="1" x14ac:dyDescent="0.2">
      <c r="A31" s="430" t="s">
        <v>645</v>
      </c>
      <c r="B31" s="429">
        <v>480</v>
      </c>
      <c r="C31" s="1572">
        <v>861502</v>
      </c>
      <c r="D31" s="1573">
        <v>-172</v>
      </c>
      <c r="E31" s="1573"/>
      <c r="F31" s="1572"/>
      <c r="G31" s="1573">
        <v>-110</v>
      </c>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v>19724</v>
      </c>
      <c r="D33" s="1573"/>
      <c r="E33" s="1573"/>
      <c r="F33" s="1573"/>
      <c r="G33" s="1573"/>
      <c r="H33" s="1573"/>
      <c r="I33" s="1573"/>
      <c r="J33" s="1573"/>
      <c r="K33" s="1573"/>
      <c r="L33" s="1573">
        <v>59489</v>
      </c>
      <c r="M33" s="1574"/>
      <c r="N33" s="1575"/>
    </row>
    <row r="34" spans="1:14" ht="13.5" customHeight="1" thickBot="1" x14ac:dyDescent="0.25">
      <c r="A34" s="1426" t="s">
        <v>648</v>
      </c>
      <c r="B34" s="1427"/>
      <c r="C34" s="1599">
        <f>SUM(C25:C33)</f>
        <v>881226</v>
      </c>
      <c r="D34" s="1599">
        <f t="shared" ref="D34:K34" si="1">SUM(D25:D33)</f>
        <v>3881664</v>
      </c>
      <c r="E34" s="1599">
        <f t="shared" si="1"/>
        <v>971576</v>
      </c>
      <c r="F34" s="1599">
        <f t="shared" si="1"/>
        <v>278940</v>
      </c>
      <c r="G34" s="1599">
        <f t="shared" si="1"/>
        <v>112262</v>
      </c>
      <c r="H34" s="1599">
        <f t="shared" si="1"/>
        <v>55030</v>
      </c>
      <c r="I34" s="1599">
        <f t="shared" si="1"/>
        <v>2604</v>
      </c>
      <c r="J34" s="1599">
        <f t="shared" si="1"/>
        <v>507941</v>
      </c>
      <c r="K34" s="1599">
        <f t="shared" si="1"/>
        <v>5210</v>
      </c>
      <c r="L34" s="1600">
        <f>SUM(L33)</f>
        <v>59489</v>
      </c>
      <c r="M34" s="1574"/>
      <c r="N34" s="1584"/>
    </row>
    <row r="35" spans="1:14" ht="18" customHeight="1" thickTop="1" x14ac:dyDescent="0.2">
      <c r="A35" s="2228" t="s">
        <v>525</v>
      </c>
      <c r="B35" s="222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25206997</v>
      </c>
    </row>
    <row r="37" spans="1:14" ht="13.5" thickBot="1" x14ac:dyDescent="0.25">
      <c r="A37" s="1425" t="s">
        <v>647</v>
      </c>
      <c r="B37" s="1428"/>
      <c r="C37" s="1581"/>
      <c r="D37" s="1581"/>
      <c r="E37" s="1581"/>
      <c r="F37" s="1581"/>
      <c r="G37" s="1581"/>
      <c r="H37" s="1581"/>
      <c r="I37" s="1581"/>
      <c r="J37" s="1581"/>
      <c r="K37" s="1581"/>
      <c r="L37" s="1584"/>
      <c r="M37" s="1574"/>
      <c r="N37" s="1593">
        <f>SUM(N36:N36)</f>
        <v>25206997</v>
      </c>
    </row>
    <row r="38" spans="1:14" s="307" customFormat="1" ht="13.5" customHeight="1" thickTop="1" x14ac:dyDescent="0.2">
      <c r="A38" s="438" t="s">
        <v>416</v>
      </c>
      <c r="B38" s="432">
        <v>714</v>
      </c>
      <c r="C38" s="1572"/>
      <c r="D38" s="1572"/>
      <c r="E38" s="1572"/>
      <c r="F38" s="1572">
        <f>'Acct Summary 7-8'!F81</f>
        <v>364010</v>
      </c>
      <c r="G38" s="1572">
        <v>678658</v>
      </c>
      <c r="H38" s="1572"/>
      <c r="I38" s="1572">
        <f>'Acct Summary 7-8'!I81</f>
        <v>955830</v>
      </c>
      <c r="J38" s="1573"/>
      <c r="K38" s="1572">
        <f>'Acct Summary 7-8'!K81</f>
        <v>649086</v>
      </c>
      <c r="L38" s="1585"/>
      <c r="M38" s="1603"/>
      <c r="N38" s="1603"/>
    </row>
    <row r="39" spans="1:14" s="307" customFormat="1" ht="13.5" customHeight="1" x14ac:dyDescent="0.2">
      <c r="A39" s="438" t="s">
        <v>338</v>
      </c>
      <c r="B39" s="432">
        <v>730</v>
      </c>
      <c r="C39" s="1572">
        <f>'Acct Summary 7-8'!C81</f>
        <v>19803281</v>
      </c>
      <c r="D39" s="1572">
        <f>'Acct Summary 7-8'!D81</f>
        <v>-3881664</v>
      </c>
      <c r="E39" s="1572">
        <f>'Acct Summary 7-8'!E81</f>
        <v>-971576</v>
      </c>
      <c r="F39" s="1572"/>
      <c r="G39" s="1572">
        <v>-398349</v>
      </c>
      <c r="H39" s="1572">
        <f>'Acct Summary 7-8'!H81</f>
        <v>-3024</v>
      </c>
      <c r="I39" s="1572"/>
      <c r="J39" s="1573">
        <f>'Acct Summary 7-8'!J81</f>
        <v>-50322</v>
      </c>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60691561</v>
      </c>
      <c r="N40" s="1603"/>
    </row>
    <row r="41" spans="1:14" ht="13.5" customHeight="1" thickBot="1" x14ac:dyDescent="0.25">
      <c r="A41" s="1425" t="s">
        <v>649</v>
      </c>
      <c r="B41" s="1404"/>
      <c r="C41" s="1593">
        <f>(SUM(C34,C37,C38,C39))</f>
        <v>20684507</v>
      </c>
      <c r="D41" s="1593">
        <f t="shared" ref="D41:L41" si="2">SUM(D34,D37,D38:D39)</f>
        <v>0</v>
      </c>
      <c r="E41" s="1593">
        <f t="shared" si="2"/>
        <v>0</v>
      </c>
      <c r="F41" s="1593">
        <f t="shared" si="2"/>
        <v>642950</v>
      </c>
      <c r="G41" s="1593">
        <f t="shared" si="2"/>
        <v>392571</v>
      </c>
      <c r="H41" s="1593">
        <f t="shared" si="2"/>
        <v>52006</v>
      </c>
      <c r="I41" s="1593">
        <f t="shared" si="2"/>
        <v>958434</v>
      </c>
      <c r="J41" s="1593">
        <f t="shared" si="2"/>
        <v>457619</v>
      </c>
      <c r="K41" s="1593">
        <f t="shared" si="2"/>
        <v>654296</v>
      </c>
      <c r="L41" s="1593">
        <f t="shared" si="2"/>
        <v>59489</v>
      </c>
      <c r="M41" s="1593">
        <f>SUM(M40)</f>
        <v>60691561</v>
      </c>
      <c r="N41" s="1593">
        <f>SUM(N37)</f>
        <v>25206997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50" t="s">
        <v>1164</v>
      </c>
      <c r="B3" s="2251"/>
      <c r="C3" s="1310"/>
      <c r="D3" s="1311"/>
      <c r="E3" s="1311"/>
      <c r="F3" s="1311"/>
      <c r="G3" s="1311"/>
      <c r="H3" s="1311"/>
      <c r="I3" s="1311"/>
      <c r="J3" s="1311"/>
      <c r="K3" s="1312"/>
      <c r="L3" s="446"/>
    </row>
    <row r="4" spans="1:13" ht="15.75" customHeight="1" x14ac:dyDescent="0.2">
      <c r="A4" s="1536" t="s">
        <v>1481</v>
      </c>
      <c r="B4" s="1537">
        <v>1000</v>
      </c>
      <c r="C4" s="1605">
        <f>'Revenues 9-14'!C109</f>
        <v>6716246</v>
      </c>
      <c r="D4" s="1605">
        <f>'Revenues 9-14'!D109</f>
        <v>707491</v>
      </c>
      <c r="E4" s="1605">
        <f>'Revenues 9-14'!E109</f>
        <v>3646101</v>
      </c>
      <c r="F4" s="1605">
        <f>'Revenues 9-14'!F109</f>
        <v>797143</v>
      </c>
      <c r="G4" s="1605">
        <f>'Revenues 9-14'!G109</f>
        <v>606476</v>
      </c>
      <c r="H4" s="1605">
        <f>'Revenues 9-14'!H109</f>
        <v>-88</v>
      </c>
      <c r="I4" s="1605">
        <f>'Revenues 9-14'!I109</f>
        <v>71820</v>
      </c>
      <c r="J4" s="1605">
        <f>'Revenues 9-14'!J109</f>
        <v>554315</v>
      </c>
      <c r="K4" s="1605">
        <f>'Revenues 9-14'!K109</f>
        <v>122655</v>
      </c>
      <c r="L4" s="325"/>
    </row>
    <row r="5" spans="1:13" ht="15.75" customHeight="1" x14ac:dyDescent="0.2">
      <c r="A5" s="1313" t="s">
        <v>1482</v>
      </c>
      <c r="B5" s="1314">
        <v>2000</v>
      </c>
      <c r="C5" s="1606">
        <f>'Revenues 9-14'!C114</f>
        <v>0</v>
      </c>
      <c r="D5" s="1606">
        <f>'Revenues 9-14'!D114</f>
        <v>0</v>
      </c>
      <c r="E5" s="1607"/>
      <c r="F5" s="1606">
        <f>'Revenues 9-14'!F114</f>
        <v>0</v>
      </c>
      <c r="G5" s="1606">
        <f>'Revenues 9-14'!G114</f>
        <v>0</v>
      </c>
      <c r="H5" s="1608" t="s">
        <v>1158</v>
      </c>
      <c r="I5" s="1609" t="s">
        <v>1158</v>
      </c>
      <c r="J5" s="1610" t="s">
        <v>1158</v>
      </c>
      <c r="K5" s="1611" t="s">
        <v>1158</v>
      </c>
      <c r="L5" s="325"/>
    </row>
    <row r="6" spans="1:13" ht="15.75" customHeight="1" x14ac:dyDescent="0.2">
      <c r="A6" s="1313" t="s">
        <v>1483</v>
      </c>
      <c r="B6" s="1315">
        <v>3000</v>
      </c>
      <c r="C6" s="1606">
        <f>'Revenues 9-14'!C170</f>
        <v>22467931</v>
      </c>
      <c r="D6" s="1606">
        <f>'Revenues 9-14'!D170</f>
        <v>0</v>
      </c>
      <c r="E6" s="1606">
        <f>'Revenues 9-14'!E170</f>
        <v>0</v>
      </c>
      <c r="F6" s="1606">
        <f>'Revenues 9-14'!F170</f>
        <v>659862</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1484</v>
      </c>
      <c r="B7" s="1315">
        <v>4000</v>
      </c>
      <c r="C7" s="1606">
        <f>'Revenues 9-14'!C267</f>
        <v>4437617</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1161</v>
      </c>
      <c r="B8" s="1406"/>
      <c r="C8" s="1593">
        <f>SUM(C4:C7)</f>
        <v>33621794</v>
      </c>
      <c r="D8" s="1593">
        <f t="shared" ref="D8:K8" si="0">SUM(D4:D7)</f>
        <v>707491</v>
      </c>
      <c r="E8" s="1593">
        <f t="shared" si="0"/>
        <v>3646101</v>
      </c>
      <c r="F8" s="1593">
        <f t="shared" si="0"/>
        <v>1457005</v>
      </c>
      <c r="G8" s="1593">
        <f t="shared" si="0"/>
        <v>606476</v>
      </c>
      <c r="H8" s="1593">
        <f t="shared" si="0"/>
        <v>-88</v>
      </c>
      <c r="I8" s="1593">
        <f t="shared" si="0"/>
        <v>71820</v>
      </c>
      <c r="J8" s="1593">
        <f t="shared" si="0"/>
        <v>554315</v>
      </c>
      <c r="K8" s="1593">
        <f t="shared" si="0"/>
        <v>122655</v>
      </c>
      <c r="L8" s="325"/>
    </row>
    <row r="9" spans="1:13" ht="15.75" thickTop="1" x14ac:dyDescent="0.2">
      <c r="A9" s="449" t="s">
        <v>1633</v>
      </c>
      <c r="B9" s="450">
        <v>3998</v>
      </c>
      <c r="C9" s="1585">
        <v>14086960</v>
      </c>
      <c r="D9" s="1612"/>
      <c r="E9" s="1585"/>
      <c r="F9" s="1585"/>
      <c r="G9" s="1613"/>
      <c r="H9" s="1585"/>
      <c r="I9" s="1608" t="s">
        <v>1158</v>
      </c>
      <c r="J9" s="1582"/>
      <c r="K9" s="1585"/>
      <c r="L9" s="325"/>
    </row>
    <row r="10" spans="1:13" s="452" customFormat="1" ht="13.5" thickBot="1" x14ac:dyDescent="0.25">
      <c r="A10" s="1425" t="s">
        <v>1162</v>
      </c>
      <c r="B10" s="1406"/>
      <c r="C10" s="1593">
        <f>SUM(C8:C9)</f>
        <v>47708754</v>
      </c>
      <c r="D10" s="1593">
        <f t="shared" ref="D10:K10" si="1">SUM(D8:D9)</f>
        <v>707491</v>
      </c>
      <c r="E10" s="1593">
        <f t="shared" si="1"/>
        <v>3646101</v>
      </c>
      <c r="F10" s="1593">
        <f t="shared" si="1"/>
        <v>1457005</v>
      </c>
      <c r="G10" s="1593">
        <f t="shared" si="1"/>
        <v>606476</v>
      </c>
      <c r="H10" s="1593">
        <f t="shared" si="1"/>
        <v>-88</v>
      </c>
      <c r="I10" s="1593">
        <f t="shared" si="1"/>
        <v>71820</v>
      </c>
      <c r="J10" s="1593">
        <f t="shared" si="1"/>
        <v>554315</v>
      </c>
      <c r="K10" s="1593">
        <f t="shared" si="1"/>
        <v>122655</v>
      </c>
      <c r="L10" s="451"/>
    </row>
    <row r="11" spans="1:13" s="452" customFormat="1" ht="16.7" customHeight="1" thickTop="1" x14ac:dyDescent="0.2">
      <c r="A11" s="2224" t="s">
        <v>1165</v>
      </c>
      <c r="B11" s="2225"/>
      <c r="C11" s="1601"/>
      <c r="D11" s="1602"/>
      <c r="E11" s="1602"/>
      <c r="F11" s="1602"/>
      <c r="G11" s="1602"/>
      <c r="H11" s="1602"/>
      <c r="I11" s="1602"/>
      <c r="J11" s="1602"/>
      <c r="K11" s="1614"/>
      <c r="L11" s="451"/>
    </row>
    <row r="12" spans="1:13" ht="15.75" customHeight="1" x14ac:dyDescent="0.2">
      <c r="A12" s="1313" t="s">
        <v>452</v>
      </c>
      <c r="B12" s="1315">
        <v>1000</v>
      </c>
      <c r="C12" s="1605">
        <f>'Expenditures 15-22'!K33</f>
        <v>18501962</v>
      </c>
      <c r="D12" s="1615" t="s">
        <v>1158</v>
      </c>
      <c r="E12" s="1574" t="s">
        <v>1158</v>
      </c>
      <c r="F12" s="1574" t="s">
        <v>1158</v>
      </c>
      <c r="G12" s="1605">
        <f>'Expenditures 15-22'!K229</f>
        <v>284571</v>
      </c>
      <c r="H12" s="1616"/>
      <c r="I12" s="1574" t="s">
        <v>1158</v>
      </c>
      <c r="J12" s="1574" t="s">
        <v>1158</v>
      </c>
      <c r="K12" s="1616" t="s">
        <v>1158</v>
      </c>
      <c r="L12" s="325"/>
    </row>
    <row r="13" spans="1:13" ht="15.75" customHeight="1" x14ac:dyDescent="0.2">
      <c r="A13" s="1313" t="s">
        <v>453</v>
      </c>
      <c r="B13" s="1315">
        <v>2000</v>
      </c>
      <c r="C13" s="1606">
        <f>'Expenditures 15-22'!K74</f>
        <v>10708895</v>
      </c>
      <c r="D13" s="1606">
        <f>'Expenditures 15-22'!K129</f>
        <v>3897154</v>
      </c>
      <c r="E13" s="1575" t="s">
        <v>1158</v>
      </c>
      <c r="F13" s="1606">
        <f>'Expenditures 15-22'!K184</f>
        <v>814056</v>
      </c>
      <c r="G13" s="1606">
        <f>'Expenditures 15-22'!K279</f>
        <v>448622</v>
      </c>
      <c r="H13" s="1606">
        <f>'Expenditures 15-22'!K303</f>
        <v>0</v>
      </c>
      <c r="I13" s="1574" t="s">
        <v>1158</v>
      </c>
      <c r="J13" s="1606">
        <f>'Expenditures 15-22'!K330</f>
        <v>312309</v>
      </c>
      <c r="K13" s="1617">
        <f>'Expenditures 15-22'!K352</f>
        <v>0</v>
      </c>
      <c r="L13" s="325"/>
    </row>
    <row r="14" spans="1:13" ht="15.75" customHeight="1" x14ac:dyDescent="0.2">
      <c r="A14" s="1313" t="s">
        <v>445</v>
      </c>
      <c r="B14" s="1315">
        <v>3000</v>
      </c>
      <c r="C14" s="1606">
        <f>'Expenditures 15-22'!K75</f>
        <v>646416</v>
      </c>
      <c r="D14" s="1606">
        <f>'Expenditures 15-22'!K130</f>
        <v>0</v>
      </c>
      <c r="E14" s="1615" t="s">
        <v>1158</v>
      </c>
      <c r="F14" s="1606">
        <f>'Expenditures 15-22'!K185</f>
        <v>0</v>
      </c>
      <c r="G14" s="1606">
        <f>'Expenditures 15-22'!K280</f>
        <v>8239</v>
      </c>
      <c r="H14" s="1611"/>
      <c r="I14" s="1574" t="s">
        <v>1158</v>
      </c>
      <c r="J14" s="1574" t="s">
        <v>1158</v>
      </c>
      <c r="K14" s="1611" t="s">
        <v>1158</v>
      </c>
      <c r="L14" s="325"/>
    </row>
    <row r="15" spans="1:13" ht="15.75" customHeight="1" x14ac:dyDescent="0.2">
      <c r="A15" s="1313" t="s">
        <v>107</v>
      </c>
      <c r="B15" s="1315">
        <v>4000</v>
      </c>
      <c r="C15" s="1606">
        <f>'Expenditures 15-22'!K102</f>
        <v>2297456</v>
      </c>
      <c r="D15" s="1606">
        <f>'Expenditures 15-22'!K139</f>
        <v>0</v>
      </c>
      <c r="E15" s="1606">
        <f>'Expenditures 15-22'!K160</f>
        <v>0</v>
      </c>
      <c r="F15" s="1606">
        <f>'Expenditures 15-22'!K196</f>
        <v>0</v>
      </c>
      <c r="G15" s="1606">
        <f>'Expenditures 15-22'!K285</f>
        <v>0</v>
      </c>
      <c r="H15" s="1606">
        <f>'Expenditures 15-22'!K310</f>
        <v>0</v>
      </c>
      <c r="I15" s="1574" t="s">
        <v>1158</v>
      </c>
      <c r="J15" s="1618">
        <f>'Expenditures 15-22'!K334</f>
        <v>0</v>
      </c>
      <c r="K15" s="1606">
        <f>'Expenditures 15-22'!K357</f>
        <v>0</v>
      </c>
      <c r="L15" s="325"/>
    </row>
    <row r="16" spans="1:13" ht="15.75" customHeight="1" x14ac:dyDescent="0.2">
      <c r="A16" s="1313" t="s">
        <v>446</v>
      </c>
      <c r="B16" s="1315">
        <v>5000</v>
      </c>
      <c r="C16" s="1606">
        <f>'Expenditures 15-22'!K112</f>
        <v>0</v>
      </c>
      <c r="D16" s="1606">
        <f>'Expenditures 15-22'!K149</f>
        <v>0</v>
      </c>
      <c r="E16" s="1606">
        <f>'Expenditures 15-22'!K172</f>
        <v>4500873</v>
      </c>
      <c r="F16" s="1606">
        <f>'Expenditures 15-22'!K208</f>
        <v>0</v>
      </c>
      <c r="G16" s="1606">
        <f>'Expenditures 15-22'!K293</f>
        <v>0</v>
      </c>
      <c r="H16" s="1619"/>
      <c r="I16" s="1574" t="s">
        <v>1158</v>
      </c>
      <c r="J16" s="1620">
        <f>'Expenditures 15-22'!K340</f>
        <v>0</v>
      </c>
      <c r="K16" s="1606">
        <f>'Expenditures 15-22'!K365</f>
        <v>0</v>
      </c>
      <c r="L16" s="325"/>
    </row>
    <row r="17" spans="1:12" ht="13.5" thickBot="1" x14ac:dyDescent="0.25">
      <c r="A17" s="1405" t="s">
        <v>48</v>
      </c>
      <c r="B17" s="1406"/>
      <c r="C17" s="1593">
        <f t="shared" ref="C17:H17" si="2">SUM(C12:C16)</f>
        <v>32154729</v>
      </c>
      <c r="D17" s="1593">
        <f t="shared" si="2"/>
        <v>3897154</v>
      </c>
      <c r="E17" s="1593">
        <f t="shared" si="2"/>
        <v>4500873</v>
      </c>
      <c r="F17" s="1593">
        <f t="shared" si="2"/>
        <v>814056</v>
      </c>
      <c r="G17" s="1593">
        <f t="shared" si="2"/>
        <v>741432</v>
      </c>
      <c r="H17" s="1593">
        <f t="shared" si="2"/>
        <v>0</v>
      </c>
      <c r="I17" s="1574"/>
      <c r="J17" s="1593">
        <f>SUM(J12:J16)</f>
        <v>312309</v>
      </c>
      <c r="K17" s="1593">
        <f>SUM(K12:K16)</f>
        <v>0</v>
      </c>
      <c r="L17" s="325"/>
    </row>
    <row r="18" spans="1:12" ht="15" customHeight="1" thickTop="1" x14ac:dyDescent="0.2">
      <c r="A18" s="1429" t="s">
        <v>1634</v>
      </c>
      <c r="B18" s="1430">
        <v>4180</v>
      </c>
      <c r="C18" s="1605">
        <f t="shared" ref="C18:H18" si="3">C9</f>
        <v>14086960</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46241689</v>
      </c>
      <c r="D19" s="1593">
        <f t="shared" si="4"/>
        <v>3897154</v>
      </c>
      <c r="E19" s="1593">
        <f t="shared" si="4"/>
        <v>4500873</v>
      </c>
      <c r="F19" s="1593">
        <f t="shared" si="4"/>
        <v>814056</v>
      </c>
      <c r="G19" s="1593">
        <f t="shared" si="4"/>
        <v>741432</v>
      </c>
      <c r="H19" s="1593">
        <f t="shared" si="4"/>
        <v>0</v>
      </c>
      <c r="I19" s="1574"/>
      <c r="J19" s="1593">
        <f>SUM(J17:J18)</f>
        <v>312309</v>
      </c>
      <c r="K19" s="1593">
        <f>SUM(K17:K18)</f>
        <v>0</v>
      </c>
      <c r="L19" s="325"/>
    </row>
    <row r="20" spans="1:12" ht="16.5" thickTop="1" thickBot="1" x14ac:dyDescent="0.25">
      <c r="A20" s="2240" t="s">
        <v>1635</v>
      </c>
      <c r="B20" s="2241"/>
      <c r="C20" s="1621">
        <f>C8-C17</f>
        <v>1467065</v>
      </c>
      <c r="D20" s="1621">
        <f t="shared" ref="D20:K20" si="5">D8-D17</f>
        <v>-3189663</v>
      </c>
      <c r="E20" s="1621">
        <f t="shared" si="5"/>
        <v>-854772</v>
      </c>
      <c r="F20" s="1621">
        <f t="shared" si="5"/>
        <v>642949</v>
      </c>
      <c r="G20" s="1621">
        <f t="shared" si="5"/>
        <v>-134956</v>
      </c>
      <c r="H20" s="1621">
        <f t="shared" si="5"/>
        <v>-88</v>
      </c>
      <c r="I20" s="1621">
        <f t="shared" si="5"/>
        <v>71820</v>
      </c>
      <c r="J20" s="1621">
        <f t="shared" si="5"/>
        <v>242006</v>
      </c>
      <c r="K20" s="1621">
        <f t="shared" si="5"/>
        <v>122655</v>
      </c>
      <c r="L20" s="325"/>
    </row>
    <row r="21" spans="1:12" ht="16.7" customHeight="1" thickTop="1" x14ac:dyDescent="0.2">
      <c r="A21" s="2252" t="s">
        <v>590</v>
      </c>
      <c r="B21" s="2253"/>
      <c r="C21" s="1601"/>
      <c r="D21" s="1602"/>
      <c r="E21" s="1602"/>
      <c r="F21" s="1602"/>
      <c r="G21" s="1602"/>
      <c r="H21" s="1602"/>
      <c r="I21" s="1602"/>
      <c r="J21" s="1602"/>
      <c r="K21" s="1614"/>
      <c r="L21" s="453"/>
    </row>
    <row r="22" spans="1:12" ht="15.75" customHeight="1" collapsed="1" x14ac:dyDescent="0.2">
      <c r="A22" s="2248" t="s">
        <v>591</v>
      </c>
      <c r="B22" s="2249"/>
      <c r="C22" s="1581"/>
      <c r="D22" s="1581"/>
      <c r="E22" s="1581"/>
      <c r="F22" s="1581"/>
      <c r="G22" s="1581"/>
      <c r="H22" s="1581"/>
      <c r="I22" s="1581"/>
      <c r="J22" s="1581"/>
      <c r="K22" s="1581"/>
      <c r="L22" s="325"/>
    </row>
    <row r="23" spans="1:12" s="433" customFormat="1" ht="15.75" customHeight="1" x14ac:dyDescent="0.2">
      <c r="A23" s="2244" t="s">
        <v>289</v>
      </c>
      <c r="B23" s="2245"/>
      <c r="C23" s="1584"/>
      <c r="D23" s="1581"/>
      <c r="E23" s="1581"/>
      <c r="F23" s="1581"/>
      <c r="G23" s="1581"/>
      <c r="H23" s="1581"/>
      <c r="I23" s="1581"/>
      <c r="J23" s="1581"/>
      <c r="K23" s="1581"/>
      <c r="L23" s="453"/>
    </row>
    <row r="24" spans="1:12" s="433" customFormat="1" ht="13.5" customHeight="1" x14ac:dyDescent="0.2">
      <c r="A24" s="1259" t="s">
        <v>1636</v>
      </c>
      <c r="B24" s="454">
        <v>7110</v>
      </c>
      <c r="C24" s="1573"/>
      <c r="D24" s="1581"/>
      <c r="E24" s="1581"/>
      <c r="F24" s="1581"/>
      <c r="G24" s="1581"/>
      <c r="H24" s="1581"/>
      <c r="I24" s="1581"/>
      <c r="J24" s="1581"/>
      <c r="K24" s="1581"/>
      <c r="L24" s="453"/>
    </row>
    <row r="25" spans="1:12" s="433" customFormat="1" ht="13.5" customHeight="1" x14ac:dyDescent="0.2">
      <c r="A25" s="1259" t="s">
        <v>1637</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1380</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46" t="s">
        <v>973</v>
      </c>
      <c r="B32" s="2247"/>
      <c r="C32" s="1581"/>
      <c r="D32" s="1581"/>
      <c r="E32" s="1579"/>
      <c r="F32" s="1581"/>
      <c r="G32" s="1581"/>
      <c r="H32" s="1581"/>
      <c r="I32" s="1581"/>
      <c r="J32" s="1581"/>
      <c r="K32" s="1581"/>
      <c r="L32" s="453"/>
    </row>
    <row r="33" spans="1:12" s="433" customFormat="1" x14ac:dyDescent="0.2">
      <c r="A33" s="1259" t="s">
        <v>408</v>
      </c>
      <c r="B33" s="454">
        <v>7210</v>
      </c>
      <c r="C33" s="1573"/>
      <c r="D33" s="1573"/>
      <c r="E33" s="1573">
        <v>10085000</v>
      </c>
      <c r="F33" s="1573"/>
      <c r="G33" s="1581"/>
      <c r="H33" s="1573"/>
      <c r="I33" s="1573"/>
      <c r="J33" s="1573"/>
      <c r="K33" s="1573"/>
      <c r="L33" s="453"/>
    </row>
    <row r="34" spans="1:12" s="433" customFormat="1" x14ac:dyDescent="0.2">
      <c r="A34" s="1259" t="s">
        <v>993</v>
      </c>
      <c r="B34" s="454">
        <v>7220</v>
      </c>
      <c r="C34" s="1573"/>
      <c r="D34" s="1573"/>
      <c r="E34" s="1573">
        <v>423056</v>
      </c>
      <c r="F34" s="1573"/>
      <c r="G34" s="1581"/>
      <c r="H34" s="1582"/>
      <c r="I34" s="1582"/>
      <c r="J34" s="1582"/>
      <c r="K34" s="1582"/>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1638</v>
      </c>
      <c r="B36" s="454">
        <v>7300</v>
      </c>
      <c r="C36" s="1573"/>
      <c r="D36" s="1573"/>
      <c r="E36" s="1573"/>
      <c r="F36" s="1573"/>
      <c r="G36" s="1573"/>
      <c r="H36" s="1573"/>
      <c r="I36" s="1579"/>
      <c r="J36" s="1573"/>
      <c r="K36" s="1573"/>
      <c r="L36" s="453"/>
    </row>
    <row r="37" spans="1:12" s="433" customFormat="1" x14ac:dyDescent="0.2">
      <c r="A37" s="1259" t="s">
        <v>437</v>
      </c>
      <c r="B37" s="454">
        <v>7400</v>
      </c>
      <c r="C37" s="1579"/>
      <c r="D37" s="1579"/>
      <c r="E37" s="1606">
        <f>SUM(C54:D57,H54:H57)</f>
        <v>0</v>
      </c>
      <c r="F37" s="1579"/>
      <c r="G37" s="1579"/>
      <c r="H37" s="1579"/>
      <c r="I37" s="1581"/>
      <c r="J37" s="1579"/>
      <c r="K37" s="1579"/>
      <c r="L37" s="453"/>
    </row>
    <row r="38" spans="1:12" s="433" customFormat="1" x14ac:dyDescent="0.2">
      <c r="A38" s="1259" t="s">
        <v>438</v>
      </c>
      <c r="B38" s="454">
        <v>7500</v>
      </c>
      <c r="C38" s="1581"/>
      <c r="D38" s="1581"/>
      <c r="E38" s="1606">
        <f>SUM(C58:D61,H58:H61)</f>
        <v>0</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c r="E43" s="1573"/>
      <c r="F43" s="1573"/>
      <c r="G43" s="1573"/>
      <c r="H43" s="1573"/>
      <c r="I43" s="1573"/>
      <c r="J43" s="1573"/>
      <c r="K43" s="1573"/>
      <c r="L43" s="453"/>
    </row>
    <row r="44" spans="1:12" s="433" customFormat="1" ht="13.5" customHeight="1" thickBot="1" x14ac:dyDescent="0.25">
      <c r="A44" s="2254" t="s">
        <v>370</v>
      </c>
      <c r="B44" s="2255"/>
      <c r="C44" s="1623">
        <f>SUM(C24:C43)</f>
        <v>0</v>
      </c>
      <c r="D44" s="1623">
        <f t="shared" ref="D44:K44" si="6">SUM(D24:D43)</f>
        <v>0</v>
      </c>
      <c r="E44" s="1623">
        <f t="shared" si="6"/>
        <v>10508056</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8" t="s">
        <v>108</v>
      </c>
      <c r="B45" s="2249"/>
      <c r="C45" s="1624"/>
      <c r="D45" s="1624"/>
      <c r="E45" s="1624"/>
      <c r="F45" s="1624"/>
      <c r="G45" s="1624"/>
      <c r="H45" s="1624"/>
      <c r="I45" s="1624"/>
      <c r="J45" s="1624"/>
      <c r="K45" s="1624"/>
      <c r="L45" s="325"/>
    </row>
    <row r="46" spans="1:12" s="433" customFormat="1" ht="15.75" customHeight="1" x14ac:dyDescent="0.2">
      <c r="A46" s="2256" t="s">
        <v>109</v>
      </c>
      <c r="B46" s="2257"/>
      <c r="C46" s="1581"/>
      <c r="D46" s="1581"/>
      <c r="E46" s="1581"/>
      <c r="F46" s="1581"/>
      <c r="G46" s="1581"/>
      <c r="H46" s="1581"/>
      <c r="I46" s="1584"/>
      <c r="J46" s="1581"/>
      <c r="K46" s="1581"/>
      <c r="L46" s="456"/>
    </row>
    <row r="47" spans="1:12" s="433" customFormat="1" ht="15" x14ac:dyDescent="0.2">
      <c r="A47" s="1260" t="s">
        <v>1639</v>
      </c>
      <c r="B47" s="432">
        <v>8110</v>
      </c>
      <c r="C47" s="1581"/>
      <c r="D47" s="1581"/>
      <c r="E47" s="1581"/>
      <c r="F47" s="1581"/>
      <c r="G47" s="1581"/>
      <c r="H47" s="1581"/>
      <c r="I47" s="1606">
        <f>SUM(C24,C25:H25,J25:K25)</f>
        <v>0</v>
      </c>
      <c r="J47" s="1581"/>
      <c r="K47" s="1581"/>
      <c r="L47" s="456"/>
    </row>
    <row r="48" spans="1:12" s="433" customFormat="1" ht="15" x14ac:dyDescent="0.2">
      <c r="A48" s="1260" t="s">
        <v>1640</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1380</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c r="D54" s="1625"/>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c r="D58" s="1626"/>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v>10270776</v>
      </c>
      <c r="F75" s="1627"/>
      <c r="G75" s="1627"/>
      <c r="H75" s="1627"/>
      <c r="I75" s="1625"/>
      <c r="J75" s="1625"/>
      <c r="K75" s="1627"/>
      <c r="L75" s="453"/>
    </row>
    <row r="76" spans="1:12" s="433" customFormat="1" ht="14.25" thickTop="1" thickBot="1" x14ac:dyDescent="0.25">
      <c r="A76" s="2230" t="s">
        <v>436</v>
      </c>
      <c r="B76" s="2231"/>
      <c r="C76" s="1623">
        <f t="shared" ref="C76:K76" si="7">SUM(C47:C75)</f>
        <v>0</v>
      </c>
      <c r="D76" s="1623">
        <f t="shared" si="7"/>
        <v>0</v>
      </c>
      <c r="E76" s="1623">
        <f t="shared" si="7"/>
        <v>10270776</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32" t="s">
        <v>1166</v>
      </c>
      <c r="B77" s="2233"/>
      <c r="C77" s="1623">
        <f t="shared" ref="C77:K77" si="8">C44-C76</f>
        <v>0</v>
      </c>
      <c r="D77" s="1623">
        <f t="shared" si="8"/>
        <v>0</v>
      </c>
      <c r="E77" s="1623">
        <f t="shared" si="8"/>
        <v>237280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36" t="s">
        <v>592</v>
      </c>
      <c r="B78" s="2237"/>
      <c r="C78" s="1628">
        <f t="shared" ref="C78:K78" si="9">C20+C77</f>
        <v>1467065</v>
      </c>
      <c r="D78" s="1628">
        <f t="shared" si="9"/>
        <v>-3189663</v>
      </c>
      <c r="E78" s="1628">
        <f t="shared" si="9"/>
        <v>-617492</v>
      </c>
      <c r="F78" s="1628">
        <f t="shared" si="9"/>
        <v>642949</v>
      </c>
      <c r="G78" s="1628">
        <f t="shared" si="9"/>
        <v>-134956</v>
      </c>
      <c r="H78" s="1628">
        <f t="shared" si="9"/>
        <v>-88</v>
      </c>
      <c r="I78" s="1628">
        <f t="shared" si="9"/>
        <v>71820</v>
      </c>
      <c r="J78" s="1628">
        <f t="shared" si="9"/>
        <v>242006</v>
      </c>
      <c r="K78" s="1628">
        <f t="shared" si="9"/>
        <v>122655</v>
      </c>
      <c r="L78" s="457"/>
    </row>
    <row r="79" spans="1:12" ht="13.5" thickTop="1" x14ac:dyDescent="0.2">
      <c r="A79" s="1843" t="str">
        <f>"Fund Balances - July 1, "&amp;'AFR20'!E2-1</f>
        <v>Fund Balances - July 1, 2019</v>
      </c>
      <c r="B79" s="458"/>
      <c r="C79" s="1582">
        <v>18336216</v>
      </c>
      <c r="D79" s="1629">
        <v>-692001</v>
      </c>
      <c r="E79" s="1629">
        <v>-354084</v>
      </c>
      <c r="F79" s="1629">
        <v>-278939</v>
      </c>
      <c r="G79" s="1629">
        <v>415265</v>
      </c>
      <c r="H79" s="1629">
        <v>-2936</v>
      </c>
      <c r="I79" s="1629">
        <v>884010</v>
      </c>
      <c r="J79" s="1629">
        <v>-292328</v>
      </c>
      <c r="K79" s="1629">
        <v>526431</v>
      </c>
      <c r="L79" s="325"/>
    </row>
    <row r="80" spans="1:12" x14ac:dyDescent="0.2">
      <c r="A80" s="2242" t="s">
        <v>1770</v>
      </c>
      <c r="B80" s="2243"/>
      <c r="C80" s="1573"/>
      <c r="D80" s="1573"/>
      <c r="E80" s="1573"/>
      <c r="F80" s="1573"/>
      <c r="G80" s="1573"/>
      <c r="H80" s="1573"/>
      <c r="I80" s="1573"/>
      <c r="J80" s="1573"/>
      <c r="K80" s="1573"/>
      <c r="L80" s="325"/>
    </row>
    <row r="81" spans="1:12" ht="13.5" thickBot="1" x14ac:dyDescent="0.25">
      <c r="A81" s="2234" t="str">
        <f>"Fund Balances - June 30, "&amp;'AFR20'!E2</f>
        <v>Fund Balances - June 30, 2020</v>
      </c>
      <c r="B81" s="2235"/>
      <c r="C81" s="1593">
        <f>(SUM(C78:C80))</f>
        <v>19803281</v>
      </c>
      <c r="D81" s="1593">
        <f>SUM(D78:D80)</f>
        <v>-3881664</v>
      </c>
      <c r="E81" s="1593">
        <f t="shared" ref="E81:K81" si="10">SUM(E78:E80)</f>
        <v>-971576</v>
      </c>
      <c r="F81" s="1593">
        <f t="shared" si="10"/>
        <v>364010</v>
      </c>
      <c r="G81" s="1593">
        <f t="shared" si="10"/>
        <v>280309</v>
      </c>
      <c r="H81" s="1593">
        <f t="shared" si="10"/>
        <v>-3024</v>
      </c>
      <c r="I81" s="1593">
        <f t="shared" si="10"/>
        <v>955830</v>
      </c>
      <c r="J81" s="1593">
        <f t="shared" si="10"/>
        <v>-50322</v>
      </c>
      <c r="K81" s="1593">
        <f t="shared" si="10"/>
        <v>649086</v>
      </c>
      <c r="L81" s="325"/>
    </row>
    <row r="82" spans="1:12" ht="0.75" customHeight="1" thickTop="1" thickBot="1" x14ac:dyDescent="0.25">
      <c r="A82" s="459" t="s">
        <v>339</v>
      </c>
      <c r="B82" s="460"/>
      <c r="C82" s="461">
        <f>(C81-C79)</f>
        <v>1467065</v>
      </c>
      <c r="D82" s="461">
        <f t="shared" ref="D82:K82" si="11">(D81-D79)</f>
        <v>-3189663</v>
      </c>
      <c r="E82" s="461">
        <f t="shared" si="11"/>
        <v>-617492</v>
      </c>
      <c r="F82" s="461">
        <f t="shared" si="11"/>
        <v>642949</v>
      </c>
      <c r="G82" s="461">
        <f t="shared" si="11"/>
        <v>-134956</v>
      </c>
      <c r="H82" s="461">
        <f t="shared" si="11"/>
        <v>-88</v>
      </c>
      <c r="I82" s="461">
        <f t="shared" si="11"/>
        <v>71820</v>
      </c>
      <c r="J82" s="461">
        <f t="shared" si="11"/>
        <v>242006</v>
      </c>
      <c r="K82" s="461">
        <f t="shared" si="11"/>
        <v>122655</v>
      </c>
    </row>
    <row r="83" spans="1:12" ht="14.25" hidden="1" thickTop="1" thickBot="1" x14ac:dyDescent="0.25">
      <c r="A83" s="462" t="s">
        <v>340</v>
      </c>
      <c r="B83" s="428"/>
      <c r="C83" s="463">
        <f>C82/C81</f>
        <v>7.4081916021895566E-2</v>
      </c>
      <c r="D83" s="463">
        <f t="shared" ref="D83:K83" si="12">D82/D81</f>
        <v>0.8217256825938567</v>
      </c>
      <c r="E83" s="463">
        <f t="shared" si="12"/>
        <v>0.63555707427931529</v>
      </c>
      <c r="F83" s="463">
        <f t="shared" si="12"/>
        <v>1.7662948820087361</v>
      </c>
      <c r="G83" s="463">
        <f t="shared" si="12"/>
        <v>-0.48145439497126385</v>
      </c>
      <c r="H83" s="463">
        <f t="shared" si="12"/>
        <v>2.9100529100529099E-2</v>
      </c>
      <c r="I83" s="463">
        <f t="shared" si="12"/>
        <v>7.5138884529675778E-2</v>
      </c>
      <c r="J83" s="463">
        <f t="shared" si="12"/>
        <v>-4.8091490799252812</v>
      </c>
      <c r="K83" s="463">
        <f t="shared" si="12"/>
        <v>0.18896571486675109</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130" zoomScaleNormal="70" zoomScaleSheetLayoutView="130"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1777</v>
      </c>
      <c r="B1" s="416"/>
      <c r="C1" s="417" t="s">
        <v>421</v>
      </c>
      <c r="D1" s="417" t="s">
        <v>422</v>
      </c>
      <c r="E1" s="417" t="s">
        <v>423</v>
      </c>
      <c r="F1" s="417" t="s">
        <v>424</v>
      </c>
      <c r="G1" s="417" t="s">
        <v>425</v>
      </c>
      <c r="H1" s="417" t="s">
        <v>426</v>
      </c>
      <c r="I1" s="417" t="s">
        <v>427</v>
      </c>
      <c r="J1" s="417" t="s">
        <v>428</v>
      </c>
      <c r="K1" s="417" t="s">
        <v>750</v>
      </c>
    </row>
    <row r="2" spans="1:12" ht="36" x14ac:dyDescent="0.2">
      <c r="A2" s="223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585">
        <f>5348304+451358</f>
        <v>5799662</v>
      </c>
      <c r="D5" s="1585">
        <v>733455</v>
      </c>
      <c r="E5" s="1572">
        <v>3649973</v>
      </c>
      <c r="F5" s="1630">
        <v>798152</v>
      </c>
      <c r="G5" s="1572">
        <f>93478+505034</f>
        <v>598512</v>
      </c>
      <c r="H5" s="1572"/>
      <c r="I5" s="1572">
        <v>56420</v>
      </c>
      <c r="J5" s="1573">
        <v>557842</v>
      </c>
      <c r="K5" s="1572">
        <v>112839</v>
      </c>
    </row>
    <row r="6" spans="1:12" ht="15" x14ac:dyDescent="0.2">
      <c r="A6" s="427" t="s">
        <v>1642</v>
      </c>
      <c r="B6" s="429">
        <v>1130</v>
      </c>
      <c r="C6" s="1572"/>
      <c r="D6" s="1572"/>
      <c r="E6" s="1579"/>
      <c r="F6" s="1579"/>
      <c r="G6" s="1574"/>
      <c r="H6" s="1574"/>
      <c r="I6" s="1574"/>
      <c r="J6" s="1574"/>
      <c r="K6" s="1574"/>
    </row>
    <row r="7" spans="1:12" x14ac:dyDescent="0.2">
      <c r="A7" s="427" t="s">
        <v>110</v>
      </c>
      <c r="B7" s="471">
        <v>1140</v>
      </c>
      <c r="C7" s="1572"/>
      <c r="D7" s="1572"/>
      <c r="E7" s="1574"/>
      <c r="F7" s="1573"/>
      <c r="G7" s="1573"/>
      <c r="H7" s="1573"/>
      <c r="I7" s="1574"/>
      <c r="J7" s="1574"/>
      <c r="K7" s="1574"/>
    </row>
    <row r="8" spans="1:12" x14ac:dyDescent="0.2">
      <c r="A8" s="427" t="s">
        <v>409</v>
      </c>
      <c r="B8" s="429">
        <v>1150</v>
      </c>
      <c r="C8" s="1579"/>
      <c r="D8" s="1579"/>
      <c r="E8" s="1581"/>
      <c r="F8" s="1581"/>
      <c r="G8" s="1585"/>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410</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5799662</v>
      </c>
      <c r="D12" s="1632">
        <f t="shared" si="0"/>
        <v>733455</v>
      </c>
      <c r="E12" s="1632">
        <f t="shared" si="0"/>
        <v>3649973</v>
      </c>
      <c r="F12" s="1632">
        <f t="shared" si="0"/>
        <v>798152</v>
      </c>
      <c r="G12" s="1632">
        <f t="shared" si="0"/>
        <v>598512</v>
      </c>
      <c r="H12" s="1632">
        <f t="shared" si="0"/>
        <v>0</v>
      </c>
      <c r="I12" s="1632">
        <f t="shared" si="0"/>
        <v>56420</v>
      </c>
      <c r="J12" s="1632">
        <f t="shared" si="0"/>
        <v>557842</v>
      </c>
      <c r="K12" s="1593">
        <f t="shared" si="0"/>
        <v>112839</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1643</v>
      </c>
      <c r="B16" s="471">
        <v>1230</v>
      </c>
      <c r="C16" s="1631">
        <v>428904</v>
      </c>
      <c r="D16" s="1572"/>
      <c r="E16" s="1572"/>
      <c r="F16" s="1572"/>
      <c r="G16" s="1572"/>
      <c r="H16" s="1572"/>
      <c r="I16" s="1572"/>
      <c r="J16" s="1573"/>
      <c r="K16" s="1572"/>
    </row>
    <row r="17" spans="1:11" ht="12.75" customHeight="1" x14ac:dyDescent="0.2">
      <c r="A17" s="427" t="s">
        <v>801</v>
      </c>
      <c r="B17" s="429">
        <v>1290</v>
      </c>
      <c r="C17" s="1631"/>
      <c r="D17" s="1572"/>
      <c r="E17" s="1572"/>
      <c r="F17" s="1572"/>
      <c r="G17" s="1572"/>
      <c r="H17" s="1572"/>
      <c r="I17" s="1572"/>
      <c r="J17" s="1573"/>
      <c r="K17" s="1572"/>
    </row>
    <row r="18" spans="1:11" ht="12.75" customHeight="1" thickBot="1" x14ac:dyDescent="0.25">
      <c r="A18" s="1405" t="s">
        <v>533</v>
      </c>
      <c r="B18" s="1406"/>
      <c r="C18" s="1634">
        <f>SUM(C14:C17)</f>
        <v>428904</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1063</v>
      </c>
      <c r="B20" s="429">
        <v>1311</v>
      </c>
      <c r="C20" s="1572"/>
      <c r="D20" s="1574"/>
      <c r="E20" s="1574"/>
      <c r="F20" s="1574"/>
      <c r="G20" s="1574"/>
      <c r="H20" s="1574"/>
      <c r="I20" s="1574"/>
      <c r="J20" s="1574"/>
      <c r="K20" s="1574"/>
    </row>
    <row r="21" spans="1:11" ht="12.75" customHeight="1" x14ac:dyDescent="0.2">
      <c r="A21" s="427" t="s">
        <v>826</v>
      </c>
      <c r="B21" s="429">
        <v>1312</v>
      </c>
      <c r="C21" s="1631"/>
      <c r="D21" s="1574"/>
      <c r="E21" s="1574"/>
      <c r="F21" s="1574"/>
      <c r="G21" s="1574"/>
      <c r="H21" s="1574"/>
      <c r="I21" s="1574"/>
      <c r="J21" s="1574"/>
      <c r="K21" s="1574"/>
    </row>
    <row r="22" spans="1:11" ht="12.75" customHeight="1" x14ac:dyDescent="0.2">
      <c r="A22" s="427" t="s">
        <v>1064</v>
      </c>
      <c r="B22" s="429">
        <v>1313</v>
      </c>
      <c r="C22" s="1631"/>
      <c r="D22" s="1574"/>
      <c r="E22" s="1574"/>
      <c r="F22" s="1574"/>
      <c r="G22" s="1574"/>
      <c r="H22" s="1574"/>
      <c r="I22" s="1574"/>
      <c r="J22" s="1574"/>
      <c r="K22" s="1574"/>
    </row>
    <row r="23" spans="1:11" ht="12.75" customHeight="1" x14ac:dyDescent="0.2">
      <c r="A23" s="427" t="s">
        <v>1065</v>
      </c>
      <c r="B23" s="429">
        <v>1314</v>
      </c>
      <c r="C23" s="1597"/>
      <c r="D23" s="1574"/>
      <c r="E23" s="1574"/>
      <c r="F23" s="1574"/>
      <c r="G23" s="1574"/>
      <c r="H23" s="1574"/>
      <c r="I23" s="1574"/>
      <c r="J23" s="1574"/>
      <c r="K23" s="1574"/>
    </row>
    <row r="24" spans="1:11" ht="12.75" customHeight="1" x14ac:dyDescent="0.2">
      <c r="A24" s="427" t="s">
        <v>1019</v>
      </c>
      <c r="B24" s="429">
        <v>1321</v>
      </c>
      <c r="C24" s="1631"/>
      <c r="D24" s="1574"/>
      <c r="E24" s="1574"/>
      <c r="F24" s="1574"/>
      <c r="G24" s="1574"/>
      <c r="H24" s="1574"/>
      <c r="I24" s="1574"/>
      <c r="J24" s="1574"/>
      <c r="K24" s="1574"/>
    </row>
    <row r="25" spans="1:11" ht="12.75" customHeight="1" x14ac:dyDescent="0.2">
      <c r="A25" s="427" t="s">
        <v>827</v>
      </c>
      <c r="B25" s="429">
        <v>1322</v>
      </c>
      <c r="C25" s="1631"/>
      <c r="D25" s="1574"/>
      <c r="E25" s="1574"/>
      <c r="F25" s="1574"/>
      <c r="G25" s="1574"/>
      <c r="H25" s="1574"/>
      <c r="I25" s="1574"/>
      <c r="J25" s="1574"/>
      <c r="K25" s="1574"/>
    </row>
    <row r="26" spans="1:11" ht="12.75" customHeight="1" x14ac:dyDescent="0.2">
      <c r="A26" s="427" t="s">
        <v>1091</v>
      </c>
      <c r="B26" s="429">
        <v>1323</v>
      </c>
      <c r="C26" s="1631"/>
      <c r="D26" s="1574"/>
      <c r="E26" s="1574"/>
      <c r="F26" s="1574"/>
      <c r="G26" s="1574"/>
      <c r="H26" s="1574"/>
      <c r="I26" s="1574"/>
      <c r="J26" s="1574"/>
      <c r="K26" s="1574"/>
    </row>
    <row r="27" spans="1:11" ht="12.75" customHeight="1" x14ac:dyDescent="0.2">
      <c r="A27" s="427" t="s">
        <v>1015</v>
      </c>
      <c r="B27" s="429">
        <v>1324</v>
      </c>
      <c r="C27" s="1597"/>
      <c r="D27" s="1574"/>
      <c r="E27" s="1574"/>
      <c r="F27" s="1574"/>
      <c r="G27" s="1574"/>
      <c r="H27" s="1574"/>
      <c r="I27" s="1574"/>
      <c r="J27" s="1574"/>
      <c r="K27" s="1574"/>
    </row>
    <row r="28" spans="1:11" ht="12.75" customHeight="1" x14ac:dyDescent="0.2">
      <c r="A28" s="427" t="s">
        <v>1016</v>
      </c>
      <c r="B28" s="429">
        <v>1331</v>
      </c>
      <c r="C28" s="1631"/>
      <c r="D28" s="1574"/>
      <c r="E28" s="1574"/>
      <c r="F28" s="1574"/>
      <c r="G28" s="1574"/>
      <c r="H28" s="1574"/>
      <c r="I28" s="1574"/>
      <c r="J28" s="1574"/>
      <c r="K28" s="1574"/>
    </row>
    <row r="29" spans="1:11" ht="12.75" customHeight="1" x14ac:dyDescent="0.2">
      <c r="A29" s="427" t="s">
        <v>828</v>
      </c>
      <c r="B29" s="429">
        <v>1332</v>
      </c>
      <c r="C29" s="1631"/>
      <c r="D29" s="1574"/>
      <c r="E29" s="1574"/>
      <c r="F29" s="1574"/>
      <c r="G29" s="1574"/>
      <c r="H29" s="1574"/>
      <c r="I29" s="1574"/>
      <c r="J29" s="1574"/>
      <c r="K29" s="1574"/>
    </row>
    <row r="30" spans="1:11" ht="12.75" customHeight="1" x14ac:dyDescent="0.2">
      <c r="A30" s="427" t="s">
        <v>1018</v>
      </c>
      <c r="B30" s="429">
        <v>1333</v>
      </c>
      <c r="C30" s="1631"/>
      <c r="D30" s="1574"/>
      <c r="E30" s="1574"/>
      <c r="F30" s="1574"/>
      <c r="G30" s="1574"/>
      <c r="H30" s="1574"/>
      <c r="I30" s="1574"/>
      <c r="J30" s="1574"/>
      <c r="K30" s="1574"/>
    </row>
    <row r="31" spans="1:11" ht="12.75" customHeight="1" x14ac:dyDescent="0.2">
      <c r="A31" s="427" t="s">
        <v>1017</v>
      </c>
      <c r="B31" s="429">
        <v>1334</v>
      </c>
      <c r="C31" s="1597"/>
      <c r="D31" s="1574"/>
      <c r="E31" s="1574"/>
      <c r="F31" s="1574"/>
      <c r="G31" s="1574"/>
      <c r="H31" s="1574"/>
      <c r="I31" s="1574"/>
      <c r="J31" s="1574"/>
      <c r="K31" s="1574"/>
    </row>
    <row r="32" spans="1:11" ht="12.75" customHeight="1" x14ac:dyDescent="0.2">
      <c r="A32" s="427" t="s">
        <v>490</v>
      </c>
      <c r="B32" s="429">
        <v>1341</v>
      </c>
      <c r="C32" s="1631"/>
      <c r="D32" s="1574"/>
      <c r="E32" s="1574"/>
      <c r="F32" s="1574"/>
      <c r="G32" s="1574"/>
      <c r="H32" s="1574"/>
      <c r="I32" s="1574"/>
      <c r="J32" s="1574"/>
      <c r="K32" s="1574"/>
    </row>
    <row r="33" spans="1:11" ht="12.75" customHeight="1" x14ac:dyDescent="0.2">
      <c r="A33" s="427" t="s">
        <v>829</v>
      </c>
      <c r="B33" s="429">
        <v>1342</v>
      </c>
      <c r="C33" s="1631"/>
      <c r="D33" s="1574"/>
      <c r="E33" s="1574"/>
      <c r="F33" s="1574"/>
      <c r="G33" s="1574"/>
      <c r="H33" s="1574"/>
      <c r="I33" s="1574"/>
      <c r="J33" s="1574"/>
      <c r="K33" s="1574"/>
    </row>
    <row r="34" spans="1:11" ht="12.75" customHeight="1" x14ac:dyDescent="0.2">
      <c r="A34" s="427" t="s">
        <v>491</v>
      </c>
      <c r="B34" s="429">
        <v>1343</v>
      </c>
      <c r="C34" s="1631"/>
      <c r="D34" s="1574"/>
      <c r="E34" s="1574"/>
      <c r="F34" s="1574"/>
      <c r="G34" s="1574"/>
      <c r="H34" s="1574"/>
      <c r="I34" s="1574"/>
      <c r="J34" s="1574"/>
      <c r="K34" s="1574"/>
    </row>
    <row r="35" spans="1:11" ht="12.75" customHeight="1" x14ac:dyDescent="0.2">
      <c r="A35" s="427" t="s">
        <v>489</v>
      </c>
      <c r="B35" s="429">
        <v>1344</v>
      </c>
      <c r="C35" s="1597"/>
      <c r="D35" s="1574"/>
      <c r="E35" s="1574"/>
      <c r="F35" s="1574"/>
      <c r="G35" s="1574"/>
      <c r="H35" s="1574"/>
      <c r="I35" s="1574"/>
      <c r="J35" s="1574"/>
      <c r="K35" s="1574"/>
    </row>
    <row r="36" spans="1:11" ht="12.75" customHeight="1" x14ac:dyDescent="0.2">
      <c r="A36" s="427" t="s">
        <v>825</v>
      </c>
      <c r="B36" s="429">
        <v>1351</v>
      </c>
      <c r="C36" s="1631"/>
      <c r="D36" s="1574"/>
      <c r="E36" s="1574"/>
      <c r="F36" s="1574"/>
      <c r="G36" s="1574"/>
      <c r="H36" s="1574"/>
      <c r="I36" s="1574"/>
      <c r="J36" s="1574"/>
      <c r="K36" s="1574"/>
    </row>
    <row r="37" spans="1:11" ht="12.75" customHeight="1" x14ac:dyDescent="0.2">
      <c r="A37" s="427" t="s">
        <v>830</v>
      </c>
      <c r="B37" s="429">
        <v>1352</v>
      </c>
      <c r="C37" s="1631"/>
      <c r="D37" s="1574"/>
      <c r="E37" s="1574"/>
      <c r="F37" s="1574"/>
      <c r="G37" s="1574"/>
      <c r="H37" s="1574"/>
      <c r="I37" s="1574"/>
      <c r="J37" s="1574"/>
      <c r="K37" s="1574"/>
    </row>
    <row r="38" spans="1:11" ht="12.75" customHeight="1" x14ac:dyDescent="0.2">
      <c r="A38" s="427" t="s">
        <v>588</v>
      </c>
      <c r="B38" s="429">
        <v>1353</v>
      </c>
      <c r="C38" s="1631"/>
      <c r="D38" s="1574"/>
      <c r="E38" s="1574"/>
      <c r="F38" s="1574"/>
      <c r="G38" s="1574"/>
      <c r="H38" s="1574"/>
      <c r="I38" s="1574"/>
      <c r="J38" s="1574"/>
      <c r="K38" s="1574"/>
    </row>
    <row r="39" spans="1:11" ht="12.75" customHeight="1" x14ac:dyDescent="0.2">
      <c r="A39" s="1264" t="s">
        <v>589</v>
      </c>
      <c r="B39" s="474">
        <v>1354</v>
      </c>
      <c r="C39" s="1597"/>
      <c r="D39" s="1574"/>
      <c r="E39" s="1574"/>
      <c r="F39" s="1574"/>
      <c r="G39" s="1574"/>
      <c r="H39" s="1574"/>
      <c r="I39" s="1574"/>
      <c r="J39" s="1574"/>
      <c r="K39" s="1574"/>
    </row>
    <row r="40" spans="1:11" ht="12.75" customHeight="1" thickBot="1" x14ac:dyDescent="0.25">
      <c r="A40" s="1405" t="s">
        <v>534</v>
      </c>
      <c r="B40" s="1406"/>
      <c r="C40" s="1593">
        <f>SUM(C20:C39)</f>
        <v>0</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1066</v>
      </c>
      <c r="B42" s="429">
        <v>1411</v>
      </c>
      <c r="C42" s="1574"/>
      <c r="D42" s="1574"/>
      <c r="E42" s="1574"/>
      <c r="F42" s="1585"/>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1163</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1096</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1097</v>
      </c>
      <c r="B56" s="475">
        <v>1442</v>
      </c>
      <c r="C56" s="1574"/>
      <c r="D56" s="1574"/>
      <c r="E56" s="1574"/>
      <c r="F56" s="1572"/>
      <c r="G56" s="1574"/>
      <c r="H56" s="1574"/>
      <c r="I56" s="1574"/>
      <c r="J56" s="1574"/>
      <c r="K56" s="1574"/>
    </row>
    <row r="57" spans="1:11" ht="12.75" customHeight="1" x14ac:dyDescent="0.2">
      <c r="A57" s="1265" t="s">
        <v>485</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872</v>
      </c>
      <c r="B59" s="475">
        <v>1451</v>
      </c>
      <c r="C59" s="1574"/>
      <c r="D59" s="1574"/>
      <c r="E59" s="1574"/>
      <c r="F59" s="1572"/>
      <c r="G59" s="1574"/>
      <c r="H59" s="1574"/>
      <c r="I59" s="1574"/>
      <c r="J59" s="1574"/>
      <c r="K59" s="1574"/>
    </row>
    <row r="60" spans="1:11" ht="12.75" customHeight="1" x14ac:dyDescent="0.2">
      <c r="A60" s="1265" t="s">
        <v>1098</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6" t="s">
        <v>874</v>
      </c>
      <c r="B62" s="476">
        <v>1454</v>
      </c>
      <c r="C62" s="1574"/>
      <c r="D62" s="1574"/>
      <c r="E62" s="1574"/>
      <c r="F62" s="1573"/>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v>364052</v>
      </c>
      <c r="D65" s="1572">
        <v>-26769</v>
      </c>
      <c r="E65" s="1572">
        <v>-7001</v>
      </c>
      <c r="F65" s="1573">
        <v>-1009</v>
      </c>
      <c r="G65" s="1572">
        <v>7964</v>
      </c>
      <c r="H65" s="1572">
        <v>-88</v>
      </c>
      <c r="I65" s="1572">
        <v>15400</v>
      </c>
      <c r="J65" s="1573">
        <v>-3527</v>
      </c>
      <c r="K65" s="1572">
        <v>9816</v>
      </c>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5" t="s">
        <v>482</v>
      </c>
      <c r="B67" s="1406"/>
      <c r="C67" s="1593">
        <f>SUM(C65:C66)</f>
        <v>364052</v>
      </c>
      <c r="D67" s="1593">
        <f t="shared" ref="D67:K67" si="2">SUM(D65:D66)</f>
        <v>-26769</v>
      </c>
      <c r="E67" s="1593">
        <f t="shared" si="2"/>
        <v>-7001</v>
      </c>
      <c r="F67" s="1593">
        <f t="shared" si="2"/>
        <v>-1009</v>
      </c>
      <c r="G67" s="1593">
        <f t="shared" si="2"/>
        <v>7964</v>
      </c>
      <c r="H67" s="1593">
        <f t="shared" si="2"/>
        <v>-88</v>
      </c>
      <c r="I67" s="1593">
        <f t="shared" si="2"/>
        <v>15400</v>
      </c>
      <c r="J67" s="1593">
        <f t="shared" si="2"/>
        <v>-3527</v>
      </c>
      <c r="K67" s="1593">
        <f t="shared" si="2"/>
        <v>9816</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c r="D69" s="1574"/>
      <c r="E69" s="1574"/>
      <c r="F69" s="1574"/>
      <c r="G69" s="1574"/>
      <c r="H69" s="1574"/>
      <c r="I69" s="1574"/>
      <c r="J69" s="1574"/>
      <c r="K69" s="1574"/>
    </row>
    <row r="70" spans="1:11" ht="12.75" customHeight="1" x14ac:dyDescent="0.2">
      <c r="A70" s="427" t="s">
        <v>989</v>
      </c>
      <c r="B70" s="429">
        <v>1612</v>
      </c>
      <c r="C70" s="1631"/>
      <c r="D70" s="1574"/>
      <c r="E70" s="1574"/>
      <c r="F70" s="1574"/>
      <c r="G70" s="1574"/>
      <c r="H70" s="1574"/>
      <c r="I70" s="1574"/>
      <c r="J70" s="1574"/>
      <c r="K70" s="1574"/>
    </row>
    <row r="71" spans="1:11" ht="12.75" customHeight="1" x14ac:dyDescent="0.2">
      <c r="A71" s="427" t="s">
        <v>270</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990</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543</v>
      </c>
      <c r="B75" s="1406"/>
      <c r="C75" s="1593">
        <f>SUM(C69:C74)</f>
        <v>0</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545</v>
      </c>
      <c r="B79" s="429">
        <v>1720</v>
      </c>
      <c r="C79" s="1631">
        <v>6430</v>
      </c>
      <c r="D79" s="1572"/>
      <c r="E79" s="1574"/>
      <c r="F79" s="1574"/>
      <c r="G79" s="1574"/>
      <c r="H79" s="1574"/>
      <c r="I79" s="1574"/>
      <c r="J79" s="1574"/>
      <c r="K79" s="1574"/>
    </row>
    <row r="80" spans="1:11" ht="12.75" customHeight="1" x14ac:dyDescent="0.2">
      <c r="A80" s="427" t="s">
        <v>546</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6430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c r="D84" s="1574"/>
      <c r="E84" s="1574"/>
      <c r="F84" s="1574"/>
      <c r="G84" s="1574"/>
      <c r="H84" s="1574"/>
      <c r="I84" s="1574"/>
      <c r="J84" s="1574"/>
      <c r="K84" s="1574"/>
    </row>
    <row r="85" spans="1:11" ht="12.75" customHeight="1" x14ac:dyDescent="0.2">
      <c r="A85" s="427" t="s">
        <v>548</v>
      </c>
      <c r="B85" s="429">
        <v>1812</v>
      </c>
      <c r="C85" s="1631"/>
      <c r="D85" s="1574"/>
      <c r="E85" s="1574"/>
      <c r="F85" s="1574"/>
      <c r="G85" s="1574"/>
      <c r="H85" s="1574"/>
      <c r="I85" s="1574"/>
      <c r="J85" s="1574"/>
      <c r="K85" s="1574"/>
    </row>
    <row r="86" spans="1:11" ht="12.75" customHeight="1" x14ac:dyDescent="0.2">
      <c r="A86" s="427" t="s">
        <v>991</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549</v>
      </c>
      <c r="B88" s="429">
        <v>1821</v>
      </c>
      <c r="C88" s="1631"/>
      <c r="D88" s="1574"/>
      <c r="E88" s="1574"/>
      <c r="F88" s="1574"/>
      <c r="G88" s="1574"/>
      <c r="H88" s="1574"/>
      <c r="I88" s="1574"/>
      <c r="J88" s="1574"/>
      <c r="K88" s="1574"/>
    </row>
    <row r="89" spans="1:11" ht="12.75" customHeight="1" x14ac:dyDescent="0.2">
      <c r="A89" s="427" t="s">
        <v>708</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756</v>
      </c>
      <c r="B92" s="429">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1126</v>
      </c>
      <c r="B94" s="1331">
        <v>1900</v>
      </c>
      <c r="C94" s="1633"/>
      <c r="D94" s="1616"/>
      <c r="E94" s="1574"/>
      <c r="F94" s="1574"/>
      <c r="G94" s="1574"/>
      <c r="H94" s="1574"/>
      <c r="I94" s="1574"/>
      <c r="J94" s="1574"/>
      <c r="K94" s="1574"/>
    </row>
    <row r="95" spans="1:11" ht="12.75" customHeight="1" x14ac:dyDescent="0.2">
      <c r="A95" s="427" t="s">
        <v>1054</v>
      </c>
      <c r="B95" s="429">
        <v>1910</v>
      </c>
      <c r="C95" s="1572"/>
      <c r="D95" s="1631"/>
      <c r="E95" s="1616"/>
      <c r="F95" s="1616"/>
      <c r="G95" s="1616"/>
      <c r="H95" s="1616"/>
      <c r="I95" s="1616"/>
      <c r="J95" s="1616"/>
      <c r="K95" s="1616"/>
    </row>
    <row r="96" spans="1:11" ht="12.75" customHeight="1" x14ac:dyDescent="0.2">
      <c r="A96" s="427" t="s">
        <v>387</v>
      </c>
      <c r="B96" s="429">
        <v>1920</v>
      </c>
      <c r="C96" s="1631">
        <v>9747</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815</v>
      </c>
      <c r="B99" s="429">
        <v>1950</v>
      </c>
      <c r="C99" s="1597">
        <v>20189</v>
      </c>
      <c r="D99" s="1572">
        <v>385</v>
      </c>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341</v>
      </c>
      <c r="B103" s="429">
        <v>1983</v>
      </c>
      <c r="C103" s="1574"/>
      <c r="D103" s="1574"/>
      <c r="E103" s="1638"/>
      <c r="F103" s="1574"/>
      <c r="G103" s="1574"/>
      <c r="H103" s="1597"/>
      <c r="I103" s="1574"/>
      <c r="J103" s="1609"/>
      <c r="K103" s="1609"/>
    </row>
    <row r="104" spans="1:12" ht="12.75" customHeight="1" x14ac:dyDescent="0.2">
      <c r="A104" s="427" t="s">
        <v>824</v>
      </c>
      <c r="B104" s="429">
        <v>1991</v>
      </c>
      <c r="C104" s="1597"/>
      <c r="D104" s="1572"/>
      <c r="E104" s="1585"/>
      <c r="F104" s="1573"/>
      <c r="G104" s="1573"/>
      <c r="H104" s="1572"/>
      <c r="I104" s="1574"/>
      <c r="J104" s="1574"/>
      <c r="K104" s="1574"/>
    </row>
    <row r="105" spans="1:12" ht="12.75" customHeight="1" x14ac:dyDescent="0.2">
      <c r="A105" s="427" t="s">
        <v>816</v>
      </c>
      <c r="B105" s="429">
        <v>1992</v>
      </c>
      <c r="C105" s="1572"/>
      <c r="D105" s="1639"/>
      <c r="E105" s="1574"/>
      <c r="F105" s="1574"/>
      <c r="G105" s="1574"/>
      <c r="H105" s="1609"/>
      <c r="I105" s="1574"/>
      <c r="J105" s="1574"/>
      <c r="K105" s="1574"/>
    </row>
    <row r="106" spans="1:12" ht="12.75" customHeight="1" x14ac:dyDescent="0.2">
      <c r="A106" s="427" t="s">
        <v>1412</v>
      </c>
      <c r="B106" s="429">
        <v>1993</v>
      </c>
      <c r="C106" s="1572"/>
      <c r="D106" s="1597"/>
      <c r="E106" s="1573"/>
      <c r="F106" s="1573"/>
      <c r="G106" s="1573"/>
      <c r="H106" s="1573"/>
      <c r="I106" s="1616"/>
      <c r="J106" s="1573"/>
      <c r="K106" s="1573"/>
    </row>
    <row r="107" spans="1:12" ht="12.75" customHeight="1" x14ac:dyDescent="0.2">
      <c r="A107" s="427" t="s">
        <v>78</v>
      </c>
      <c r="B107" s="429">
        <v>1999</v>
      </c>
      <c r="C107" s="1631">
        <v>87262</v>
      </c>
      <c r="D107" s="1572">
        <v>420</v>
      </c>
      <c r="E107" s="1572">
        <v>3129</v>
      </c>
      <c r="F107" s="1572"/>
      <c r="G107" s="1572"/>
      <c r="H107" s="1572"/>
      <c r="I107" s="1572"/>
      <c r="J107" s="1573"/>
      <c r="K107" s="1572"/>
    </row>
    <row r="108" spans="1:12" ht="12.75" customHeight="1" thickBot="1" x14ac:dyDescent="0.25">
      <c r="A108" s="1405" t="s">
        <v>483</v>
      </c>
      <c r="B108" s="1407"/>
      <c r="C108" s="1632">
        <f>SUM(C95:C107)</f>
        <v>117198</v>
      </c>
      <c r="D108" s="1632">
        <f t="shared" ref="D108:K108" si="3">SUM(D95:D107)</f>
        <v>805</v>
      </c>
      <c r="E108" s="1632">
        <f t="shared" si="3"/>
        <v>3129</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565</v>
      </c>
      <c r="C109" s="1640">
        <f t="shared" ref="C109:K109" si="4">SUM(C12,C18,C40,C63,C67,C75,C82,C93,C108,)</f>
        <v>6716246</v>
      </c>
      <c r="D109" s="1640">
        <f t="shared" si="4"/>
        <v>707491</v>
      </c>
      <c r="E109" s="1640">
        <f t="shared" si="4"/>
        <v>3646101</v>
      </c>
      <c r="F109" s="1640">
        <f t="shared" si="4"/>
        <v>797143</v>
      </c>
      <c r="G109" s="1640">
        <f t="shared" si="4"/>
        <v>606476</v>
      </c>
      <c r="H109" s="1640">
        <f t="shared" si="4"/>
        <v>-88</v>
      </c>
      <c r="I109" s="1640">
        <f t="shared" si="4"/>
        <v>71820</v>
      </c>
      <c r="J109" s="1640">
        <f t="shared" si="4"/>
        <v>554315</v>
      </c>
      <c r="K109" s="1628">
        <f t="shared" si="4"/>
        <v>122655</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c r="D111" s="1585"/>
      <c r="E111" s="1639"/>
      <c r="F111" s="1585"/>
      <c r="G111" s="1585"/>
      <c r="H111" s="1639"/>
      <c r="I111" s="1574"/>
      <c r="J111" s="1574"/>
      <c r="K111" s="1574"/>
    </row>
    <row r="112" spans="1:12" ht="12.75" customHeight="1" x14ac:dyDescent="0.2">
      <c r="A112" s="427" t="s">
        <v>818</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800</v>
      </c>
      <c r="B114" s="1411" t="s">
        <v>564</v>
      </c>
      <c r="C114" s="1641">
        <f>SUM(C111:C113)</f>
        <v>0</v>
      </c>
      <c r="D114" s="1641">
        <f>SUM(D111:D113)</f>
        <v>0</v>
      </c>
      <c r="E114" s="1639" t="s">
        <v>1158</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1473</v>
      </c>
      <c r="B116" s="1333"/>
      <c r="C116" s="1642"/>
      <c r="D116" s="1616"/>
      <c r="E116" s="1639"/>
      <c r="F116" s="1616"/>
      <c r="G116" s="1616"/>
      <c r="H116" s="1639"/>
      <c r="I116" s="1574"/>
      <c r="J116" s="1616"/>
      <c r="K116" s="1616"/>
    </row>
    <row r="117" spans="1:11" ht="12.75" customHeight="1" x14ac:dyDescent="0.2">
      <c r="A117" s="427" t="s">
        <v>1647</v>
      </c>
      <c r="B117" s="478">
        <v>3001</v>
      </c>
      <c r="C117" s="1612">
        <v>20847577</v>
      </c>
      <c r="D117" s="1585"/>
      <c r="E117" s="1572"/>
      <c r="F117" s="1585"/>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484</v>
      </c>
      <c r="B122" s="1412"/>
      <c r="C122" s="1632">
        <f t="shared" ref="C122:H122" si="5">SUM(C117:C121)</f>
        <v>20847577</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1472</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v>8080</v>
      </c>
      <c r="D125" s="1639"/>
      <c r="E125" s="1574"/>
      <c r="F125" s="1630"/>
      <c r="G125" s="1574"/>
      <c r="H125" s="1574"/>
      <c r="I125" s="1574"/>
      <c r="J125" s="1574"/>
      <c r="K125" s="1574"/>
    </row>
    <row r="126" spans="1:11" ht="12.75" customHeight="1" x14ac:dyDescent="0.2">
      <c r="A126" s="427" t="s">
        <v>1428</v>
      </c>
      <c r="B126" s="478">
        <v>3105</v>
      </c>
      <c r="C126" s="1572"/>
      <c r="D126" s="1639"/>
      <c r="E126" s="1574"/>
      <c r="F126" s="1572"/>
      <c r="G126" s="1574"/>
      <c r="H126" s="1574"/>
      <c r="I126" s="1574"/>
      <c r="J126" s="1574"/>
      <c r="K126" s="1574"/>
    </row>
    <row r="127" spans="1:11" ht="12.75" customHeight="1" x14ac:dyDescent="0.2">
      <c r="A127" s="427" t="s">
        <v>861</v>
      </c>
      <c r="B127" s="478">
        <v>3110</v>
      </c>
      <c r="C127" s="1631"/>
      <c r="D127" s="1572"/>
      <c r="E127" s="1574"/>
      <c r="F127" s="1572"/>
      <c r="G127" s="1574"/>
      <c r="H127" s="1574"/>
      <c r="I127" s="1574"/>
      <c r="J127" s="1574"/>
      <c r="K127" s="1574"/>
    </row>
    <row r="128" spans="1:11" ht="12.75" customHeight="1" x14ac:dyDescent="0.2">
      <c r="A128" s="427" t="s">
        <v>105</v>
      </c>
      <c r="B128" s="478">
        <v>3120</v>
      </c>
      <c r="C128" s="1572">
        <v>181536</v>
      </c>
      <c r="D128" s="1639"/>
      <c r="E128" s="1574"/>
      <c r="F128" s="1572"/>
      <c r="G128" s="1574"/>
      <c r="H128" s="1574"/>
      <c r="I128" s="1574"/>
      <c r="J128" s="1574"/>
      <c r="K128" s="1574"/>
    </row>
    <row r="129" spans="1:11" ht="12.75" customHeight="1" x14ac:dyDescent="0.2">
      <c r="A129" s="427" t="s">
        <v>1429</v>
      </c>
      <c r="B129" s="478">
        <v>3130</v>
      </c>
      <c r="C129" s="1572">
        <v>3014</v>
      </c>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1024</v>
      </c>
      <c r="B132" s="1413"/>
      <c r="C132" s="1632">
        <f>SUM(C125:C131)</f>
        <v>192630</v>
      </c>
      <c r="D132" s="1632">
        <f>SUM(D125:D131)</f>
        <v>0</v>
      </c>
      <c r="E132" s="1575" t="s">
        <v>1158</v>
      </c>
      <c r="F132" s="1632">
        <f>SUM(F125:F131)</f>
        <v>0</v>
      </c>
      <c r="G132" s="1574" t="s">
        <v>1158</v>
      </c>
      <c r="H132" s="1574" t="s">
        <v>1158</v>
      </c>
      <c r="I132" s="1574" t="s">
        <v>1158</v>
      </c>
      <c r="J132" s="1574" t="s">
        <v>1158</v>
      </c>
      <c r="K132" s="1574" t="s">
        <v>1158</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c r="D134" s="1572"/>
      <c r="E134" s="1639"/>
      <c r="F134" s="1574"/>
      <c r="G134" s="1572"/>
      <c r="H134" s="1574"/>
      <c r="I134" s="1574"/>
      <c r="J134" s="1574"/>
      <c r="K134" s="1574"/>
    </row>
    <row r="135" spans="1:11" ht="12.75" customHeight="1" x14ac:dyDescent="0.2">
      <c r="A135" s="427" t="s">
        <v>663</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595</v>
      </c>
      <c r="B137" s="478">
        <v>3235</v>
      </c>
      <c r="C137" s="1597"/>
      <c r="D137" s="1573"/>
      <c r="E137" s="1639"/>
      <c r="F137" s="1574"/>
      <c r="G137" s="1573"/>
      <c r="H137" s="1574"/>
      <c r="I137" s="1574"/>
      <c r="J137" s="1574"/>
      <c r="K137" s="1574"/>
    </row>
    <row r="138" spans="1:11" ht="12.75" customHeight="1" x14ac:dyDescent="0.2">
      <c r="A138" s="427" t="s">
        <v>596</v>
      </c>
      <c r="B138" s="478">
        <v>3240</v>
      </c>
      <c r="C138" s="1597"/>
      <c r="D138" s="1573"/>
      <c r="E138" s="1639"/>
      <c r="F138" s="1574"/>
      <c r="G138" s="1573"/>
      <c r="H138" s="1574"/>
      <c r="I138" s="1574"/>
      <c r="J138" s="1574"/>
      <c r="K138" s="1574"/>
    </row>
    <row r="139" spans="1:11" ht="12.75" customHeight="1" x14ac:dyDescent="0.2">
      <c r="A139" s="427" t="s">
        <v>597</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598</v>
      </c>
      <c r="B141" s="1413"/>
      <c r="C141" s="1632">
        <f>SUM(C134:C140)</f>
        <v>0</v>
      </c>
      <c r="D141" s="1632">
        <f>SUM(D134:D140)</f>
        <v>0</v>
      </c>
      <c r="E141" s="1639" t="s">
        <v>1158</v>
      </c>
      <c r="F141" s="1581"/>
      <c r="G141" s="1632">
        <f>SUM(G134:G140)</f>
        <v>0</v>
      </c>
      <c r="H141" s="1574" t="s">
        <v>1158</v>
      </c>
      <c r="I141" s="1574" t="s">
        <v>1158</v>
      </c>
      <c r="J141" s="1574" t="s">
        <v>1158</v>
      </c>
      <c r="K141" s="1574" t="s">
        <v>1158</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c r="D143" s="1574"/>
      <c r="E143" s="1639"/>
      <c r="F143" s="1574"/>
      <c r="G143" s="1572"/>
      <c r="H143" s="1574"/>
      <c r="I143" s="1574"/>
      <c r="J143" s="1574"/>
      <c r="K143" s="1574"/>
    </row>
    <row r="144" spans="1:11" ht="12.75" customHeight="1" x14ac:dyDescent="0.2">
      <c r="A144" s="427" t="s">
        <v>343</v>
      </c>
      <c r="B144" s="478">
        <v>3310</v>
      </c>
      <c r="C144" s="1631"/>
      <c r="D144" s="1574"/>
      <c r="E144" s="1639"/>
      <c r="F144" s="1574"/>
      <c r="G144" s="1572"/>
      <c r="H144" s="1574"/>
      <c r="I144" s="1574"/>
      <c r="J144" s="1574"/>
      <c r="K144" s="1574"/>
    </row>
    <row r="145" spans="1:11" s="197" customFormat="1" ht="13.5" thickBot="1" x14ac:dyDescent="0.25">
      <c r="A145" s="1405" t="s">
        <v>392</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1046</v>
      </c>
      <c r="B146" s="482">
        <v>3360</v>
      </c>
      <c r="C146" s="1645">
        <v>22263</v>
      </c>
      <c r="D146" s="1646"/>
      <c r="E146" s="1608"/>
      <c r="F146" s="1574"/>
      <c r="G146" s="1647"/>
      <c r="H146" s="1574"/>
      <c r="I146" s="1574"/>
      <c r="J146" s="1574"/>
      <c r="K146" s="1574"/>
    </row>
    <row r="147" spans="1:11" ht="12.75" customHeight="1" thickBot="1" x14ac:dyDescent="0.25">
      <c r="A147" s="1268" t="s">
        <v>915</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761</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1430</v>
      </c>
      <c r="B152" s="478">
        <v>3500</v>
      </c>
      <c r="C152" s="1631"/>
      <c r="D152" s="1572"/>
      <c r="E152" s="1639"/>
      <c r="F152" s="1572">
        <v>9446</v>
      </c>
      <c r="G152" s="1573"/>
      <c r="H152" s="1574"/>
      <c r="I152" s="1574"/>
      <c r="J152" s="1574"/>
      <c r="K152" s="1574"/>
    </row>
    <row r="153" spans="1:11" ht="12.75" customHeight="1" x14ac:dyDescent="0.2">
      <c r="A153" s="427" t="s">
        <v>1047</v>
      </c>
      <c r="B153" s="478">
        <v>3510</v>
      </c>
      <c r="C153" s="1631"/>
      <c r="D153" s="1572"/>
      <c r="E153" s="1639"/>
      <c r="F153" s="1572">
        <v>650416</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659862</v>
      </c>
      <c r="G155" s="1632">
        <f>SUM(G152:G154)</f>
        <v>0</v>
      </c>
      <c r="H155" s="1574"/>
      <c r="I155" s="1574"/>
      <c r="J155" s="1574"/>
      <c r="K155" s="1574"/>
    </row>
    <row r="156" spans="1:11" ht="12.75" customHeight="1" thickTop="1" thickBot="1" x14ac:dyDescent="0.25">
      <c r="A156" s="1269" t="s">
        <v>376</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992</v>
      </c>
      <c r="B158" s="484">
        <v>3695</v>
      </c>
      <c r="C158" s="1650"/>
      <c r="D158" s="1574"/>
      <c r="E158" s="1639"/>
      <c r="F158" s="1650"/>
      <c r="G158" s="1650"/>
      <c r="H158" s="1574"/>
      <c r="I158" s="1574"/>
      <c r="J158" s="1574"/>
      <c r="K158" s="1574"/>
    </row>
    <row r="159" spans="1:11" ht="12.75" customHeight="1" thickTop="1" thickBot="1" x14ac:dyDescent="0.25">
      <c r="A159" s="1269" t="s">
        <v>1041</v>
      </c>
      <c r="B159" s="484">
        <v>3705</v>
      </c>
      <c r="C159" s="1650">
        <v>1404134</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977</v>
      </c>
      <c r="B161" s="484">
        <v>3767</v>
      </c>
      <c r="C161" s="1650"/>
      <c r="D161" s="1626"/>
      <c r="E161" s="1639"/>
      <c r="F161" s="1626"/>
      <c r="G161" s="1626"/>
      <c r="H161" s="1574"/>
      <c r="I161" s="1574"/>
      <c r="J161" s="1574"/>
      <c r="K161" s="1574"/>
    </row>
    <row r="162" spans="1:11" ht="12.75" customHeight="1" thickTop="1" thickBot="1" x14ac:dyDescent="0.25">
      <c r="A162" s="1269" t="s">
        <v>978</v>
      </c>
      <c r="B162" s="484">
        <v>3775</v>
      </c>
      <c r="C162" s="1650"/>
      <c r="D162" s="1648"/>
      <c r="E162" s="1625"/>
      <c r="F162" s="1648"/>
      <c r="G162" s="1627"/>
      <c r="H162" s="1625"/>
      <c r="I162" s="1574"/>
      <c r="J162" s="1574"/>
      <c r="K162" s="1625"/>
    </row>
    <row r="163" spans="1:11" ht="12.75" customHeight="1" thickTop="1" thickBot="1" x14ac:dyDescent="0.25">
      <c r="A163" s="1269" t="s">
        <v>1431</v>
      </c>
      <c r="B163" s="484">
        <v>3780</v>
      </c>
      <c r="C163" s="1626"/>
      <c r="D163" s="1625"/>
      <c r="E163" s="1626"/>
      <c r="F163" s="1626"/>
      <c r="G163" s="1626"/>
      <c r="H163" s="1626"/>
      <c r="I163" s="1574"/>
      <c r="J163" s="1574"/>
      <c r="K163" s="1626"/>
    </row>
    <row r="164" spans="1:11" ht="12.75" customHeight="1" thickTop="1" thickBot="1" x14ac:dyDescent="0.25">
      <c r="A164" s="1269" t="s">
        <v>852</v>
      </c>
      <c r="B164" s="484">
        <v>3815</v>
      </c>
      <c r="C164" s="1650"/>
      <c r="D164" s="1574"/>
      <c r="E164" s="1639"/>
      <c r="F164" s="1650"/>
      <c r="G164" s="1574"/>
      <c r="H164" s="1574"/>
      <c r="I164" s="1574"/>
      <c r="J164" s="1574"/>
      <c r="K164" s="1574"/>
    </row>
    <row r="165" spans="1:11" ht="12.75" customHeight="1" thickTop="1" thickBot="1" x14ac:dyDescent="0.25">
      <c r="A165" s="1269" t="s">
        <v>393</v>
      </c>
      <c r="B165" s="484">
        <v>3825</v>
      </c>
      <c r="C165" s="1650"/>
      <c r="D165" s="1574"/>
      <c r="E165" s="1639"/>
      <c r="F165" s="1650"/>
      <c r="G165" s="1574"/>
      <c r="H165" s="1574"/>
      <c r="I165" s="1574"/>
      <c r="J165" s="1574"/>
      <c r="K165" s="1574"/>
    </row>
    <row r="166" spans="1:11" ht="12.75" customHeight="1" thickTop="1" thickBot="1" x14ac:dyDescent="0.25">
      <c r="A166" s="1269" t="s">
        <v>344</v>
      </c>
      <c r="B166" s="484">
        <v>3920</v>
      </c>
      <c r="C166" s="1644"/>
      <c r="D166" s="1652"/>
      <c r="E166" s="1574"/>
      <c r="F166" s="1644"/>
      <c r="G166" s="1574"/>
      <c r="H166" s="1625"/>
      <c r="I166" s="1574"/>
      <c r="J166" s="1574"/>
      <c r="K166" s="1574"/>
    </row>
    <row r="167" spans="1:11" ht="12.75" customHeight="1" thickTop="1" thickBot="1" x14ac:dyDescent="0.25">
      <c r="A167" s="1269" t="s">
        <v>345</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1327</v>
      </c>
      <c r="D168" s="1654"/>
      <c r="E168" s="1654"/>
      <c r="F168" s="1654"/>
      <c r="G168" s="1655"/>
      <c r="H168" s="1656"/>
      <c r="I168" s="1655"/>
      <c r="J168" s="1655"/>
      <c r="K168" s="1656"/>
    </row>
    <row r="169" spans="1:11" ht="12.75" customHeight="1" thickTop="1" thickBot="1" x14ac:dyDescent="0.25">
      <c r="A169" s="2258" t="s">
        <v>394</v>
      </c>
      <c r="B169" s="2259"/>
      <c r="C169" s="1657">
        <f t="shared" ref="C169:K169" si="6">SUM(C132,C141,C145,C146:C150,C155,C156:C167,C168)</f>
        <v>1620354</v>
      </c>
      <c r="D169" s="1657">
        <f t="shared" si="6"/>
        <v>0</v>
      </c>
      <c r="E169" s="1657">
        <f t="shared" si="6"/>
        <v>0</v>
      </c>
      <c r="F169" s="1657">
        <f t="shared" si="6"/>
        <v>659862</v>
      </c>
      <c r="G169" s="1657">
        <f t="shared" si="6"/>
        <v>0</v>
      </c>
      <c r="H169" s="1657">
        <f t="shared" si="6"/>
        <v>0</v>
      </c>
      <c r="I169" s="1657">
        <f t="shared" si="6"/>
        <v>0</v>
      </c>
      <c r="J169" s="1657">
        <f t="shared" si="6"/>
        <v>0</v>
      </c>
      <c r="K169" s="1623">
        <f t="shared" si="6"/>
        <v>0</v>
      </c>
    </row>
    <row r="170" spans="1:11" ht="12.75" customHeight="1" thickTop="1" thickBot="1" x14ac:dyDescent="0.25">
      <c r="A170" s="1405" t="s">
        <v>395</v>
      </c>
      <c r="B170" s="1409" t="s">
        <v>570</v>
      </c>
      <c r="C170" s="1640">
        <f t="shared" ref="C170:K170" si="7">SUM(C122,C169)</f>
        <v>22467931</v>
      </c>
      <c r="D170" s="1640">
        <f t="shared" si="7"/>
        <v>0</v>
      </c>
      <c r="E170" s="1640">
        <f t="shared" si="7"/>
        <v>0</v>
      </c>
      <c r="F170" s="1640">
        <f t="shared" si="7"/>
        <v>659862</v>
      </c>
      <c r="G170" s="1640">
        <f t="shared" si="7"/>
        <v>0</v>
      </c>
      <c r="H170" s="1640">
        <f t="shared" si="7"/>
        <v>0</v>
      </c>
      <c r="I170" s="1640">
        <f t="shared" si="7"/>
        <v>0</v>
      </c>
      <c r="J170" s="1640">
        <f t="shared" si="7"/>
        <v>0</v>
      </c>
      <c r="K170" s="1628">
        <f t="shared" si="7"/>
        <v>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60" t="s">
        <v>1474</v>
      </c>
      <c r="B172" s="2261"/>
      <c r="C172" s="1615"/>
      <c r="D172" s="1615"/>
      <c r="E172" s="1608"/>
      <c r="F172" s="1574"/>
      <c r="G172" s="1574"/>
      <c r="H172" s="1574"/>
      <c r="I172" s="1574"/>
      <c r="J172" s="1574"/>
      <c r="K172" s="1574"/>
    </row>
    <row r="173" spans="1:11" ht="12.6" customHeight="1" x14ac:dyDescent="0.2">
      <c r="A173" s="436" t="s">
        <v>1034</v>
      </c>
      <c r="B173" s="435">
        <v>4001</v>
      </c>
      <c r="C173" s="1612"/>
      <c r="D173" s="1585"/>
      <c r="E173" s="1573"/>
      <c r="F173" s="1572"/>
      <c r="G173" s="1572"/>
      <c r="H173" s="1573"/>
      <c r="I173" s="1573"/>
      <c r="J173" s="1573"/>
      <c r="K173" s="1573"/>
    </row>
    <row r="174" spans="1:11" ht="22.5" x14ac:dyDescent="0.2">
      <c r="A174" s="479" t="s">
        <v>799</v>
      </c>
      <c r="B174" s="485">
        <v>4009</v>
      </c>
      <c r="C174" s="1631"/>
      <c r="D174" s="1572"/>
      <c r="E174" s="1573"/>
      <c r="F174" s="1572"/>
      <c r="G174" s="1572"/>
      <c r="H174" s="1573"/>
      <c r="I174" s="1573"/>
      <c r="J174" s="1573"/>
      <c r="K174" s="1573"/>
    </row>
    <row r="175" spans="1:11" ht="13.5" thickBot="1" x14ac:dyDescent="0.25">
      <c r="A175" s="2264" t="s">
        <v>1645</v>
      </c>
      <c r="B175" s="226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8" t="s">
        <v>1644</v>
      </c>
      <c r="B176" s="2269"/>
      <c r="C176" s="1658"/>
      <c r="D176" s="1659"/>
      <c r="E176" s="1660"/>
      <c r="F176" s="1661"/>
      <c r="G176" s="1661"/>
      <c r="H176" s="1661"/>
      <c r="I176" s="1661"/>
      <c r="J176" s="1661"/>
      <c r="K176" s="1661"/>
    </row>
    <row r="177" spans="1:11" ht="12.75" customHeight="1" x14ac:dyDescent="0.2">
      <c r="A177" s="427" t="s">
        <v>1035</v>
      </c>
      <c r="B177" s="429">
        <v>4045</v>
      </c>
      <c r="C177" s="1631"/>
      <c r="D177" s="1574"/>
      <c r="E177" s="1639"/>
      <c r="F177" s="1574"/>
      <c r="G177" s="1574"/>
      <c r="H177" s="1574"/>
      <c r="I177" s="1574"/>
      <c r="J177" s="1574"/>
      <c r="K177" s="1574"/>
    </row>
    <row r="178" spans="1:11" ht="12.75" customHeight="1" x14ac:dyDescent="0.2">
      <c r="A178" s="427" t="s">
        <v>1036</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780</v>
      </c>
      <c r="B180" s="485">
        <v>4090</v>
      </c>
      <c r="C180" s="1631"/>
      <c r="D180" s="1572"/>
      <c r="E180" s="1574"/>
      <c r="F180" s="1572"/>
      <c r="G180" s="1572"/>
      <c r="H180" s="1572"/>
      <c r="I180" s="1574"/>
      <c r="J180" s="1574"/>
      <c r="K180" s="1572"/>
    </row>
    <row r="181" spans="1:11" ht="13.5" thickBot="1" x14ac:dyDescent="0.25">
      <c r="A181" s="2266" t="s">
        <v>779</v>
      </c>
      <c r="B181" s="226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2" t="s">
        <v>1778</v>
      </c>
      <c r="B182" s="2263"/>
      <c r="C182" s="1662"/>
      <c r="D182" s="1644"/>
      <c r="E182" s="1608"/>
      <c r="F182" s="1644"/>
      <c r="G182" s="1644"/>
      <c r="H182" s="1574"/>
      <c r="I182" s="1574"/>
      <c r="J182" s="1574"/>
      <c r="K182" s="1574"/>
    </row>
    <row r="183" spans="1:11" ht="15.75" customHeight="1" x14ac:dyDescent="0.2">
      <c r="A183" s="1340" t="s">
        <v>1584</v>
      </c>
      <c r="B183" s="1341"/>
      <c r="C183" s="1642"/>
      <c r="D183" s="1616"/>
      <c r="E183" s="1608"/>
      <c r="F183" s="1616"/>
      <c r="G183" s="1616"/>
      <c r="H183" s="1574"/>
      <c r="I183" s="1574"/>
      <c r="J183" s="1574"/>
      <c r="K183" s="1574"/>
    </row>
    <row r="184" spans="1:11" ht="12.75" customHeight="1" x14ac:dyDescent="0.2">
      <c r="A184" s="427" t="s">
        <v>1585</v>
      </c>
      <c r="B184" s="429">
        <v>4100</v>
      </c>
      <c r="C184" s="1612"/>
      <c r="D184" s="1585"/>
      <c r="E184" s="1639"/>
      <c r="F184" s="1585"/>
      <c r="G184" s="1585"/>
      <c r="H184" s="1574"/>
      <c r="I184" s="1574"/>
      <c r="J184" s="1574"/>
      <c r="K184" s="1574"/>
    </row>
    <row r="185" spans="1:11" ht="12.75" customHeight="1" x14ac:dyDescent="0.2">
      <c r="A185" s="427" t="s">
        <v>1586</v>
      </c>
      <c r="B185" s="429">
        <v>4105</v>
      </c>
      <c r="C185" s="1631"/>
      <c r="D185" s="1572"/>
      <c r="E185" s="1639"/>
      <c r="F185" s="1572"/>
      <c r="G185" s="1572"/>
      <c r="H185" s="1574"/>
      <c r="I185" s="1574"/>
      <c r="J185" s="1574"/>
      <c r="K185" s="1574"/>
    </row>
    <row r="186" spans="1:11" ht="12.75" customHeight="1" x14ac:dyDescent="0.2">
      <c r="A186" s="427" t="s">
        <v>1588</v>
      </c>
      <c r="B186" s="429">
        <v>4107</v>
      </c>
      <c r="C186" s="1631"/>
      <c r="D186" s="1572"/>
      <c r="E186" s="1639"/>
      <c r="F186" s="1572"/>
      <c r="G186" s="1572"/>
      <c r="H186" s="1574"/>
      <c r="I186" s="1574"/>
      <c r="J186" s="1574"/>
      <c r="K186" s="1574"/>
    </row>
    <row r="187" spans="1:11" ht="12.75" customHeight="1" x14ac:dyDescent="0.2">
      <c r="A187" s="427" t="s">
        <v>1587</v>
      </c>
      <c r="B187" s="429">
        <v>4199</v>
      </c>
      <c r="C187" s="1631"/>
      <c r="D187" s="1572"/>
      <c r="E187" s="1639"/>
      <c r="F187" s="1572"/>
      <c r="G187" s="1572"/>
      <c r="H187" s="1574"/>
      <c r="I187" s="1574"/>
      <c r="J187" s="1574"/>
      <c r="K187" s="1574"/>
    </row>
    <row r="188" spans="1:11" ht="12.75" customHeight="1" thickBot="1" x14ac:dyDescent="0.25">
      <c r="A188" s="1405" t="s">
        <v>1589</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1432</v>
      </c>
      <c r="B190" s="429">
        <v>4200</v>
      </c>
      <c r="C190" s="1573"/>
      <c r="D190" s="1574"/>
      <c r="E190" s="1639"/>
      <c r="F190" s="1633"/>
      <c r="G190" s="1663"/>
      <c r="H190" s="1574"/>
      <c r="I190" s="1574"/>
      <c r="J190" s="1574"/>
      <c r="K190" s="1574"/>
    </row>
    <row r="191" spans="1:11" ht="12.75" customHeight="1" x14ac:dyDescent="0.2">
      <c r="A191" s="427" t="s">
        <v>1048</v>
      </c>
      <c r="B191" s="429">
        <v>4210</v>
      </c>
      <c r="C191" s="1572">
        <v>791181</v>
      </c>
      <c r="D191" s="1574"/>
      <c r="E191" s="1639"/>
      <c r="F191" s="1574"/>
      <c r="G191" s="1663"/>
      <c r="H191" s="1574"/>
      <c r="I191" s="1574"/>
      <c r="J191" s="1574"/>
      <c r="K191" s="1574"/>
    </row>
    <row r="192" spans="1:11" ht="12.75" customHeight="1" x14ac:dyDescent="0.2">
      <c r="A192" s="427" t="s">
        <v>1037</v>
      </c>
      <c r="B192" s="429">
        <v>4215</v>
      </c>
      <c r="C192" s="1631"/>
      <c r="D192" s="1574"/>
      <c r="E192" s="1639"/>
      <c r="F192" s="1574"/>
      <c r="G192" s="1663"/>
      <c r="H192" s="1574"/>
      <c r="I192" s="1574"/>
      <c r="J192" s="1574"/>
      <c r="K192" s="1574"/>
    </row>
    <row r="193" spans="1:11" ht="12.75" customHeight="1" x14ac:dyDescent="0.2">
      <c r="A193" s="427" t="s">
        <v>1049</v>
      </c>
      <c r="B193" s="429">
        <v>4220</v>
      </c>
      <c r="C193" s="1631">
        <v>388814</v>
      </c>
      <c r="D193" s="1574"/>
      <c r="E193" s="1639"/>
      <c r="F193" s="1574"/>
      <c r="G193" s="1663"/>
      <c r="H193" s="1574"/>
      <c r="I193" s="1574"/>
      <c r="J193" s="1574"/>
      <c r="K193" s="1574"/>
    </row>
    <row r="194" spans="1:11" ht="12.75" customHeight="1" x14ac:dyDescent="0.2">
      <c r="A194" s="427" t="s">
        <v>1433</v>
      </c>
      <c r="B194" s="429">
        <v>4225</v>
      </c>
      <c r="C194" s="1631">
        <v>59542</v>
      </c>
      <c r="D194" s="1574"/>
      <c r="E194" s="1639"/>
      <c r="F194" s="1574"/>
      <c r="G194" s="1663"/>
      <c r="H194" s="1574"/>
      <c r="I194" s="1574"/>
      <c r="J194" s="1574"/>
      <c r="K194" s="1574"/>
    </row>
    <row r="195" spans="1:11" ht="12.75" customHeight="1" x14ac:dyDescent="0.2">
      <c r="A195" s="427" t="s">
        <v>1434</v>
      </c>
      <c r="B195" s="429">
        <v>4226</v>
      </c>
      <c r="C195" s="1631">
        <v>218514</v>
      </c>
      <c r="D195" s="1574"/>
      <c r="E195" s="1639"/>
      <c r="F195" s="1574"/>
      <c r="G195" s="1663"/>
      <c r="H195" s="1574"/>
      <c r="I195" s="1574"/>
      <c r="J195" s="1574"/>
      <c r="K195" s="1574"/>
    </row>
    <row r="196" spans="1:11" ht="12.75" customHeight="1" x14ac:dyDescent="0.2">
      <c r="A196" s="427" t="s">
        <v>786</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543</v>
      </c>
      <c r="B198" s="1406"/>
      <c r="C198" s="1593">
        <f>SUM(C190:C197)</f>
        <v>1458051</v>
      </c>
      <c r="D198" s="1574"/>
      <c r="E198" s="1574"/>
      <c r="F198" s="1574"/>
      <c r="G198" s="1593">
        <f>SUM(G190:G197)</f>
        <v>0</v>
      </c>
      <c r="H198" s="1574"/>
      <c r="I198" s="1574"/>
      <c r="J198" s="1574"/>
      <c r="K198" s="1574"/>
    </row>
    <row r="199" spans="1:11" ht="15.75" customHeight="1" thickTop="1" x14ac:dyDescent="0.2">
      <c r="A199" s="1337" t="s">
        <v>1127</v>
      </c>
      <c r="B199" s="1342"/>
      <c r="C199" s="1633"/>
      <c r="D199" s="1574"/>
      <c r="E199" s="1574"/>
      <c r="F199" s="1574"/>
      <c r="G199" s="1574"/>
      <c r="H199" s="1574"/>
      <c r="I199" s="1574"/>
      <c r="J199" s="1574"/>
      <c r="K199" s="1574"/>
    </row>
    <row r="200" spans="1:11" ht="12.75" customHeight="1" x14ac:dyDescent="0.2">
      <c r="A200" s="427" t="s">
        <v>911</v>
      </c>
      <c r="B200" s="429">
        <v>4300</v>
      </c>
      <c r="C200" s="1572">
        <v>2031695</v>
      </c>
      <c r="D200" s="1572"/>
      <c r="E200" s="1574"/>
      <c r="F200" s="1572"/>
      <c r="G200" s="1572"/>
      <c r="H200" s="1574"/>
      <c r="I200" s="1574"/>
      <c r="J200" s="1574"/>
      <c r="K200" s="1574"/>
    </row>
    <row r="201" spans="1:11" ht="12.75" customHeight="1" x14ac:dyDescent="0.2">
      <c r="A201" s="427" t="s">
        <v>912</v>
      </c>
      <c r="B201" s="429">
        <v>4305</v>
      </c>
      <c r="C201" s="1631"/>
      <c r="D201" s="1572"/>
      <c r="E201" s="1574"/>
      <c r="F201" s="1572"/>
      <c r="G201" s="1572"/>
      <c r="H201" s="1574"/>
      <c r="I201" s="1574"/>
      <c r="J201" s="1574"/>
      <c r="K201" s="1574"/>
    </row>
    <row r="202" spans="1:11" ht="12.75" customHeight="1" x14ac:dyDescent="0.2">
      <c r="A202" s="427" t="s">
        <v>1023</v>
      </c>
      <c r="B202" s="429">
        <v>4340</v>
      </c>
      <c r="C202" s="1631"/>
      <c r="D202" s="1572"/>
      <c r="E202" s="1574"/>
      <c r="F202" s="1572"/>
      <c r="G202" s="1572"/>
      <c r="H202" s="1574"/>
      <c r="I202" s="1574"/>
      <c r="J202" s="1574"/>
      <c r="K202" s="1574"/>
    </row>
    <row r="203" spans="1:11" ht="12.75" customHeight="1" x14ac:dyDescent="0.2">
      <c r="A203" s="427" t="s">
        <v>72</v>
      </c>
      <c r="B203" s="429">
        <v>4399</v>
      </c>
      <c r="C203" s="1631">
        <v>295970</v>
      </c>
      <c r="D203" s="1572"/>
      <c r="E203" s="1574"/>
      <c r="F203" s="1572"/>
      <c r="G203" s="1572"/>
      <c r="H203" s="1574"/>
      <c r="I203" s="1574"/>
      <c r="J203" s="1574"/>
      <c r="K203" s="1574"/>
    </row>
    <row r="204" spans="1:11" ht="12.75" customHeight="1" thickBot="1" x14ac:dyDescent="0.25">
      <c r="A204" s="1405" t="s">
        <v>396</v>
      </c>
      <c r="B204" s="1406"/>
      <c r="C204" s="1632">
        <f>SUM(C200:C203)</f>
        <v>2327665</v>
      </c>
      <c r="D204" s="1632">
        <f>SUM(D200:D203)</f>
        <v>0</v>
      </c>
      <c r="E204" s="1574"/>
      <c r="F204" s="1632">
        <f>SUM(F200:F203)</f>
        <v>0</v>
      </c>
      <c r="G204" s="1632">
        <f>SUM(G200:G203)</f>
        <v>0</v>
      </c>
      <c r="H204" s="1574"/>
      <c r="I204" s="1574"/>
      <c r="J204" s="1574"/>
      <c r="K204" s="1574"/>
    </row>
    <row r="205" spans="1:11" ht="15.75" customHeight="1" thickTop="1" x14ac:dyDescent="0.2">
      <c r="A205" s="1337" t="s">
        <v>1128</v>
      </c>
      <c r="B205" s="1342"/>
      <c r="C205" s="1633"/>
      <c r="D205" s="1633"/>
      <c r="E205" s="1574"/>
      <c r="F205" s="1633"/>
      <c r="G205" s="1633"/>
      <c r="H205" s="1574"/>
      <c r="I205" s="1574"/>
      <c r="J205" s="1574"/>
      <c r="K205" s="1574"/>
    </row>
    <row r="206" spans="1:11" ht="12.75" customHeight="1" x14ac:dyDescent="0.2">
      <c r="A206" s="427" t="s">
        <v>753</v>
      </c>
      <c r="B206" s="429">
        <v>4400</v>
      </c>
      <c r="C206" s="1631"/>
      <c r="D206" s="1572"/>
      <c r="E206" s="1574"/>
      <c r="F206" s="1572"/>
      <c r="G206" s="1572"/>
      <c r="H206" s="1574"/>
      <c r="I206" s="1574"/>
      <c r="J206" s="1574"/>
      <c r="K206" s="1574"/>
    </row>
    <row r="207" spans="1:11" ht="12.75" customHeight="1" x14ac:dyDescent="0.2">
      <c r="A207" s="427" t="s">
        <v>1435</v>
      </c>
      <c r="B207" s="429">
        <v>4421</v>
      </c>
      <c r="C207" s="1631"/>
      <c r="D207" s="1572"/>
      <c r="E207" s="1574"/>
      <c r="F207" s="1572"/>
      <c r="G207" s="1572"/>
      <c r="H207" s="1574"/>
      <c r="I207" s="1574"/>
      <c r="J207" s="1574"/>
      <c r="K207" s="1574"/>
    </row>
    <row r="208" spans="1:11" ht="12.75" customHeight="1" x14ac:dyDescent="0.2">
      <c r="A208" s="427" t="s">
        <v>73</v>
      </c>
      <c r="B208" s="429">
        <v>4499</v>
      </c>
      <c r="C208" s="1631">
        <v>11360</v>
      </c>
      <c r="D208" s="1572"/>
      <c r="E208" s="1574"/>
      <c r="F208" s="1572"/>
      <c r="G208" s="1572"/>
      <c r="H208" s="1574"/>
      <c r="I208" s="1574"/>
      <c r="J208" s="1574"/>
      <c r="K208" s="1574"/>
    </row>
    <row r="209" spans="1:11" ht="12.75" customHeight="1" thickBot="1" x14ac:dyDescent="0.25">
      <c r="A209" s="1405" t="s">
        <v>882</v>
      </c>
      <c r="B209" s="1406"/>
      <c r="C209" s="1632">
        <f>SUM(C206:C208)</f>
        <v>11360</v>
      </c>
      <c r="D209" s="1632">
        <f>SUM(D206:D208)</f>
        <v>0</v>
      </c>
      <c r="E209" s="1574" t="s">
        <v>1158</v>
      </c>
      <c r="F209" s="1632">
        <f>SUM(F206:F208)</f>
        <v>0</v>
      </c>
      <c r="G209" s="1632">
        <f>SUM(G206:G208)</f>
        <v>0</v>
      </c>
      <c r="H209" s="1574"/>
      <c r="I209" s="1574"/>
      <c r="J209" s="1574"/>
      <c r="K209" s="1574"/>
    </row>
    <row r="210" spans="1:11" ht="15.75" customHeight="1" thickTop="1" x14ac:dyDescent="0.2">
      <c r="A210" s="1337" t="s">
        <v>1082</v>
      </c>
      <c r="B210" s="1342"/>
      <c r="C210" s="1633"/>
      <c r="D210" s="1633"/>
      <c r="E210" s="1574"/>
      <c r="F210" s="1633"/>
      <c r="G210" s="1633"/>
      <c r="H210" s="1574"/>
      <c r="I210" s="1574"/>
      <c r="J210" s="1574"/>
      <c r="K210" s="1574"/>
    </row>
    <row r="211" spans="1:11" ht="12.75" customHeight="1" x14ac:dyDescent="0.2">
      <c r="A211" s="427" t="s">
        <v>1042</v>
      </c>
      <c r="B211" s="429">
        <v>4600</v>
      </c>
      <c r="C211" s="1631"/>
      <c r="D211" s="1572"/>
      <c r="E211" s="1574"/>
      <c r="F211" s="1572"/>
      <c r="G211" s="1572"/>
      <c r="H211" s="1574"/>
      <c r="I211" s="1574"/>
      <c r="J211" s="1574"/>
      <c r="K211" s="1574"/>
    </row>
    <row r="212" spans="1:11" ht="12.75" customHeight="1" x14ac:dyDescent="0.2">
      <c r="A212" s="427" t="s">
        <v>1043</v>
      </c>
      <c r="B212" s="429">
        <v>4605</v>
      </c>
      <c r="C212" s="1631"/>
      <c r="D212" s="1572"/>
      <c r="E212" s="1574"/>
      <c r="F212" s="1572"/>
      <c r="G212" s="1572"/>
      <c r="H212" s="1574"/>
      <c r="I212" s="1574"/>
      <c r="J212" s="1574"/>
      <c r="K212" s="1574"/>
    </row>
    <row r="213" spans="1:11" ht="12.75" customHeight="1" x14ac:dyDescent="0.2">
      <c r="A213" s="427" t="s">
        <v>1436</v>
      </c>
      <c r="B213" s="475">
        <v>4620</v>
      </c>
      <c r="C213" s="1631">
        <v>210996</v>
      </c>
      <c r="D213" s="1572"/>
      <c r="E213" s="1574"/>
      <c r="F213" s="1572"/>
      <c r="G213" s="1572"/>
      <c r="H213" s="1574"/>
      <c r="I213" s="1574"/>
      <c r="J213" s="1574"/>
      <c r="K213" s="1574"/>
    </row>
    <row r="214" spans="1:11" ht="12.75" customHeight="1" x14ac:dyDescent="0.2">
      <c r="A214" s="427" t="s">
        <v>1044</v>
      </c>
      <c r="B214" s="429">
        <v>4625</v>
      </c>
      <c r="C214" s="1631"/>
      <c r="D214" s="1572"/>
      <c r="E214" s="1574"/>
      <c r="F214" s="1572"/>
      <c r="G214" s="1572"/>
      <c r="H214" s="1574"/>
      <c r="I214" s="1574"/>
      <c r="J214" s="1574"/>
      <c r="K214" s="1574"/>
    </row>
    <row r="215" spans="1:11" ht="12.75" customHeight="1" x14ac:dyDescent="0.2">
      <c r="A215" s="427" t="s">
        <v>1045</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443</v>
      </c>
      <c r="B217" s="1406"/>
      <c r="C217" s="1632">
        <f>SUM(C211:C216)</f>
        <v>210996</v>
      </c>
      <c r="D217" s="1632">
        <f>SUM(D211:D216)</f>
        <v>0</v>
      </c>
      <c r="E217" s="1574"/>
      <c r="F217" s="1632">
        <f>SUM(F211:F216)</f>
        <v>0</v>
      </c>
      <c r="G217" s="1632">
        <f>SUM(G211:G216)</f>
        <v>0</v>
      </c>
      <c r="H217" s="1574"/>
      <c r="I217" s="1574"/>
      <c r="J217" s="1574"/>
      <c r="K217" s="1574"/>
    </row>
    <row r="218" spans="1:11" ht="15.75" customHeight="1" thickTop="1" x14ac:dyDescent="0.2">
      <c r="A218" s="1337" t="s">
        <v>1083</v>
      </c>
      <c r="B218" s="1342"/>
      <c r="C218" s="1633"/>
      <c r="D218" s="1633"/>
      <c r="E218" s="1574"/>
      <c r="F218" s="1633"/>
      <c r="G218" s="1633"/>
      <c r="H218" s="1574"/>
      <c r="I218" s="1574"/>
      <c r="J218" s="1574"/>
      <c r="K218" s="1574"/>
    </row>
    <row r="219" spans="1:11" ht="12.75" customHeight="1" x14ac:dyDescent="0.2">
      <c r="A219" s="427" t="s">
        <v>781</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1075</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c r="D222" s="1650"/>
      <c r="E222" s="1574"/>
      <c r="F222" s="1574"/>
      <c r="G222" s="1650"/>
      <c r="H222" s="1574"/>
      <c r="I222" s="1574"/>
      <c r="J222" s="1574"/>
      <c r="K222" s="1574"/>
    </row>
    <row r="223" spans="1:11" ht="12.75" customHeight="1" thickTop="1" x14ac:dyDescent="0.2">
      <c r="A223" s="436" t="s">
        <v>346</v>
      </c>
      <c r="B223" s="435">
        <v>4850</v>
      </c>
      <c r="C223" s="1597"/>
      <c r="D223" s="1573"/>
      <c r="E223" s="1573"/>
      <c r="F223" s="1573"/>
      <c r="G223" s="1573"/>
      <c r="H223" s="1573"/>
      <c r="I223" s="1574"/>
      <c r="J223" s="1573"/>
      <c r="K223" s="1573"/>
    </row>
    <row r="224" spans="1:11" ht="12.75" customHeight="1" x14ac:dyDescent="0.2">
      <c r="A224" s="436" t="s">
        <v>347</v>
      </c>
      <c r="B224" s="435">
        <v>4851</v>
      </c>
      <c r="C224" s="1597"/>
      <c r="D224" s="1573"/>
      <c r="E224" s="1574"/>
      <c r="F224" s="1578"/>
      <c r="G224" s="1573"/>
      <c r="H224" s="1574"/>
      <c r="I224" s="1574"/>
      <c r="J224" s="1574"/>
      <c r="K224" s="1574"/>
    </row>
    <row r="225" spans="1:11" ht="12.75" customHeight="1" x14ac:dyDescent="0.2">
      <c r="A225" s="436" t="s">
        <v>348</v>
      </c>
      <c r="B225" s="435">
        <v>4852</v>
      </c>
      <c r="C225" s="1597"/>
      <c r="D225" s="1573"/>
      <c r="E225" s="1573"/>
      <c r="F225" s="1573"/>
      <c r="G225" s="1573"/>
      <c r="H225" s="1573"/>
      <c r="I225" s="1574"/>
      <c r="J225" s="1573"/>
      <c r="K225" s="1573"/>
    </row>
    <row r="226" spans="1:11" ht="12.75" customHeight="1" x14ac:dyDescent="0.2">
      <c r="A226" s="436" t="s">
        <v>349</v>
      </c>
      <c r="B226" s="435">
        <v>4853</v>
      </c>
      <c r="C226" s="1597"/>
      <c r="D226" s="1573"/>
      <c r="E226" s="1573"/>
      <c r="F226" s="1573"/>
      <c r="G226" s="1573"/>
      <c r="H226" s="1573"/>
      <c r="I226" s="1574"/>
      <c r="J226" s="1573"/>
      <c r="K226" s="1573"/>
    </row>
    <row r="227" spans="1:11" ht="12.75" customHeight="1" x14ac:dyDescent="0.2">
      <c r="A227" s="436" t="s">
        <v>350</v>
      </c>
      <c r="B227" s="435">
        <v>4854</v>
      </c>
      <c r="C227" s="1597"/>
      <c r="D227" s="1573"/>
      <c r="E227" s="1573"/>
      <c r="F227" s="1573"/>
      <c r="G227" s="1573"/>
      <c r="H227" s="1573"/>
      <c r="I227" s="1574"/>
      <c r="J227" s="1573"/>
      <c r="K227" s="1573"/>
    </row>
    <row r="228" spans="1:11" ht="12.75" customHeight="1" x14ac:dyDescent="0.2">
      <c r="A228" s="436" t="s">
        <v>460</v>
      </c>
      <c r="B228" s="435">
        <v>4855</v>
      </c>
      <c r="C228" s="1597"/>
      <c r="D228" s="1573"/>
      <c r="E228" s="1573"/>
      <c r="F228" s="1573"/>
      <c r="G228" s="1573"/>
      <c r="H228" s="1573"/>
      <c r="I228" s="1574"/>
      <c r="J228" s="1573"/>
      <c r="K228" s="1573"/>
    </row>
    <row r="229" spans="1:11" ht="12.75" customHeight="1" x14ac:dyDescent="0.2">
      <c r="A229" s="436" t="s">
        <v>351</v>
      </c>
      <c r="B229" s="435">
        <v>4856</v>
      </c>
      <c r="C229" s="1597"/>
      <c r="D229" s="1573"/>
      <c r="E229" s="1573"/>
      <c r="F229" s="1573"/>
      <c r="G229" s="1573"/>
      <c r="H229" s="1573"/>
      <c r="I229" s="1574"/>
      <c r="J229" s="1573"/>
      <c r="K229" s="1573"/>
    </row>
    <row r="230" spans="1:11" ht="12.75" customHeight="1" x14ac:dyDescent="0.2">
      <c r="A230" s="436" t="s">
        <v>352</v>
      </c>
      <c r="B230" s="435">
        <v>4857</v>
      </c>
      <c r="C230" s="1597"/>
      <c r="D230" s="1573"/>
      <c r="E230" s="1573"/>
      <c r="F230" s="1573"/>
      <c r="G230" s="1573"/>
      <c r="H230" s="1573"/>
      <c r="I230" s="1574"/>
      <c r="J230" s="1573"/>
      <c r="K230" s="1573"/>
    </row>
    <row r="231" spans="1:11" ht="12.75" customHeight="1" x14ac:dyDescent="0.2">
      <c r="A231" s="436" t="s">
        <v>353</v>
      </c>
      <c r="B231" s="435">
        <v>4860</v>
      </c>
      <c r="C231" s="1597"/>
      <c r="D231" s="1573"/>
      <c r="E231" s="1573"/>
      <c r="F231" s="1573"/>
      <c r="G231" s="1573"/>
      <c r="H231" s="1573"/>
      <c r="I231" s="1574"/>
      <c r="J231" s="1573"/>
      <c r="K231" s="1573"/>
    </row>
    <row r="232" spans="1:11" ht="12.75" customHeight="1" x14ac:dyDescent="0.2">
      <c r="A232" s="436" t="s">
        <v>354</v>
      </c>
      <c r="B232" s="435">
        <v>4861</v>
      </c>
      <c r="C232" s="1597"/>
      <c r="D232" s="1573"/>
      <c r="E232" s="1573"/>
      <c r="F232" s="1573"/>
      <c r="G232" s="1573"/>
      <c r="H232" s="1573"/>
      <c r="I232" s="1574"/>
      <c r="J232" s="1573"/>
      <c r="K232" s="1573"/>
    </row>
    <row r="233" spans="1:11" ht="12.75" customHeight="1" x14ac:dyDescent="0.2">
      <c r="A233" s="436" t="s">
        <v>355</v>
      </c>
      <c r="B233" s="435">
        <v>4862</v>
      </c>
      <c r="C233" s="1597"/>
      <c r="D233" s="1573"/>
      <c r="E233" s="1579"/>
      <c r="F233" s="1573"/>
      <c r="G233" s="1573"/>
      <c r="H233" s="1579"/>
      <c r="I233" s="1574"/>
      <c r="J233" s="1579"/>
      <c r="K233" s="1579"/>
    </row>
    <row r="234" spans="1:11" ht="12.75" customHeight="1" x14ac:dyDescent="0.2">
      <c r="A234" s="436" t="s">
        <v>356</v>
      </c>
      <c r="B234" s="435">
        <v>4863</v>
      </c>
      <c r="C234" s="1597"/>
      <c r="D234" s="1573"/>
      <c r="E234" s="1574"/>
      <c r="F234" s="1579"/>
      <c r="G234" s="1622"/>
      <c r="H234" s="1574"/>
      <c r="I234" s="1574"/>
      <c r="J234" s="1574"/>
      <c r="K234" s="1574"/>
    </row>
    <row r="235" spans="1:11" ht="12.75" customHeight="1" x14ac:dyDescent="0.2">
      <c r="A235" s="436" t="s">
        <v>465</v>
      </c>
      <c r="B235" s="435">
        <v>4864</v>
      </c>
      <c r="C235" s="1597"/>
      <c r="D235" s="1573"/>
      <c r="E235" s="1573"/>
      <c r="F235" s="1573"/>
      <c r="G235" s="1573"/>
      <c r="H235" s="1573"/>
      <c r="I235" s="1574"/>
      <c r="J235" s="1573"/>
      <c r="K235" s="1573"/>
    </row>
    <row r="236" spans="1:11" ht="12.75" customHeight="1" x14ac:dyDescent="0.2">
      <c r="A236" s="436" t="s">
        <v>466</v>
      </c>
      <c r="B236" s="435">
        <v>4865</v>
      </c>
      <c r="C236" s="1597"/>
      <c r="D236" s="1573"/>
      <c r="E236" s="1573"/>
      <c r="F236" s="1573"/>
      <c r="G236" s="1573"/>
      <c r="H236" s="1573"/>
      <c r="I236" s="1574"/>
      <c r="J236" s="1573"/>
      <c r="K236" s="1573"/>
    </row>
    <row r="237" spans="1:11" ht="12.75" customHeight="1" x14ac:dyDescent="0.2">
      <c r="A237" s="436" t="s">
        <v>464</v>
      </c>
      <c r="B237" s="435">
        <v>4866</v>
      </c>
      <c r="C237" s="1597"/>
      <c r="D237" s="1573"/>
      <c r="E237" s="1573"/>
      <c r="F237" s="1573"/>
      <c r="G237" s="1573"/>
      <c r="H237" s="1573"/>
      <c r="I237" s="1574"/>
      <c r="J237" s="1573"/>
      <c r="K237" s="1573"/>
    </row>
    <row r="238" spans="1:11" ht="12.75" customHeight="1" x14ac:dyDescent="0.2">
      <c r="A238" s="436" t="s">
        <v>463</v>
      </c>
      <c r="B238" s="435">
        <v>4867</v>
      </c>
      <c r="C238" s="1597"/>
      <c r="D238" s="1573"/>
      <c r="E238" s="1573"/>
      <c r="F238" s="1573"/>
      <c r="G238" s="1573"/>
      <c r="H238" s="1573"/>
      <c r="I238" s="1574"/>
      <c r="J238" s="1573"/>
      <c r="K238" s="1573"/>
    </row>
    <row r="239" spans="1:11" ht="12.75" customHeight="1" x14ac:dyDescent="0.2">
      <c r="A239" s="436" t="s">
        <v>462</v>
      </c>
      <c r="B239" s="435">
        <v>4868</v>
      </c>
      <c r="C239" s="1597"/>
      <c r="D239" s="1573"/>
      <c r="E239" s="1573"/>
      <c r="F239" s="1573"/>
      <c r="G239" s="1573"/>
      <c r="H239" s="1573"/>
      <c r="I239" s="1574"/>
      <c r="J239" s="1573"/>
      <c r="K239" s="1573"/>
    </row>
    <row r="240" spans="1:11" ht="12.75" customHeight="1" x14ac:dyDescent="0.2">
      <c r="A240" s="436" t="s">
        <v>461</v>
      </c>
      <c r="B240" s="435">
        <v>4869</v>
      </c>
      <c r="C240" s="1597"/>
      <c r="D240" s="1573"/>
      <c r="E240" s="1573"/>
      <c r="F240" s="1573"/>
      <c r="G240" s="1573"/>
      <c r="H240" s="1573"/>
      <c r="I240" s="1574"/>
      <c r="J240" s="1573"/>
      <c r="K240" s="1573"/>
    </row>
    <row r="241" spans="1:11" ht="12.75" customHeight="1" x14ac:dyDescent="0.2">
      <c r="A241" s="436" t="s">
        <v>1117</v>
      </c>
      <c r="B241" s="435">
        <v>4870</v>
      </c>
      <c r="C241" s="1597"/>
      <c r="D241" s="1573"/>
      <c r="E241" s="1573"/>
      <c r="F241" s="1573"/>
      <c r="G241" s="1573"/>
      <c r="H241" s="1573"/>
      <c r="I241" s="1574"/>
      <c r="J241" s="1573"/>
      <c r="K241" s="1573"/>
    </row>
    <row r="242" spans="1:11" ht="12.75" customHeight="1" x14ac:dyDescent="0.2">
      <c r="A242" s="436" t="s">
        <v>782</v>
      </c>
      <c r="B242" s="435">
        <v>4871</v>
      </c>
      <c r="C242" s="1597"/>
      <c r="D242" s="1573"/>
      <c r="E242" s="1573"/>
      <c r="F242" s="1573"/>
      <c r="G242" s="1573"/>
      <c r="H242" s="1573"/>
      <c r="I242" s="1574"/>
      <c r="J242" s="1573"/>
      <c r="K242" s="1573"/>
    </row>
    <row r="243" spans="1:11" ht="12.75" customHeight="1" x14ac:dyDescent="0.2">
      <c r="A243" s="436" t="s">
        <v>783</v>
      </c>
      <c r="B243" s="435">
        <v>4872</v>
      </c>
      <c r="C243" s="1597"/>
      <c r="D243" s="1573"/>
      <c r="E243" s="1573"/>
      <c r="F243" s="1573"/>
      <c r="G243" s="1573"/>
      <c r="H243" s="1573"/>
      <c r="I243" s="1574"/>
      <c r="J243" s="1573"/>
      <c r="K243" s="1573"/>
    </row>
    <row r="244" spans="1:11" ht="12.75" customHeight="1" x14ac:dyDescent="0.2">
      <c r="A244" s="436" t="s">
        <v>784</v>
      </c>
      <c r="B244" s="435">
        <v>4873</v>
      </c>
      <c r="C244" s="1597"/>
      <c r="D244" s="1573"/>
      <c r="E244" s="1573"/>
      <c r="F244" s="1573"/>
      <c r="G244" s="1573"/>
      <c r="H244" s="1573"/>
      <c r="I244" s="1574"/>
      <c r="J244" s="1573"/>
      <c r="K244" s="1573"/>
    </row>
    <row r="245" spans="1:11" ht="12.75" customHeight="1" x14ac:dyDescent="0.2">
      <c r="A245" s="436" t="s">
        <v>785</v>
      </c>
      <c r="B245" s="435">
        <v>4874</v>
      </c>
      <c r="C245" s="1597"/>
      <c r="D245" s="1573"/>
      <c r="E245" s="1573"/>
      <c r="F245" s="1573"/>
      <c r="G245" s="1573"/>
      <c r="H245" s="1573"/>
      <c r="I245" s="1574"/>
      <c r="J245" s="1573"/>
      <c r="K245" s="1573"/>
    </row>
    <row r="246" spans="1:11" ht="12.75" customHeight="1" x14ac:dyDescent="0.2">
      <c r="A246" s="436" t="s">
        <v>467</v>
      </c>
      <c r="B246" s="435">
        <v>4875</v>
      </c>
      <c r="C246" s="1597"/>
      <c r="D246" s="1573"/>
      <c r="E246" s="1573"/>
      <c r="F246" s="1573"/>
      <c r="G246" s="1573"/>
      <c r="H246" s="1573"/>
      <c r="I246" s="1574"/>
      <c r="J246" s="1573"/>
      <c r="K246" s="1573"/>
    </row>
    <row r="247" spans="1:11" ht="12.75" customHeight="1" x14ac:dyDescent="0.2">
      <c r="A247" s="436" t="s">
        <v>764</v>
      </c>
      <c r="B247" s="435">
        <v>4876</v>
      </c>
      <c r="C247" s="1597"/>
      <c r="D247" s="1573"/>
      <c r="E247" s="1573"/>
      <c r="F247" s="1573"/>
      <c r="G247" s="1573"/>
      <c r="H247" s="1573"/>
      <c r="I247" s="1574"/>
      <c r="J247" s="1573"/>
      <c r="K247" s="1573"/>
    </row>
    <row r="248" spans="1:11" ht="12.75" customHeight="1" x14ac:dyDescent="0.2">
      <c r="A248" s="436" t="s">
        <v>765</v>
      </c>
      <c r="B248" s="435">
        <v>4877</v>
      </c>
      <c r="C248" s="1597"/>
      <c r="D248" s="1573"/>
      <c r="E248" s="1573"/>
      <c r="F248" s="1573"/>
      <c r="G248" s="1573"/>
      <c r="H248" s="1573"/>
      <c r="I248" s="1574"/>
      <c r="J248" s="1573"/>
      <c r="K248" s="1573"/>
    </row>
    <row r="249" spans="1:11" ht="12.75" customHeight="1" x14ac:dyDescent="0.2">
      <c r="A249" s="436" t="s">
        <v>766</v>
      </c>
      <c r="B249" s="435">
        <v>4878</v>
      </c>
      <c r="C249" s="1597"/>
      <c r="D249" s="1573"/>
      <c r="E249" s="1573"/>
      <c r="F249" s="1573"/>
      <c r="G249" s="1573"/>
      <c r="H249" s="1573"/>
      <c r="I249" s="1574"/>
      <c r="J249" s="1573"/>
      <c r="K249" s="1573"/>
    </row>
    <row r="250" spans="1:11" ht="12.75" customHeight="1" x14ac:dyDescent="0.2">
      <c r="A250" s="436" t="s">
        <v>767</v>
      </c>
      <c r="B250" s="435">
        <v>4879</v>
      </c>
      <c r="C250" s="1597"/>
      <c r="D250" s="1573"/>
      <c r="E250" s="1573"/>
      <c r="F250" s="1573"/>
      <c r="G250" s="1573"/>
      <c r="H250" s="1573"/>
      <c r="I250" s="1574"/>
      <c r="J250" s="1573"/>
      <c r="K250" s="1573"/>
    </row>
    <row r="251" spans="1:11" ht="12.75" customHeight="1" x14ac:dyDescent="0.2">
      <c r="A251" s="220" t="s">
        <v>1437</v>
      </c>
      <c r="B251" s="486">
        <v>4880</v>
      </c>
      <c r="C251" s="1597"/>
      <c r="D251" s="1573"/>
      <c r="E251" s="1573"/>
      <c r="F251" s="1573"/>
      <c r="G251" s="1573"/>
      <c r="H251" s="1573"/>
      <c r="I251" s="1574"/>
      <c r="J251" s="1573"/>
      <c r="K251" s="1573"/>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1403</v>
      </c>
      <c r="B253" s="487">
        <v>4901</v>
      </c>
      <c r="C253" s="1665"/>
      <c r="D253" s="1575"/>
      <c r="E253" s="1574"/>
      <c r="F253" s="1574"/>
      <c r="G253" s="1574"/>
      <c r="H253" s="1574"/>
      <c r="I253" s="1574"/>
      <c r="J253" s="1574"/>
      <c r="K253" s="1574"/>
    </row>
    <row r="254" spans="1:11" ht="12.75" customHeight="1" thickTop="1" thickBot="1" x14ac:dyDescent="0.25">
      <c r="A254" s="1272" t="s">
        <v>1445</v>
      </c>
      <c r="B254" s="488">
        <v>4902</v>
      </c>
      <c r="C254" s="1666">
        <v>84549</v>
      </c>
      <c r="D254" s="1667"/>
      <c r="E254" s="1575"/>
      <c r="F254" s="1667"/>
      <c r="G254" s="1667"/>
      <c r="H254" s="1575"/>
      <c r="I254" s="1574"/>
      <c r="J254" s="1575"/>
      <c r="K254" s="1575"/>
    </row>
    <row r="255" spans="1:11" ht="12.75" customHeight="1" thickTop="1" thickBot="1" x14ac:dyDescent="0.25">
      <c r="A255" s="427" t="s">
        <v>1438</v>
      </c>
      <c r="B255" s="429">
        <v>4905</v>
      </c>
      <c r="C255" s="1648"/>
      <c r="D255" s="1574"/>
      <c r="E255" s="1574"/>
      <c r="F255" s="1652"/>
      <c r="G255" s="1648"/>
      <c r="H255" s="1574"/>
      <c r="I255" s="1574"/>
      <c r="J255" s="1574"/>
      <c r="K255" s="1574"/>
    </row>
    <row r="256" spans="1:11" ht="12.75" customHeight="1" thickTop="1" thickBot="1" x14ac:dyDescent="0.25">
      <c r="A256" s="427" t="s">
        <v>1439</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417</v>
      </c>
      <c r="B258" s="429">
        <v>4930</v>
      </c>
      <c r="C258" s="1650"/>
      <c r="D258" s="1650"/>
      <c r="E258" s="1574"/>
      <c r="F258" s="1650"/>
      <c r="G258" s="1650"/>
      <c r="H258" s="1574"/>
      <c r="I258" s="1574"/>
      <c r="J258" s="1574"/>
      <c r="K258" s="1574"/>
    </row>
    <row r="259" spans="1:11" ht="12.75" customHeight="1" thickTop="1" thickBot="1" x14ac:dyDescent="0.25">
      <c r="A259" s="427" t="s">
        <v>752</v>
      </c>
      <c r="B259" s="429">
        <v>4932</v>
      </c>
      <c r="C259" s="1650">
        <v>300</v>
      </c>
      <c r="D259" s="1650"/>
      <c r="E259" s="1574"/>
      <c r="F259" s="1650"/>
      <c r="G259" s="1650"/>
      <c r="H259" s="1574"/>
      <c r="I259" s="1574"/>
      <c r="J259" s="1574"/>
      <c r="K259" s="1574"/>
    </row>
    <row r="260" spans="1:11" ht="12.75" customHeight="1" thickTop="1" thickBot="1" x14ac:dyDescent="0.25">
      <c r="A260" s="427" t="s">
        <v>883</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563</v>
      </c>
      <c r="B263" s="429">
        <v>4991</v>
      </c>
      <c r="C263" s="1649">
        <v>53874</v>
      </c>
      <c r="D263" s="1650"/>
      <c r="E263" s="1574"/>
      <c r="F263" s="1650"/>
      <c r="G263" s="1650"/>
      <c r="H263" s="1574"/>
      <c r="I263" s="1574"/>
      <c r="J263" s="1574"/>
      <c r="K263" s="1574"/>
    </row>
    <row r="264" spans="1:11" ht="12.75" customHeight="1" thickTop="1" thickBot="1" x14ac:dyDescent="0.25">
      <c r="A264" s="427" t="s">
        <v>373</v>
      </c>
      <c r="B264" s="429">
        <v>4992</v>
      </c>
      <c r="C264" s="1649">
        <v>180728</v>
      </c>
      <c r="D264" s="1650"/>
      <c r="E264" s="1574"/>
      <c r="F264" s="1650"/>
      <c r="G264" s="1650"/>
      <c r="H264" s="1574"/>
      <c r="I264" s="1574"/>
      <c r="J264" s="1574"/>
      <c r="K264" s="1574"/>
    </row>
    <row r="265" spans="1:11" s="489" customFormat="1" ht="12.75" customHeight="1" thickTop="1" thickBot="1" x14ac:dyDescent="0.25">
      <c r="A265" s="479" t="s">
        <v>75</v>
      </c>
      <c r="B265" s="475">
        <v>4998</v>
      </c>
      <c r="C265" s="1649">
        <v>110094</v>
      </c>
      <c r="D265" s="1650"/>
      <c r="E265" s="1574"/>
      <c r="F265" s="1650"/>
      <c r="G265" s="1650"/>
      <c r="H265" s="1625"/>
      <c r="I265" s="1574"/>
      <c r="J265" s="1574"/>
      <c r="K265" s="1625"/>
    </row>
    <row r="266" spans="1:11" ht="14.25" thickTop="1" thickBot="1" x14ac:dyDescent="0.25">
      <c r="A266" s="1405" t="s">
        <v>1646</v>
      </c>
      <c r="B266" s="1418"/>
      <c r="C266" s="1640">
        <f t="shared" ref="C266:H266" si="10">SUM(C188,C198,C204,C209,C217,C221,C222,C252:C265)</f>
        <v>4437617</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1076</v>
      </c>
      <c r="B267" s="1420" t="s">
        <v>854</v>
      </c>
      <c r="C267" s="1640">
        <f>SUM(C175,C181,C266)</f>
        <v>4437617</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33621794</v>
      </c>
      <c r="D268" s="1640">
        <f t="shared" si="12"/>
        <v>707491</v>
      </c>
      <c r="E268" s="1640">
        <f t="shared" si="12"/>
        <v>3646101</v>
      </c>
      <c r="F268" s="1640">
        <f t="shared" si="12"/>
        <v>1457005</v>
      </c>
      <c r="G268" s="1640">
        <f t="shared" si="12"/>
        <v>606476</v>
      </c>
      <c r="H268" s="1640">
        <f t="shared" si="12"/>
        <v>-88</v>
      </c>
      <c r="I268" s="1640">
        <f t="shared" si="12"/>
        <v>71820</v>
      </c>
      <c r="J268" s="1640">
        <f t="shared" si="12"/>
        <v>554315</v>
      </c>
      <c r="K268" s="1628">
        <f t="shared" si="12"/>
        <v>122655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85" zoomScaleNormal="100" zoomScaleSheetLayoutView="85"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8" t="s">
        <v>293</v>
      </c>
      <c r="B3" s="2279"/>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v>12997709</v>
      </c>
      <c r="D5" s="1572">
        <v>2299881</v>
      </c>
      <c r="E5" s="1572">
        <v>91502</v>
      </c>
      <c r="F5" s="1572">
        <v>185757</v>
      </c>
      <c r="G5" s="1572"/>
      <c r="H5" s="1572"/>
      <c r="I5" s="1573"/>
      <c r="J5" s="1573"/>
      <c r="K5" s="1671">
        <f>SUM(C5:J5)</f>
        <v>15574849</v>
      </c>
      <c r="L5" s="1572">
        <v>16253633</v>
      </c>
    </row>
    <row r="6" spans="1:14" x14ac:dyDescent="0.2">
      <c r="A6" s="1273" t="s">
        <v>1415</v>
      </c>
      <c r="B6" s="503" t="s">
        <v>1413</v>
      </c>
      <c r="C6" s="1581"/>
      <c r="D6" s="1581"/>
      <c r="E6" s="1572"/>
      <c r="F6" s="1581"/>
      <c r="G6" s="1581"/>
      <c r="H6" s="1581"/>
      <c r="I6" s="1581"/>
      <c r="J6" s="1581"/>
      <c r="K6" s="1671">
        <f>SUM(C6,E6)</f>
        <v>0</v>
      </c>
      <c r="L6" s="1572"/>
    </row>
    <row r="7" spans="1:14" x14ac:dyDescent="0.2">
      <c r="A7" s="1273" t="s">
        <v>162</v>
      </c>
      <c r="B7" s="503" t="s">
        <v>960</v>
      </c>
      <c r="C7" s="1573"/>
      <c r="D7" s="1573"/>
      <c r="E7" s="1573"/>
      <c r="F7" s="1573"/>
      <c r="G7" s="1573"/>
      <c r="H7" s="1573"/>
      <c r="I7" s="1573"/>
      <c r="J7" s="1573"/>
      <c r="K7" s="1671">
        <f t="shared" ref="K7:K32" si="0">SUM(C7:J7)</f>
        <v>0</v>
      </c>
      <c r="L7" s="1572"/>
    </row>
    <row r="8" spans="1:14" x14ac:dyDescent="0.2">
      <c r="A8" s="1273" t="s">
        <v>163</v>
      </c>
      <c r="B8" s="503">
        <v>1200</v>
      </c>
      <c r="C8" s="1572">
        <v>698909</v>
      </c>
      <c r="D8" s="1572">
        <v>68548</v>
      </c>
      <c r="E8" s="1572">
        <v>690619</v>
      </c>
      <c r="F8" s="1572">
        <v>6033</v>
      </c>
      <c r="G8" s="1572">
        <v>3741</v>
      </c>
      <c r="H8" s="1572"/>
      <c r="I8" s="1573"/>
      <c r="J8" s="1573"/>
      <c r="K8" s="1671">
        <f t="shared" si="0"/>
        <v>1467850</v>
      </c>
      <c r="L8" s="1572">
        <v>1163306</v>
      </c>
    </row>
    <row r="9" spans="1:14" x14ac:dyDescent="0.2">
      <c r="A9" s="1273" t="s">
        <v>715</v>
      </c>
      <c r="B9" s="503" t="s">
        <v>961</v>
      </c>
      <c r="C9" s="1573"/>
      <c r="D9" s="1573"/>
      <c r="E9" s="1573"/>
      <c r="F9" s="1573"/>
      <c r="G9" s="1573"/>
      <c r="H9" s="1573"/>
      <c r="I9" s="1573"/>
      <c r="J9" s="1573"/>
      <c r="K9" s="1671">
        <f t="shared" si="0"/>
        <v>0</v>
      </c>
      <c r="L9" s="1572"/>
    </row>
    <row r="10" spans="1:14" x14ac:dyDescent="0.2">
      <c r="A10" s="1273" t="s">
        <v>716</v>
      </c>
      <c r="B10" s="503">
        <v>1250</v>
      </c>
      <c r="C10" s="1572">
        <v>209940</v>
      </c>
      <c r="D10" s="1572">
        <v>1642</v>
      </c>
      <c r="E10" s="1572">
        <v>129394</v>
      </c>
      <c r="F10" s="1572">
        <v>101324</v>
      </c>
      <c r="G10" s="1572"/>
      <c r="H10" s="1572"/>
      <c r="I10" s="1573">
        <v>401937</v>
      </c>
      <c r="J10" s="1573"/>
      <c r="K10" s="1671">
        <f t="shared" si="0"/>
        <v>844237</v>
      </c>
      <c r="L10" s="1572">
        <v>775700</v>
      </c>
    </row>
    <row r="11" spans="1:14" x14ac:dyDescent="0.2">
      <c r="A11" s="1273" t="s">
        <v>1119</v>
      </c>
      <c r="B11" s="503" t="s">
        <v>160</v>
      </c>
      <c r="C11" s="1573">
        <v>192513</v>
      </c>
      <c r="D11" s="1573">
        <v>2266</v>
      </c>
      <c r="E11" s="1573">
        <v>14797</v>
      </c>
      <c r="F11" s="1573">
        <v>20157</v>
      </c>
      <c r="G11" s="1573"/>
      <c r="H11" s="1573"/>
      <c r="I11" s="1573"/>
      <c r="J11" s="1573"/>
      <c r="K11" s="1671">
        <f t="shared" si="0"/>
        <v>229733</v>
      </c>
      <c r="L11" s="1572">
        <v>600320</v>
      </c>
    </row>
    <row r="12" spans="1:14" x14ac:dyDescent="0.2">
      <c r="A12" s="1273" t="s">
        <v>955</v>
      </c>
      <c r="B12" s="503">
        <v>1300</v>
      </c>
      <c r="C12" s="1572"/>
      <c r="D12" s="1572"/>
      <c r="E12" s="1572"/>
      <c r="F12" s="1572"/>
      <c r="G12" s="1572"/>
      <c r="H12" s="1572"/>
      <c r="I12" s="1573"/>
      <c r="J12" s="1573"/>
      <c r="K12" s="1671">
        <f t="shared" si="0"/>
        <v>0</v>
      </c>
      <c r="L12" s="1572"/>
    </row>
    <row r="13" spans="1:14" x14ac:dyDescent="0.2">
      <c r="A13" s="1273" t="s">
        <v>717</v>
      </c>
      <c r="B13" s="503">
        <v>1400</v>
      </c>
      <c r="C13" s="1572"/>
      <c r="D13" s="1572"/>
      <c r="E13" s="1572"/>
      <c r="F13" s="1572"/>
      <c r="G13" s="1572"/>
      <c r="H13" s="1572"/>
      <c r="I13" s="1573"/>
      <c r="J13" s="1573"/>
      <c r="K13" s="1671">
        <f t="shared" si="0"/>
        <v>0</v>
      </c>
      <c r="L13" s="1572"/>
    </row>
    <row r="14" spans="1:14" x14ac:dyDescent="0.2">
      <c r="A14" s="1273" t="s">
        <v>956</v>
      </c>
      <c r="B14" s="503">
        <v>1500</v>
      </c>
      <c r="C14" s="1572">
        <v>122803</v>
      </c>
      <c r="D14" s="1572">
        <v>1720</v>
      </c>
      <c r="E14" s="1572">
        <v>13358</v>
      </c>
      <c r="F14" s="1572">
        <v>11782</v>
      </c>
      <c r="G14" s="1572"/>
      <c r="H14" s="1572"/>
      <c r="I14" s="1573"/>
      <c r="J14" s="1573"/>
      <c r="K14" s="1671">
        <f t="shared" si="0"/>
        <v>149663</v>
      </c>
      <c r="L14" s="1572">
        <v>238545</v>
      </c>
    </row>
    <row r="15" spans="1:14" x14ac:dyDescent="0.2">
      <c r="A15" s="1273" t="s">
        <v>957</v>
      </c>
      <c r="B15" s="503">
        <v>1600</v>
      </c>
      <c r="C15" s="1572"/>
      <c r="D15" s="1572"/>
      <c r="E15" s="1572"/>
      <c r="F15" s="1572"/>
      <c r="G15" s="1572"/>
      <c r="H15" s="1572"/>
      <c r="I15" s="1573"/>
      <c r="J15" s="1573"/>
      <c r="K15" s="1671">
        <f t="shared" si="0"/>
        <v>0</v>
      </c>
      <c r="L15" s="1572"/>
    </row>
    <row r="16" spans="1:14" x14ac:dyDescent="0.2">
      <c r="A16" s="1273" t="s">
        <v>979</v>
      </c>
      <c r="B16" s="503" t="s">
        <v>420</v>
      </c>
      <c r="C16" s="1572"/>
      <c r="D16" s="1572"/>
      <c r="E16" s="1572"/>
      <c r="F16" s="1572"/>
      <c r="G16" s="1572"/>
      <c r="H16" s="1572"/>
      <c r="I16" s="1573"/>
      <c r="J16" s="1573"/>
      <c r="K16" s="1671">
        <f t="shared" si="0"/>
        <v>0</v>
      </c>
      <c r="L16" s="1572"/>
    </row>
    <row r="17" spans="1:12" x14ac:dyDescent="0.2">
      <c r="A17" s="1273" t="s">
        <v>718</v>
      </c>
      <c r="B17" s="503" t="s">
        <v>161</v>
      </c>
      <c r="C17" s="1573"/>
      <c r="D17" s="1573"/>
      <c r="E17" s="1573"/>
      <c r="F17" s="1573"/>
      <c r="G17" s="1573"/>
      <c r="H17" s="1573"/>
      <c r="I17" s="1573"/>
      <c r="J17" s="1573"/>
      <c r="K17" s="1671">
        <f t="shared" si="0"/>
        <v>0</v>
      </c>
      <c r="L17" s="1572"/>
    </row>
    <row r="18" spans="1:12" x14ac:dyDescent="0.2">
      <c r="A18" s="1273" t="s">
        <v>1077</v>
      </c>
      <c r="B18" s="503">
        <v>1800</v>
      </c>
      <c r="C18" s="1572"/>
      <c r="D18" s="1572"/>
      <c r="E18" s="1572"/>
      <c r="F18" s="1572"/>
      <c r="G18" s="1572"/>
      <c r="H18" s="1572"/>
      <c r="I18" s="1573"/>
      <c r="J18" s="1573"/>
      <c r="K18" s="1671">
        <f t="shared" si="0"/>
        <v>0</v>
      </c>
      <c r="L18" s="1572">
        <v>185</v>
      </c>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732</v>
      </c>
      <c r="B20" s="494" t="s">
        <v>719</v>
      </c>
      <c r="C20" s="1581"/>
      <c r="D20" s="1581"/>
      <c r="E20" s="1581"/>
      <c r="F20" s="1581"/>
      <c r="G20" s="1581"/>
      <c r="H20" s="1578"/>
      <c r="I20" s="1672"/>
      <c r="J20" s="1579"/>
      <c r="K20" s="1671">
        <f t="shared" si="0"/>
        <v>0</v>
      </c>
      <c r="L20" s="1576"/>
    </row>
    <row r="21" spans="1:12" x14ac:dyDescent="0.2">
      <c r="A21" s="1274" t="s">
        <v>733</v>
      </c>
      <c r="B21" s="494" t="s">
        <v>720</v>
      </c>
      <c r="C21" s="1581"/>
      <c r="D21" s="1581"/>
      <c r="E21" s="1581"/>
      <c r="F21" s="1581"/>
      <c r="G21" s="1581"/>
      <c r="H21" s="1578">
        <v>235630</v>
      </c>
      <c r="I21" s="1672"/>
      <c r="J21" s="1581"/>
      <c r="K21" s="1671">
        <f t="shared" si="0"/>
        <v>235630</v>
      </c>
      <c r="L21" s="1576">
        <v>150000</v>
      </c>
    </row>
    <row r="22" spans="1:12" x14ac:dyDescent="0.2">
      <c r="A22" s="1274" t="s">
        <v>734</v>
      </c>
      <c r="B22" s="494" t="s">
        <v>721</v>
      </c>
      <c r="C22" s="1581"/>
      <c r="D22" s="1581"/>
      <c r="E22" s="1581"/>
      <c r="F22" s="1581"/>
      <c r="G22" s="1581"/>
      <c r="H22" s="1578"/>
      <c r="I22" s="1672"/>
      <c r="J22" s="1581"/>
      <c r="K22" s="1671">
        <f t="shared" si="0"/>
        <v>0</v>
      </c>
      <c r="L22" s="1576">
        <v>45000</v>
      </c>
    </row>
    <row r="23" spans="1:12" x14ac:dyDescent="0.2">
      <c r="A23" s="1274" t="s">
        <v>735</v>
      </c>
      <c r="B23" s="494" t="s">
        <v>722</v>
      </c>
      <c r="C23" s="1581"/>
      <c r="D23" s="1581"/>
      <c r="E23" s="1581"/>
      <c r="F23" s="1581"/>
      <c r="G23" s="1581"/>
      <c r="H23" s="1578"/>
      <c r="I23" s="1672"/>
      <c r="J23" s="1581"/>
      <c r="K23" s="1671">
        <f t="shared" si="0"/>
        <v>0</v>
      </c>
      <c r="L23" s="1576"/>
    </row>
    <row r="24" spans="1:12" ht="12.75" customHeight="1" x14ac:dyDescent="0.2">
      <c r="A24" s="1274" t="s">
        <v>736</v>
      </c>
      <c r="B24" s="494" t="s">
        <v>723</v>
      </c>
      <c r="C24" s="1581"/>
      <c r="D24" s="1581"/>
      <c r="E24" s="1581"/>
      <c r="F24" s="1581"/>
      <c r="G24" s="1581"/>
      <c r="H24" s="1578"/>
      <c r="I24" s="1672"/>
      <c r="J24" s="1581"/>
      <c r="K24" s="1671">
        <f t="shared" si="0"/>
        <v>0</v>
      </c>
      <c r="L24" s="1576"/>
    </row>
    <row r="25" spans="1:12" ht="12.75" customHeight="1" x14ac:dyDescent="0.2">
      <c r="A25" s="1274" t="s">
        <v>796</v>
      </c>
      <c r="B25" s="494" t="s">
        <v>724</v>
      </c>
      <c r="C25" s="1581"/>
      <c r="D25" s="1581"/>
      <c r="E25" s="1581"/>
      <c r="F25" s="1581"/>
      <c r="G25" s="1581"/>
      <c r="H25" s="1578"/>
      <c r="I25" s="1672"/>
      <c r="J25" s="1581"/>
      <c r="K25" s="1671">
        <f t="shared" si="0"/>
        <v>0</v>
      </c>
      <c r="L25" s="1576"/>
    </row>
    <row r="26" spans="1:12" x14ac:dyDescent="0.2">
      <c r="A26" s="1274" t="s">
        <v>617</v>
      </c>
      <c r="B26" s="494" t="s">
        <v>725</v>
      </c>
      <c r="C26" s="1581"/>
      <c r="D26" s="1581"/>
      <c r="E26" s="1581"/>
      <c r="F26" s="1581"/>
      <c r="G26" s="1581"/>
      <c r="H26" s="1578"/>
      <c r="I26" s="1672"/>
      <c r="J26" s="1581"/>
      <c r="K26" s="1671">
        <f t="shared" si="0"/>
        <v>0</v>
      </c>
      <c r="L26" s="1576"/>
    </row>
    <row r="27" spans="1:12" x14ac:dyDescent="0.2">
      <c r="A27" s="1274" t="s">
        <v>618</v>
      </c>
      <c r="B27" s="494" t="s">
        <v>726</v>
      </c>
      <c r="C27" s="1581"/>
      <c r="D27" s="1581"/>
      <c r="E27" s="1581"/>
      <c r="F27" s="1581"/>
      <c r="G27" s="1581"/>
      <c r="H27" s="1578"/>
      <c r="I27" s="1672"/>
      <c r="J27" s="1581"/>
      <c r="K27" s="1671">
        <f t="shared" si="0"/>
        <v>0</v>
      </c>
      <c r="L27" s="1576"/>
    </row>
    <row r="28" spans="1:12" x14ac:dyDescent="0.2">
      <c r="A28" s="1274" t="s">
        <v>149</v>
      </c>
      <c r="B28" s="494" t="s">
        <v>727</v>
      </c>
      <c r="C28" s="1581"/>
      <c r="D28" s="1581"/>
      <c r="E28" s="1581"/>
      <c r="F28" s="1581"/>
      <c r="G28" s="1581"/>
      <c r="H28" s="1578"/>
      <c r="I28" s="1672"/>
      <c r="J28" s="1581"/>
      <c r="K28" s="1671">
        <f t="shared" si="0"/>
        <v>0</v>
      </c>
      <c r="L28" s="1576"/>
    </row>
    <row r="29" spans="1:12" x14ac:dyDescent="0.2">
      <c r="A29" s="1274" t="s">
        <v>150</v>
      </c>
      <c r="B29" s="494" t="s">
        <v>728</v>
      </c>
      <c r="C29" s="1581"/>
      <c r="D29" s="1581"/>
      <c r="E29" s="1581"/>
      <c r="F29" s="1581"/>
      <c r="G29" s="1581"/>
      <c r="H29" s="1578"/>
      <c r="I29" s="1672"/>
      <c r="J29" s="1581"/>
      <c r="K29" s="1671">
        <f t="shared" si="0"/>
        <v>0</v>
      </c>
      <c r="L29" s="1576"/>
    </row>
    <row r="30" spans="1:12" x14ac:dyDescent="0.2">
      <c r="A30" s="1274" t="s">
        <v>151</v>
      </c>
      <c r="B30" s="494" t="s">
        <v>729</v>
      </c>
      <c r="C30" s="1581"/>
      <c r="D30" s="1581"/>
      <c r="E30" s="1581"/>
      <c r="F30" s="1581"/>
      <c r="G30" s="1581"/>
      <c r="H30" s="1578"/>
      <c r="I30" s="1672"/>
      <c r="J30" s="1581"/>
      <c r="K30" s="1671">
        <f t="shared" si="0"/>
        <v>0</v>
      </c>
      <c r="L30" s="1576"/>
    </row>
    <row r="31" spans="1:12" x14ac:dyDescent="0.2">
      <c r="A31" s="1274" t="s">
        <v>152</v>
      </c>
      <c r="B31" s="494" t="s">
        <v>730</v>
      </c>
      <c r="C31" s="1581"/>
      <c r="D31" s="1581"/>
      <c r="E31" s="1581"/>
      <c r="F31" s="1581"/>
      <c r="G31" s="1581"/>
      <c r="H31" s="1578"/>
      <c r="I31" s="1672"/>
      <c r="J31" s="1581"/>
      <c r="K31" s="1671">
        <f t="shared" si="0"/>
        <v>0</v>
      </c>
      <c r="L31" s="1576"/>
    </row>
    <row r="32" spans="1:12" x14ac:dyDescent="0.2">
      <c r="A32" s="1275" t="s">
        <v>1118</v>
      </c>
      <c r="B32" s="503" t="s">
        <v>731</v>
      </c>
      <c r="C32" s="1581"/>
      <c r="D32" s="1581"/>
      <c r="E32" s="1581"/>
      <c r="F32" s="1581"/>
      <c r="G32" s="1581"/>
      <c r="H32" s="1578"/>
      <c r="I32" s="1672"/>
      <c r="J32" s="1584"/>
      <c r="K32" s="1671">
        <f t="shared" si="0"/>
        <v>0</v>
      </c>
      <c r="L32" s="1576"/>
    </row>
    <row r="33" spans="1:14" ht="12.75" customHeight="1" thickBot="1" x14ac:dyDescent="0.25">
      <c r="A33" s="1379" t="s">
        <v>1648</v>
      </c>
      <c r="B33" s="1380" t="s">
        <v>565</v>
      </c>
      <c r="C33" s="1673">
        <f>SUM(C5:C32)</f>
        <v>14221874</v>
      </c>
      <c r="D33" s="1673">
        <f t="shared" ref="D33:L33" si="1">SUM(D5:D32)</f>
        <v>2374057</v>
      </c>
      <c r="E33" s="1673">
        <f t="shared" si="1"/>
        <v>939670</v>
      </c>
      <c r="F33" s="1673">
        <f t="shared" si="1"/>
        <v>325053</v>
      </c>
      <c r="G33" s="1673">
        <f t="shared" si="1"/>
        <v>3741</v>
      </c>
      <c r="H33" s="1673">
        <f t="shared" si="1"/>
        <v>235630</v>
      </c>
      <c r="I33" s="1673">
        <f t="shared" si="1"/>
        <v>401937</v>
      </c>
      <c r="J33" s="1673">
        <f t="shared" si="1"/>
        <v>0</v>
      </c>
      <c r="K33" s="1673">
        <f t="shared" si="1"/>
        <v>18501962</v>
      </c>
      <c r="L33" s="1673">
        <f t="shared" si="1"/>
        <v>19226689</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1079</v>
      </c>
      <c r="B36" s="503">
        <v>2110</v>
      </c>
      <c r="C36" s="1585">
        <v>634915</v>
      </c>
      <c r="D36" s="1585">
        <v>64744</v>
      </c>
      <c r="E36" s="1585"/>
      <c r="F36" s="1585"/>
      <c r="G36" s="1585"/>
      <c r="H36" s="1585"/>
      <c r="I36" s="1573"/>
      <c r="J36" s="1573"/>
      <c r="K36" s="1671">
        <f t="shared" ref="K36:K41" si="2">SUM(C36:J36)</f>
        <v>699659</v>
      </c>
      <c r="L36" s="1572">
        <v>666070</v>
      </c>
    </row>
    <row r="37" spans="1:14" x14ac:dyDescent="0.2">
      <c r="A37" s="1273" t="s">
        <v>1080</v>
      </c>
      <c r="B37" s="503">
        <v>2120</v>
      </c>
      <c r="C37" s="1572"/>
      <c r="D37" s="1572"/>
      <c r="E37" s="1572"/>
      <c r="F37" s="1572">
        <v>3660</v>
      </c>
      <c r="G37" s="1572"/>
      <c r="H37" s="1572"/>
      <c r="I37" s="1573"/>
      <c r="J37" s="1573"/>
      <c r="K37" s="1671">
        <f t="shared" si="2"/>
        <v>3660</v>
      </c>
      <c r="L37" s="1572">
        <v>2330</v>
      </c>
    </row>
    <row r="38" spans="1:14" x14ac:dyDescent="0.2">
      <c r="A38" s="1273" t="s">
        <v>196</v>
      </c>
      <c r="B38" s="503">
        <v>2130</v>
      </c>
      <c r="C38" s="1572">
        <v>248465</v>
      </c>
      <c r="D38" s="1572">
        <v>56256</v>
      </c>
      <c r="E38" s="1572"/>
      <c r="F38" s="1572"/>
      <c r="G38" s="1572"/>
      <c r="H38" s="1572"/>
      <c r="I38" s="1573"/>
      <c r="J38" s="1573"/>
      <c r="K38" s="1671">
        <f t="shared" si="2"/>
        <v>304721</v>
      </c>
      <c r="L38" s="1572">
        <v>379258</v>
      </c>
    </row>
    <row r="39" spans="1:14" x14ac:dyDescent="0.2">
      <c r="A39" s="1273" t="s">
        <v>197</v>
      </c>
      <c r="B39" s="503">
        <v>2140</v>
      </c>
      <c r="C39" s="1572">
        <v>217175</v>
      </c>
      <c r="D39" s="1572">
        <v>43089</v>
      </c>
      <c r="E39" s="1572"/>
      <c r="F39" s="1572">
        <v>9571</v>
      </c>
      <c r="G39" s="1572"/>
      <c r="H39" s="1572"/>
      <c r="I39" s="1573"/>
      <c r="J39" s="1573"/>
      <c r="K39" s="1671">
        <f t="shared" si="2"/>
        <v>269835</v>
      </c>
      <c r="L39" s="1572">
        <v>253171</v>
      </c>
    </row>
    <row r="40" spans="1:14" x14ac:dyDescent="0.2">
      <c r="A40" s="1273" t="s">
        <v>198</v>
      </c>
      <c r="B40" s="503">
        <v>2150</v>
      </c>
      <c r="C40" s="1572">
        <v>243017</v>
      </c>
      <c r="D40" s="1572">
        <v>21959</v>
      </c>
      <c r="E40" s="1572"/>
      <c r="F40" s="1572">
        <v>3106</v>
      </c>
      <c r="G40" s="1572"/>
      <c r="H40" s="1572"/>
      <c r="I40" s="1573"/>
      <c r="J40" s="1573"/>
      <c r="K40" s="1671">
        <f t="shared" si="2"/>
        <v>268082</v>
      </c>
      <c r="L40" s="1572">
        <v>260805</v>
      </c>
    </row>
    <row r="41" spans="1:14" x14ac:dyDescent="0.2">
      <c r="A41" s="1273" t="s">
        <v>1649</v>
      </c>
      <c r="B41" s="503">
        <v>2190</v>
      </c>
      <c r="C41" s="1572"/>
      <c r="D41" s="1572"/>
      <c r="E41" s="1572"/>
      <c r="F41" s="1572"/>
      <c r="G41" s="1572"/>
      <c r="H41" s="1572"/>
      <c r="I41" s="1573"/>
      <c r="J41" s="1573"/>
      <c r="K41" s="1671">
        <f t="shared" si="2"/>
        <v>0</v>
      </c>
      <c r="L41" s="1572"/>
    </row>
    <row r="42" spans="1:14" ht="12.75" customHeight="1" thickBot="1" x14ac:dyDescent="0.25">
      <c r="A42" s="1379" t="s">
        <v>555</v>
      </c>
      <c r="B42" s="1380" t="s">
        <v>710</v>
      </c>
      <c r="C42" s="1673">
        <f>SUM(C36:C41)</f>
        <v>1343572</v>
      </c>
      <c r="D42" s="1673">
        <f t="shared" ref="D42:L42" si="3">SUM(D36:D41)</f>
        <v>186048</v>
      </c>
      <c r="E42" s="1673">
        <f t="shared" si="3"/>
        <v>0</v>
      </c>
      <c r="F42" s="1673">
        <f t="shared" si="3"/>
        <v>16337</v>
      </c>
      <c r="G42" s="1673">
        <f t="shared" si="3"/>
        <v>0</v>
      </c>
      <c r="H42" s="1673">
        <f t="shared" si="3"/>
        <v>0</v>
      </c>
      <c r="I42" s="1673">
        <f t="shared" si="3"/>
        <v>0</v>
      </c>
      <c r="J42" s="1673">
        <f t="shared" si="3"/>
        <v>0</v>
      </c>
      <c r="K42" s="1673">
        <f t="shared" si="3"/>
        <v>1545957</v>
      </c>
      <c r="L42" s="1673">
        <f t="shared" si="3"/>
        <v>1561634</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v>364105</v>
      </c>
      <c r="D44" s="1585">
        <v>77441</v>
      </c>
      <c r="E44" s="1585">
        <v>779817</v>
      </c>
      <c r="F44" s="1585">
        <v>23812</v>
      </c>
      <c r="G44" s="1585">
        <v>136751</v>
      </c>
      <c r="H44" s="1585"/>
      <c r="I44" s="1573"/>
      <c r="J44" s="1573"/>
      <c r="K44" s="1677">
        <f>SUM(C44:J44)</f>
        <v>1381926</v>
      </c>
      <c r="L44" s="1585">
        <v>2030164</v>
      </c>
    </row>
    <row r="45" spans="1:14" x14ac:dyDescent="0.2">
      <c r="A45" s="1273" t="s">
        <v>809</v>
      </c>
      <c r="B45" s="503">
        <v>2220</v>
      </c>
      <c r="C45" s="1572">
        <v>253909</v>
      </c>
      <c r="D45" s="1572">
        <v>71744</v>
      </c>
      <c r="E45" s="1572">
        <v>522555</v>
      </c>
      <c r="F45" s="1572">
        <v>53066</v>
      </c>
      <c r="G45" s="1572"/>
      <c r="H45" s="1572"/>
      <c r="I45" s="1573"/>
      <c r="J45" s="1573"/>
      <c r="K45" s="1677">
        <f>SUM(C45:J45)</f>
        <v>901274</v>
      </c>
      <c r="L45" s="1572">
        <v>857264</v>
      </c>
    </row>
    <row r="46" spans="1:14" x14ac:dyDescent="0.2">
      <c r="A46" s="1273" t="s">
        <v>810</v>
      </c>
      <c r="B46" s="503">
        <v>2230</v>
      </c>
      <c r="C46" s="1572"/>
      <c r="D46" s="1572"/>
      <c r="E46" s="1572">
        <v>81651</v>
      </c>
      <c r="F46" s="1572"/>
      <c r="G46" s="1572"/>
      <c r="H46" s="1572"/>
      <c r="I46" s="1573"/>
      <c r="J46" s="1573"/>
      <c r="K46" s="1677">
        <f>SUM(C46:J46)</f>
        <v>81651</v>
      </c>
      <c r="L46" s="1572">
        <v>90391</v>
      </c>
    </row>
    <row r="47" spans="1:14" ht="12.75" customHeight="1" thickBot="1" x14ac:dyDescent="0.25">
      <c r="A47" s="1379" t="s">
        <v>556</v>
      </c>
      <c r="B47" s="1380" t="s">
        <v>32</v>
      </c>
      <c r="C47" s="1673">
        <f>SUM(C44:C46)</f>
        <v>618014</v>
      </c>
      <c r="D47" s="1673">
        <f t="shared" ref="D47:K47" si="4">SUM(D44:D46)</f>
        <v>149185</v>
      </c>
      <c r="E47" s="1673">
        <f t="shared" si="4"/>
        <v>1384023</v>
      </c>
      <c r="F47" s="1673">
        <f t="shared" si="4"/>
        <v>76878</v>
      </c>
      <c r="G47" s="1673">
        <f t="shared" si="4"/>
        <v>136751</v>
      </c>
      <c r="H47" s="1673">
        <f t="shared" si="4"/>
        <v>0</v>
      </c>
      <c r="I47" s="1673">
        <f t="shared" si="4"/>
        <v>0</v>
      </c>
      <c r="J47" s="1673">
        <f t="shared" si="4"/>
        <v>0</v>
      </c>
      <c r="K47" s="1673">
        <f t="shared" si="4"/>
        <v>2364851</v>
      </c>
      <c r="L47" s="1673">
        <f>SUM(L44:L46)</f>
        <v>2977819</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c r="D49" s="1585">
        <v>260728</v>
      </c>
      <c r="E49" s="1585">
        <v>350552</v>
      </c>
      <c r="F49" s="1585">
        <v>3128</v>
      </c>
      <c r="G49" s="1585"/>
      <c r="H49" s="1585">
        <v>6163</v>
      </c>
      <c r="I49" s="1573"/>
      <c r="J49" s="1573"/>
      <c r="K49" s="1677">
        <f>SUM(C49:J49)</f>
        <v>620571</v>
      </c>
      <c r="L49" s="1585">
        <v>762924</v>
      </c>
    </row>
    <row r="50" spans="1:14" x14ac:dyDescent="0.2">
      <c r="A50" s="1273" t="s">
        <v>812</v>
      </c>
      <c r="B50" s="503">
        <v>2320</v>
      </c>
      <c r="C50" s="1572">
        <v>344279</v>
      </c>
      <c r="D50" s="1572">
        <v>70165</v>
      </c>
      <c r="E50" s="1572">
        <v>56739</v>
      </c>
      <c r="F50" s="1572">
        <v>69375</v>
      </c>
      <c r="G50" s="1572"/>
      <c r="H50" s="1572">
        <v>40367</v>
      </c>
      <c r="I50" s="1573"/>
      <c r="J50" s="1573"/>
      <c r="K50" s="1677">
        <f>SUM(C50:J50)</f>
        <v>580925</v>
      </c>
      <c r="L50" s="1572">
        <v>758000</v>
      </c>
    </row>
    <row r="51" spans="1:14" x14ac:dyDescent="0.2">
      <c r="A51" s="1273" t="s">
        <v>42</v>
      </c>
      <c r="B51" s="503">
        <v>2330</v>
      </c>
      <c r="C51" s="1572">
        <v>201555</v>
      </c>
      <c r="D51" s="1572">
        <v>50027</v>
      </c>
      <c r="E51" s="1572"/>
      <c r="F51" s="1572"/>
      <c r="G51" s="1572"/>
      <c r="H51" s="1572"/>
      <c r="I51" s="1573"/>
      <c r="J51" s="1573"/>
      <c r="K51" s="1677">
        <f>SUM(C51:J51)</f>
        <v>251582</v>
      </c>
      <c r="L51" s="1572">
        <v>266000</v>
      </c>
    </row>
    <row r="52" spans="1:14" ht="22.5" x14ac:dyDescent="0.2">
      <c r="A52" s="1274" t="s">
        <v>294</v>
      </c>
      <c r="B52" s="511" t="s">
        <v>362</v>
      </c>
      <c r="C52" s="1578"/>
      <c r="D52" s="1578"/>
      <c r="E52" s="1578"/>
      <c r="F52" s="1578"/>
      <c r="G52" s="1578"/>
      <c r="H52" s="1578"/>
      <c r="I52" s="1578"/>
      <c r="J52" s="1578"/>
      <c r="K52" s="1677">
        <f>SUM(C52:J52)</f>
        <v>0</v>
      </c>
      <c r="L52" s="1578"/>
    </row>
    <row r="53" spans="1:14" ht="12.75" customHeight="1" thickBot="1" x14ac:dyDescent="0.25">
      <c r="A53" s="1379" t="s">
        <v>711</v>
      </c>
      <c r="B53" s="1380" t="s">
        <v>33</v>
      </c>
      <c r="C53" s="1673">
        <f>SUM(C49:C52)</f>
        <v>545834</v>
      </c>
      <c r="D53" s="1673">
        <f t="shared" ref="D53:L53" si="5">SUM(D49:D52)</f>
        <v>380920</v>
      </c>
      <c r="E53" s="1673">
        <f t="shared" si="5"/>
        <v>407291</v>
      </c>
      <c r="F53" s="1673">
        <f t="shared" si="5"/>
        <v>72503</v>
      </c>
      <c r="G53" s="1673">
        <f t="shared" si="5"/>
        <v>0</v>
      </c>
      <c r="H53" s="1673">
        <f t="shared" si="5"/>
        <v>46530</v>
      </c>
      <c r="I53" s="1673">
        <f t="shared" si="5"/>
        <v>0</v>
      </c>
      <c r="J53" s="1673">
        <f t="shared" si="5"/>
        <v>0</v>
      </c>
      <c r="K53" s="1673">
        <f t="shared" si="5"/>
        <v>1453078</v>
      </c>
      <c r="L53" s="1673">
        <f t="shared" si="5"/>
        <v>1786924</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1057</v>
      </c>
      <c r="B55" s="503">
        <v>2410</v>
      </c>
      <c r="C55" s="1585">
        <v>1387293</v>
      </c>
      <c r="D55" s="1585">
        <v>380634</v>
      </c>
      <c r="E55" s="1585">
        <v>8324</v>
      </c>
      <c r="F55" s="1585">
        <v>4524</v>
      </c>
      <c r="G55" s="1585"/>
      <c r="H55" s="1585"/>
      <c r="I55" s="1573"/>
      <c r="J55" s="1573"/>
      <c r="K55" s="1677">
        <f>SUM(C55:J55)</f>
        <v>1780775</v>
      </c>
      <c r="L55" s="1585">
        <v>1804501</v>
      </c>
    </row>
    <row r="56" spans="1:14" ht="12.75" customHeight="1" x14ac:dyDescent="0.2">
      <c r="A56" s="1277" t="s">
        <v>372</v>
      </c>
      <c r="B56" s="512">
        <v>2490</v>
      </c>
      <c r="C56" s="1572"/>
      <c r="D56" s="1572"/>
      <c r="E56" s="1572"/>
      <c r="F56" s="1572"/>
      <c r="G56" s="1572"/>
      <c r="H56" s="1572">
        <v>570</v>
      </c>
      <c r="I56" s="1573"/>
      <c r="J56" s="1573"/>
      <c r="K56" s="1677">
        <f>SUM(C56:J56)</f>
        <v>570</v>
      </c>
      <c r="L56" s="1572">
        <v>27008</v>
      </c>
    </row>
    <row r="57" spans="1:14" s="321" customFormat="1" ht="12.75" customHeight="1" thickBot="1" x14ac:dyDescent="0.25">
      <c r="A57" s="1379" t="s">
        <v>261</v>
      </c>
      <c r="B57" s="1381" t="s">
        <v>34</v>
      </c>
      <c r="C57" s="1678">
        <f>SUM(C55:C56)</f>
        <v>1387293</v>
      </c>
      <c r="D57" s="1678">
        <f t="shared" ref="D57:K57" si="6">SUM(D55:D56)</f>
        <v>380634</v>
      </c>
      <c r="E57" s="1678">
        <f t="shared" si="6"/>
        <v>8324</v>
      </c>
      <c r="F57" s="1678">
        <f t="shared" si="6"/>
        <v>4524</v>
      </c>
      <c r="G57" s="1678">
        <f t="shared" si="6"/>
        <v>0</v>
      </c>
      <c r="H57" s="1678">
        <f t="shared" si="6"/>
        <v>570</v>
      </c>
      <c r="I57" s="1678">
        <f t="shared" si="6"/>
        <v>0</v>
      </c>
      <c r="J57" s="1678">
        <f t="shared" si="6"/>
        <v>0</v>
      </c>
      <c r="K57" s="1678">
        <f t="shared" si="6"/>
        <v>1781345</v>
      </c>
      <c r="L57" s="1673">
        <f>SUM(L55:L56)</f>
        <v>1831509</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1058</v>
      </c>
      <c r="B59" s="503">
        <v>2510</v>
      </c>
      <c r="C59" s="1585">
        <v>4200</v>
      </c>
      <c r="D59" s="1585">
        <v>112385</v>
      </c>
      <c r="E59" s="1585">
        <v>17022</v>
      </c>
      <c r="F59" s="1585"/>
      <c r="G59" s="1585"/>
      <c r="H59" s="1585">
        <v>827</v>
      </c>
      <c r="I59" s="1573"/>
      <c r="J59" s="1573"/>
      <c r="K59" s="1677">
        <f t="shared" ref="K59:K64" si="7">SUM(C59:J59)</f>
        <v>134434</v>
      </c>
      <c r="L59" s="1585">
        <v>250233</v>
      </c>
      <c r="M59" s="501"/>
      <c r="N59" s="501"/>
    </row>
    <row r="60" spans="1:14" s="321" customFormat="1" x14ac:dyDescent="0.2">
      <c r="A60" s="1273" t="s">
        <v>459</v>
      </c>
      <c r="B60" s="503">
        <v>2520</v>
      </c>
      <c r="C60" s="1572">
        <v>372724</v>
      </c>
      <c r="D60" s="1572">
        <v>105718</v>
      </c>
      <c r="E60" s="1572">
        <v>10515</v>
      </c>
      <c r="F60" s="1572"/>
      <c r="G60" s="1572"/>
      <c r="H60" s="1572"/>
      <c r="I60" s="1573"/>
      <c r="J60" s="1573"/>
      <c r="K60" s="1677">
        <f t="shared" si="7"/>
        <v>488957</v>
      </c>
      <c r="L60" s="1572">
        <v>329857</v>
      </c>
      <c r="M60" s="501"/>
      <c r="N60" s="501"/>
    </row>
    <row r="61" spans="1:14" s="321" customFormat="1" x14ac:dyDescent="0.2">
      <c r="A61" s="1273" t="s">
        <v>195</v>
      </c>
      <c r="B61" s="503">
        <v>2540</v>
      </c>
      <c r="C61" s="1572">
        <v>73000</v>
      </c>
      <c r="D61" s="1572">
        <v>16364</v>
      </c>
      <c r="E61" s="1572">
        <v>176555</v>
      </c>
      <c r="F61" s="1572"/>
      <c r="G61" s="1572"/>
      <c r="H61" s="1572"/>
      <c r="I61" s="1573"/>
      <c r="J61" s="1573"/>
      <c r="K61" s="1677">
        <f t="shared" si="7"/>
        <v>265919</v>
      </c>
      <c r="L61" s="1572">
        <v>150000</v>
      </c>
      <c r="M61" s="501"/>
      <c r="N61" s="501"/>
    </row>
    <row r="62" spans="1:14" s="321" customFormat="1" x14ac:dyDescent="0.2">
      <c r="A62" s="1273" t="s">
        <v>946</v>
      </c>
      <c r="B62" s="503">
        <v>2550</v>
      </c>
      <c r="C62" s="1572">
        <v>4929</v>
      </c>
      <c r="D62" s="1572"/>
      <c r="E62" s="1572">
        <v>376838</v>
      </c>
      <c r="F62" s="1572"/>
      <c r="G62" s="1572"/>
      <c r="H62" s="1572"/>
      <c r="I62" s="1573"/>
      <c r="J62" s="1573"/>
      <c r="K62" s="1677">
        <f t="shared" si="7"/>
        <v>381767</v>
      </c>
      <c r="L62" s="1572">
        <v>565022</v>
      </c>
      <c r="M62" s="501"/>
      <c r="N62" s="501"/>
    </row>
    <row r="63" spans="1:14" s="501" customFormat="1" x14ac:dyDescent="0.2">
      <c r="A63" s="1273" t="s">
        <v>100</v>
      </c>
      <c r="B63" s="503">
        <v>2560</v>
      </c>
      <c r="C63" s="1572">
        <v>138786</v>
      </c>
      <c r="D63" s="1572"/>
      <c r="E63" s="1572">
        <v>1196387</v>
      </c>
      <c r="F63" s="1572">
        <v>116195</v>
      </c>
      <c r="G63" s="1572"/>
      <c r="H63" s="1572"/>
      <c r="I63" s="1573"/>
      <c r="J63" s="1573"/>
      <c r="K63" s="1677">
        <f t="shared" si="7"/>
        <v>1451368</v>
      </c>
      <c r="L63" s="1572">
        <v>1887000</v>
      </c>
    </row>
    <row r="64" spans="1:14" s="501" customFormat="1" x14ac:dyDescent="0.2">
      <c r="A64" s="1278" t="s">
        <v>101</v>
      </c>
      <c r="B64" s="513">
        <v>2570</v>
      </c>
      <c r="C64" s="1585"/>
      <c r="D64" s="1585"/>
      <c r="E64" s="1585">
        <v>40423</v>
      </c>
      <c r="F64" s="1585">
        <v>28248</v>
      </c>
      <c r="G64" s="1585"/>
      <c r="H64" s="1585"/>
      <c r="I64" s="1573"/>
      <c r="J64" s="1573"/>
      <c r="K64" s="1677">
        <f t="shared" si="7"/>
        <v>68671</v>
      </c>
      <c r="L64" s="1585">
        <v>100000</v>
      </c>
    </row>
    <row r="65" spans="1:14" s="321" customFormat="1" ht="12.75" customHeight="1" thickBot="1" x14ac:dyDescent="0.25">
      <c r="A65" s="1379" t="s">
        <v>713</v>
      </c>
      <c r="B65" s="1380" t="s">
        <v>35</v>
      </c>
      <c r="C65" s="1673">
        <f>SUM(C59:C64)</f>
        <v>593639</v>
      </c>
      <c r="D65" s="1673">
        <f t="shared" ref="D65:L65" si="8">SUM(D59:D64)</f>
        <v>234467</v>
      </c>
      <c r="E65" s="1673">
        <f t="shared" si="8"/>
        <v>1817740</v>
      </c>
      <c r="F65" s="1673">
        <f t="shared" si="8"/>
        <v>144443</v>
      </c>
      <c r="G65" s="1673">
        <f t="shared" si="8"/>
        <v>0</v>
      </c>
      <c r="H65" s="1673">
        <f t="shared" si="8"/>
        <v>827</v>
      </c>
      <c r="I65" s="1673">
        <f t="shared" si="8"/>
        <v>0</v>
      </c>
      <c r="J65" s="1673">
        <f t="shared" si="8"/>
        <v>0</v>
      </c>
      <c r="K65" s="1673">
        <f t="shared" si="8"/>
        <v>2791116</v>
      </c>
      <c r="L65" s="1673">
        <f t="shared" si="8"/>
        <v>3282112</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1050</v>
      </c>
      <c r="B67" s="503">
        <v>2610</v>
      </c>
      <c r="C67" s="1572"/>
      <c r="D67" s="1572"/>
      <c r="E67" s="1572"/>
      <c r="F67" s="1572"/>
      <c r="G67" s="1572"/>
      <c r="H67" s="1572"/>
      <c r="I67" s="1573"/>
      <c r="J67" s="1573"/>
      <c r="K67" s="1677">
        <f>SUM(C67:J67)</f>
        <v>0</v>
      </c>
      <c r="L67" s="1585"/>
      <c r="M67" s="501"/>
      <c r="N67" s="501"/>
    </row>
    <row r="68" spans="1:14" s="321" customFormat="1" x14ac:dyDescent="0.2">
      <c r="A68" s="1273" t="s">
        <v>602</v>
      </c>
      <c r="B68" s="503">
        <v>2620</v>
      </c>
      <c r="C68" s="1572"/>
      <c r="D68" s="1572"/>
      <c r="E68" s="1572"/>
      <c r="F68" s="1572"/>
      <c r="G68" s="1572"/>
      <c r="H68" s="1572"/>
      <c r="I68" s="1573"/>
      <c r="J68" s="1573"/>
      <c r="K68" s="1677">
        <f>SUM(C68:J68)</f>
        <v>0</v>
      </c>
      <c r="L68" s="1572"/>
      <c r="M68" s="501"/>
      <c r="N68" s="501"/>
    </row>
    <row r="69" spans="1:14" s="321" customFormat="1" x14ac:dyDescent="0.2">
      <c r="A69" s="1273" t="s">
        <v>1051</v>
      </c>
      <c r="B69" s="503">
        <v>2630</v>
      </c>
      <c r="C69" s="1572"/>
      <c r="D69" s="1572"/>
      <c r="E69" s="1572"/>
      <c r="F69" s="1572"/>
      <c r="G69" s="1572"/>
      <c r="H69" s="1572"/>
      <c r="I69" s="1573"/>
      <c r="J69" s="1573"/>
      <c r="K69" s="1677">
        <f>SUM(C69:J69)</f>
        <v>0</v>
      </c>
      <c r="L69" s="1572"/>
      <c r="M69" s="501"/>
      <c r="N69" s="501"/>
    </row>
    <row r="70" spans="1:14" s="321" customFormat="1" x14ac:dyDescent="0.2">
      <c r="A70" s="1273" t="s">
        <v>399</v>
      </c>
      <c r="B70" s="503">
        <v>2640</v>
      </c>
      <c r="C70" s="1572"/>
      <c r="D70" s="1572"/>
      <c r="E70" s="1572">
        <v>648</v>
      </c>
      <c r="F70" s="1572"/>
      <c r="G70" s="1572"/>
      <c r="H70" s="1572"/>
      <c r="I70" s="1573"/>
      <c r="J70" s="1573"/>
      <c r="K70" s="1677">
        <f>SUM(C70:J70)</f>
        <v>648</v>
      </c>
      <c r="L70" s="1572">
        <v>18521</v>
      </c>
      <c r="M70" s="501"/>
      <c r="N70" s="501"/>
    </row>
    <row r="71" spans="1:14" s="321" customFormat="1" x14ac:dyDescent="0.2">
      <c r="A71" s="1273" t="s">
        <v>400</v>
      </c>
      <c r="B71" s="503">
        <v>2660</v>
      </c>
      <c r="C71" s="1572">
        <v>611513</v>
      </c>
      <c r="D71" s="1572">
        <v>60228</v>
      </c>
      <c r="E71" s="1572"/>
      <c r="F71" s="1572">
        <v>94452</v>
      </c>
      <c r="G71" s="1572"/>
      <c r="H71" s="1572"/>
      <c r="I71" s="1573"/>
      <c r="J71" s="1573"/>
      <c r="K71" s="1677">
        <f>SUM(C71:J71)</f>
        <v>766193</v>
      </c>
      <c r="L71" s="1572">
        <v>573603</v>
      </c>
      <c r="M71" s="501"/>
      <c r="N71" s="501"/>
    </row>
    <row r="72" spans="1:14" s="321" customFormat="1" ht="12.75" customHeight="1" thickBot="1" x14ac:dyDescent="0.25">
      <c r="A72" s="1379" t="s">
        <v>37</v>
      </c>
      <c r="B72" s="1382" t="s">
        <v>36</v>
      </c>
      <c r="C72" s="1673">
        <f>SUM(C67:C71)</f>
        <v>611513</v>
      </c>
      <c r="D72" s="1673">
        <f t="shared" ref="D72:K72" si="9">SUM(D67:D71)</f>
        <v>60228</v>
      </c>
      <c r="E72" s="1673">
        <f t="shared" si="9"/>
        <v>648</v>
      </c>
      <c r="F72" s="1673">
        <f t="shared" si="9"/>
        <v>94452</v>
      </c>
      <c r="G72" s="1673">
        <f t="shared" si="9"/>
        <v>0</v>
      </c>
      <c r="H72" s="1673">
        <f t="shared" si="9"/>
        <v>0</v>
      </c>
      <c r="I72" s="1673">
        <f t="shared" si="9"/>
        <v>0</v>
      </c>
      <c r="J72" s="1673">
        <f t="shared" si="9"/>
        <v>0</v>
      </c>
      <c r="K72" s="1673">
        <f t="shared" si="9"/>
        <v>766841</v>
      </c>
      <c r="L72" s="1673">
        <f>SUM(L67:L71)</f>
        <v>592124</v>
      </c>
      <c r="M72" s="501"/>
      <c r="N72" s="501"/>
    </row>
    <row r="73" spans="1:14" s="321" customFormat="1" ht="14.25" thickTop="1" thickBot="1" x14ac:dyDescent="0.25">
      <c r="A73" s="1279" t="s">
        <v>972</v>
      </c>
      <c r="B73" s="515" t="s">
        <v>569</v>
      </c>
      <c r="C73" s="1648"/>
      <c r="D73" s="1648"/>
      <c r="E73" s="1648">
        <v>263</v>
      </c>
      <c r="F73" s="1648">
        <v>5444</v>
      </c>
      <c r="G73" s="1648"/>
      <c r="H73" s="1648"/>
      <c r="I73" s="1626"/>
      <c r="J73" s="1626"/>
      <c r="K73" s="1673">
        <f>SUM(C73:J73)</f>
        <v>5707</v>
      </c>
      <c r="L73" s="1650">
        <v>6500</v>
      </c>
      <c r="M73" s="501"/>
      <c r="N73" s="501"/>
    </row>
    <row r="74" spans="1:14" ht="12.75" customHeight="1" thickTop="1" thickBot="1" x14ac:dyDescent="0.25">
      <c r="A74" s="1379" t="s">
        <v>805</v>
      </c>
      <c r="B74" s="1383">
        <v>2000</v>
      </c>
      <c r="C74" s="1680">
        <f>SUM(C42,C47,C53,C57,C65,C72,C73)</f>
        <v>5099865</v>
      </c>
      <c r="D74" s="1680">
        <f t="shared" ref="D74:K74" si="10">SUM(D42,D47,D53,D57,D65,D72,D73)</f>
        <v>1391482</v>
      </c>
      <c r="E74" s="1680">
        <f t="shared" si="10"/>
        <v>3618289</v>
      </c>
      <c r="F74" s="1680">
        <f t="shared" si="10"/>
        <v>414581</v>
      </c>
      <c r="G74" s="1680">
        <f t="shared" si="10"/>
        <v>136751</v>
      </c>
      <c r="H74" s="1680">
        <f t="shared" si="10"/>
        <v>47927</v>
      </c>
      <c r="I74" s="1680">
        <f t="shared" si="10"/>
        <v>0</v>
      </c>
      <c r="J74" s="1680">
        <f t="shared" si="10"/>
        <v>0</v>
      </c>
      <c r="K74" s="1680">
        <f t="shared" si="10"/>
        <v>10708895</v>
      </c>
      <c r="L74" s="1680">
        <f>SUM(L42,L47,L53,L57,L65,L72,L73)</f>
        <v>12038622</v>
      </c>
    </row>
    <row r="75" spans="1:14" s="254" customFormat="1" ht="15.75" customHeight="1" thickTop="1" thickBot="1" x14ac:dyDescent="0.25">
      <c r="A75" s="1347" t="s">
        <v>47</v>
      </c>
      <c r="B75" s="1348" t="s">
        <v>570</v>
      </c>
      <c r="C75" s="1648">
        <v>142461</v>
      </c>
      <c r="D75" s="1648">
        <v>2359</v>
      </c>
      <c r="E75" s="1648">
        <f>467443+3855</f>
        <v>471298</v>
      </c>
      <c r="F75" s="1648">
        <f>29702+596</f>
        <v>30298</v>
      </c>
      <c r="G75" s="1648"/>
      <c r="H75" s="1648"/>
      <c r="I75" s="1626"/>
      <c r="J75" s="1626"/>
      <c r="K75" s="1673">
        <f>SUM(C75:J75)</f>
        <v>646416</v>
      </c>
      <c r="L75" s="1650">
        <v>710214</v>
      </c>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c r="F78" s="1672"/>
      <c r="G78" s="1672"/>
      <c r="H78" s="1681"/>
      <c r="I78" s="1581"/>
      <c r="J78" s="1581"/>
      <c r="K78" s="1671">
        <f t="shared" ref="K78:K83" si="11">SUM(C78:J78)</f>
        <v>0</v>
      </c>
      <c r="L78" s="1585"/>
    </row>
    <row r="79" spans="1:14" x14ac:dyDescent="0.2">
      <c r="A79" s="1273" t="s">
        <v>300</v>
      </c>
      <c r="B79" s="503">
        <v>4120</v>
      </c>
      <c r="C79" s="1672"/>
      <c r="D79" s="1672"/>
      <c r="E79" s="1572"/>
      <c r="F79" s="1672"/>
      <c r="G79" s="1672"/>
      <c r="H79" s="1572">
        <v>2297456</v>
      </c>
      <c r="I79" s="1581"/>
      <c r="J79" s="1581"/>
      <c r="K79" s="1671">
        <f t="shared" si="11"/>
        <v>2297456</v>
      </c>
      <c r="L79" s="1572">
        <v>1450000</v>
      </c>
    </row>
    <row r="80" spans="1:14" x14ac:dyDescent="0.2">
      <c r="A80" s="1273" t="s">
        <v>301</v>
      </c>
      <c r="B80" s="503">
        <v>4130</v>
      </c>
      <c r="C80" s="1672"/>
      <c r="D80" s="1672"/>
      <c r="E80" s="1572"/>
      <c r="F80" s="1672"/>
      <c r="G80" s="1672"/>
      <c r="H80" s="1572"/>
      <c r="I80" s="1581"/>
      <c r="J80" s="1581"/>
      <c r="K80" s="1671">
        <f t="shared" si="11"/>
        <v>0</v>
      </c>
      <c r="L80" s="1572"/>
    </row>
    <row r="81" spans="1:12" x14ac:dyDescent="0.2">
      <c r="A81" s="1273" t="s">
        <v>691</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692</v>
      </c>
      <c r="B83" s="512">
        <v>4190</v>
      </c>
      <c r="C83" s="1672"/>
      <c r="D83" s="1672"/>
      <c r="E83" s="1572"/>
      <c r="F83" s="1672"/>
      <c r="G83" s="1672"/>
      <c r="H83" s="1572"/>
      <c r="I83" s="1581"/>
      <c r="J83" s="1581"/>
      <c r="K83" s="1671">
        <f t="shared" si="11"/>
        <v>0</v>
      </c>
      <c r="L83" s="1572"/>
    </row>
    <row r="84" spans="1:12" ht="13.5" thickBot="1" x14ac:dyDescent="0.25">
      <c r="A84" s="1379" t="s">
        <v>1467</v>
      </c>
      <c r="B84" s="1384">
        <v>4100</v>
      </c>
      <c r="C84" s="1672"/>
      <c r="D84" s="1672"/>
      <c r="E84" s="1673">
        <f>SUM(E78:E83)</f>
        <v>0</v>
      </c>
      <c r="F84" s="1672"/>
      <c r="G84" s="1672"/>
      <c r="H84" s="1673">
        <f>SUM(H78:H83)</f>
        <v>2297456</v>
      </c>
      <c r="I84" s="1581"/>
      <c r="J84" s="1581"/>
      <c r="K84" s="1673">
        <f>SUM(K78:K83)</f>
        <v>2297456</v>
      </c>
      <c r="L84" s="1673">
        <f>SUM(L78:L83)</f>
        <v>1450000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693</v>
      </c>
      <c r="B86" s="518">
        <v>4220</v>
      </c>
      <c r="C86" s="1672"/>
      <c r="D86" s="1672"/>
      <c r="E86" s="1683"/>
      <c r="F86" s="1672"/>
      <c r="G86" s="1672"/>
      <c r="H86" s="1573"/>
      <c r="I86" s="1581"/>
      <c r="J86" s="1581"/>
      <c r="K86" s="1680">
        <f t="shared" ref="K86:K98" si="12">H86</f>
        <v>0</v>
      </c>
      <c r="L86" s="1625"/>
    </row>
    <row r="87" spans="1:12" ht="14.25" thickTop="1" thickBot="1" x14ac:dyDescent="0.25">
      <c r="A87" s="1282" t="s">
        <v>694</v>
      </c>
      <c r="B87" s="519">
        <v>4230</v>
      </c>
      <c r="C87" s="1672"/>
      <c r="D87" s="1672"/>
      <c r="E87" s="1683"/>
      <c r="F87" s="1672"/>
      <c r="G87" s="1672"/>
      <c r="H87" s="1573"/>
      <c r="I87" s="1581"/>
      <c r="J87" s="1581"/>
      <c r="K87" s="1680">
        <f t="shared" si="12"/>
        <v>0</v>
      </c>
      <c r="L87" s="1625"/>
    </row>
    <row r="88" spans="1:12" ht="12.75" customHeight="1" thickTop="1" thickBot="1" x14ac:dyDescent="0.25">
      <c r="A88" s="1282" t="s">
        <v>759</v>
      </c>
      <c r="B88" s="519">
        <v>4240</v>
      </c>
      <c r="C88" s="1672"/>
      <c r="D88" s="1672"/>
      <c r="E88" s="1683"/>
      <c r="F88" s="1672"/>
      <c r="G88" s="1672"/>
      <c r="H88" s="1573"/>
      <c r="I88" s="1581"/>
      <c r="J88" s="1581"/>
      <c r="K88" s="1680">
        <f t="shared" si="12"/>
        <v>0</v>
      </c>
      <c r="L88" s="1625"/>
    </row>
    <row r="89" spans="1:12" ht="12.75" customHeight="1" thickTop="1" thickBot="1" x14ac:dyDescent="0.25">
      <c r="A89" s="1282" t="s">
        <v>695</v>
      </c>
      <c r="B89" s="519">
        <v>4270</v>
      </c>
      <c r="C89" s="1672"/>
      <c r="D89" s="1672"/>
      <c r="E89" s="1683"/>
      <c r="F89" s="1672"/>
      <c r="G89" s="1672"/>
      <c r="H89" s="1573"/>
      <c r="I89" s="1581"/>
      <c r="J89" s="1581"/>
      <c r="K89" s="1680">
        <f t="shared" si="12"/>
        <v>0</v>
      </c>
      <c r="L89" s="1625"/>
    </row>
    <row r="90" spans="1:12" ht="12.75" customHeight="1" thickTop="1" thickBot="1" x14ac:dyDescent="0.25">
      <c r="A90" s="1282" t="s">
        <v>680</v>
      </c>
      <c r="B90" s="519">
        <v>4280</v>
      </c>
      <c r="C90" s="1672"/>
      <c r="D90" s="1672"/>
      <c r="E90" s="1683"/>
      <c r="F90" s="1672"/>
      <c r="G90" s="1672"/>
      <c r="H90" s="1573"/>
      <c r="I90" s="1581"/>
      <c r="J90" s="1581"/>
      <c r="K90" s="1680">
        <f t="shared" si="12"/>
        <v>0</v>
      </c>
      <c r="L90" s="1625"/>
    </row>
    <row r="91" spans="1:12" ht="12.75" customHeight="1" thickTop="1" thickBot="1" x14ac:dyDescent="0.25">
      <c r="A91" s="1282" t="s">
        <v>681</v>
      </c>
      <c r="B91" s="519">
        <v>4290</v>
      </c>
      <c r="C91" s="1672"/>
      <c r="D91" s="1672"/>
      <c r="E91" s="1683"/>
      <c r="F91" s="1672"/>
      <c r="G91" s="1672"/>
      <c r="H91" s="1573"/>
      <c r="I91" s="1581"/>
      <c r="J91" s="1581"/>
      <c r="K91" s="1680">
        <f t="shared" si="12"/>
        <v>0</v>
      </c>
      <c r="L91" s="1625"/>
    </row>
    <row r="92" spans="1:12" ht="14.25" thickTop="1" thickBot="1" x14ac:dyDescent="0.25">
      <c r="A92" s="1385" t="s">
        <v>1542</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682</v>
      </c>
      <c r="B93" s="520">
        <v>4310</v>
      </c>
      <c r="C93" s="1672"/>
      <c r="D93" s="1672"/>
      <c r="E93" s="1683"/>
      <c r="F93" s="1672"/>
      <c r="G93" s="1672"/>
      <c r="H93" s="1684"/>
      <c r="I93" s="1581"/>
      <c r="J93" s="1581"/>
      <c r="K93" s="1680">
        <f t="shared" si="12"/>
        <v>0</v>
      </c>
      <c r="L93" s="1627"/>
    </row>
    <row r="94" spans="1:12" ht="12.75" customHeight="1" thickTop="1" thickBot="1" x14ac:dyDescent="0.25">
      <c r="A94" s="1282" t="s">
        <v>683</v>
      </c>
      <c r="B94" s="519">
        <v>4320</v>
      </c>
      <c r="C94" s="1672"/>
      <c r="D94" s="1672"/>
      <c r="E94" s="1683"/>
      <c r="F94" s="1672"/>
      <c r="G94" s="1672"/>
      <c r="H94" s="1573"/>
      <c r="I94" s="1581"/>
      <c r="J94" s="1581"/>
      <c r="K94" s="1680">
        <f t="shared" si="12"/>
        <v>0</v>
      </c>
      <c r="L94" s="1625">
        <v>5947</v>
      </c>
    </row>
    <row r="95" spans="1:12" ht="15" customHeight="1" thickTop="1" thickBot="1" x14ac:dyDescent="0.25">
      <c r="A95" s="1282" t="s">
        <v>1470</v>
      </c>
      <c r="B95" s="519">
        <v>4330</v>
      </c>
      <c r="C95" s="1672"/>
      <c r="D95" s="1672"/>
      <c r="E95" s="1683"/>
      <c r="F95" s="1672"/>
      <c r="G95" s="1672"/>
      <c r="H95" s="1573"/>
      <c r="I95" s="1581"/>
      <c r="J95" s="1581"/>
      <c r="K95" s="1680">
        <f t="shared" si="12"/>
        <v>0</v>
      </c>
      <c r="L95" s="1625"/>
    </row>
    <row r="96" spans="1:12" ht="14.25" thickTop="1" thickBot="1" x14ac:dyDescent="0.25">
      <c r="A96" s="1282" t="s">
        <v>684</v>
      </c>
      <c r="B96" s="519">
        <v>4340</v>
      </c>
      <c r="C96" s="1672"/>
      <c r="D96" s="1672"/>
      <c r="E96" s="1683"/>
      <c r="F96" s="1672"/>
      <c r="G96" s="1672"/>
      <c r="H96" s="1573"/>
      <c r="I96" s="1581"/>
      <c r="J96" s="1581"/>
      <c r="K96" s="1680">
        <f t="shared" si="12"/>
        <v>0</v>
      </c>
      <c r="L96" s="1625"/>
    </row>
    <row r="97" spans="1:14" ht="12.75" customHeight="1" thickTop="1" thickBot="1" x14ac:dyDescent="0.25">
      <c r="A97" s="1282" t="s">
        <v>757</v>
      </c>
      <c r="B97" s="519">
        <v>4370</v>
      </c>
      <c r="C97" s="1672"/>
      <c r="D97" s="1672"/>
      <c r="E97" s="1683"/>
      <c r="F97" s="1672"/>
      <c r="G97" s="1672"/>
      <c r="H97" s="1573"/>
      <c r="I97" s="1581"/>
      <c r="J97" s="1581"/>
      <c r="K97" s="1680">
        <f t="shared" si="12"/>
        <v>0</v>
      </c>
      <c r="L97" s="1625"/>
    </row>
    <row r="98" spans="1:14" ht="14.25" thickTop="1" thickBot="1" x14ac:dyDescent="0.25">
      <c r="A98" s="1282" t="s">
        <v>758</v>
      </c>
      <c r="B98" s="519">
        <v>4380</v>
      </c>
      <c r="C98" s="1672"/>
      <c r="D98" s="1672"/>
      <c r="E98" s="1685"/>
      <c r="F98" s="1672"/>
      <c r="G98" s="1672"/>
      <c r="H98" s="1573"/>
      <c r="I98" s="1581"/>
      <c r="J98" s="1581"/>
      <c r="K98" s="1680">
        <f t="shared" si="12"/>
        <v>0</v>
      </c>
      <c r="L98" s="1625"/>
    </row>
    <row r="99" spans="1:14" ht="14.25" thickTop="1" thickBot="1" x14ac:dyDescent="0.25">
      <c r="A99" s="1282" t="s">
        <v>363</v>
      </c>
      <c r="B99" s="519">
        <v>4390</v>
      </c>
      <c r="C99" s="1672"/>
      <c r="D99" s="1672"/>
      <c r="E99" s="1627"/>
      <c r="F99" s="1672"/>
      <c r="G99" s="1672"/>
      <c r="H99" s="1573"/>
      <c r="I99" s="1581"/>
      <c r="J99" s="1581"/>
      <c r="K99" s="1680">
        <f>SUM(E99,H99)</f>
        <v>0</v>
      </c>
      <c r="L99" s="1625"/>
    </row>
    <row r="100" spans="1:14" ht="14.25" thickTop="1" thickBot="1" x14ac:dyDescent="0.25">
      <c r="A100" s="1385" t="s">
        <v>1468</v>
      </c>
      <c r="B100" s="1386">
        <v>4300</v>
      </c>
      <c r="C100" s="1672"/>
      <c r="D100" s="1672"/>
      <c r="E100" s="1680">
        <f>SUM(E93:E99)</f>
        <v>0</v>
      </c>
      <c r="F100" s="1672"/>
      <c r="G100" s="1672"/>
      <c r="H100" s="1680">
        <f>SUM(H93:H99)</f>
        <v>0</v>
      </c>
      <c r="I100" s="1581"/>
      <c r="J100" s="1581"/>
      <c r="K100" s="1680">
        <f>SUM(K93:K99)</f>
        <v>0</v>
      </c>
      <c r="L100" s="1680">
        <f>SUM(L93:L99)</f>
        <v>5947</v>
      </c>
    </row>
    <row r="101" spans="1:14" ht="12.75" customHeight="1" thickTop="1" thickBot="1" x14ac:dyDescent="0.25">
      <c r="A101" s="1279" t="s">
        <v>1471</v>
      </c>
      <c r="B101" s="521" t="s">
        <v>924</v>
      </c>
      <c r="C101" s="1672"/>
      <c r="D101" s="1672"/>
      <c r="E101" s="1626"/>
      <c r="F101" s="1672"/>
      <c r="G101" s="1672"/>
      <c r="H101" s="1626"/>
      <c r="I101" s="1581"/>
      <c r="J101" s="1581"/>
      <c r="K101" s="1686">
        <f>SUM(C101:J101)</f>
        <v>0</v>
      </c>
      <c r="L101" s="1625"/>
    </row>
    <row r="102" spans="1:14" ht="12.75" customHeight="1" thickTop="1" thickBot="1" x14ac:dyDescent="0.25">
      <c r="A102" s="1379" t="s">
        <v>1469</v>
      </c>
      <c r="B102" s="1384">
        <v>4000</v>
      </c>
      <c r="C102" s="1672"/>
      <c r="D102" s="1672"/>
      <c r="E102" s="1680">
        <f>SUM(E84,E92,E100,E101)</f>
        <v>0</v>
      </c>
      <c r="F102" s="1672"/>
      <c r="G102" s="1672"/>
      <c r="H102" s="1680">
        <f>SUM(H84,H92,H100,H101)</f>
        <v>2297456</v>
      </c>
      <c r="I102" s="1581"/>
      <c r="J102" s="1581"/>
      <c r="K102" s="1680">
        <f>SUM(K84,K92,K100,K101)</f>
        <v>2297456</v>
      </c>
      <c r="L102" s="1680">
        <f>SUM(L84,L92,L100,L101)</f>
        <v>1455947</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1159</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584</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1092</v>
      </c>
      <c r="B110" s="1382"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364</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632</v>
      </c>
      <c r="B112" s="1380"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19464200</v>
      </c>
      <c r="D114" s="1673">
        <f t="shared" ref="D114:K114" si="13">SUM(D33,D74,D75,D102,D112,D113)</f>
        <v>3767898</v>
      </c>
      <c r="E114" s="1673">
        <f t="shared" si="13"/>
        <v>5029257</v>
      </c>
      <c r="F114" s="1673">
        <f t="shared" si="13"/>
        <v>769932</v>
      </c>
      <c r="G114" s="1673">
        <f t="shared" si="13"/>
        <v>140492</v>
      </c>
      <c r="H114" s="1673">
        <f>SUM(H33,H74,H75,H102,H112,H113)</f>
        <v>2581013</v>
      </c>
      <c r="I114" s="1673">
        <f t="shared" si="13"/>
        <v>401937</v>
      </c>
      <c r="J114" s="1673">
        <f t="shared" si="13"/>
        <v>0</v>
      </c>
      <c r="K114" s="1673">
        <f t="shared" si="13"/>
        <v>32154729</v>
      </c>
      <c r="L114" s="1673">
        <f>SUM(L33,L74,L75,L102,L112,L113)</f>
        <v>33431472</v>
      </c>
    </row>
    <row r="115" spans="1:14" ht="13.5" thickTop="1" x14ac:dyDescent="0.2">
      <c r="A115" s="2270" t="s">
        <v>988</v>
      </c>
      <c r="B115" s="2271"/>
      <c r="C115" s="1674"/>
      <c r="D115" s="1674"/>
      <c r="E115" s="1674"/>
      <c r="F115" s="1674"/>
      <c r="G115" s="1674"/>
      <c r="H115" s="1674"/>
      <c r="I115" s="1674"/>
      <c r="J115" s="1674"/>
      <c r="K115" s="1688">
        <f>'Revenues 9-14'!C268-'Expenditures 15-22'!K114</f>
        <v>1467065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5" t="s">
        <v>292</v>
      </c>
      <c r="B117" s="2276"/>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1961</v>
      </c>
      <c r="B120" s="512" t="s">
        <v>710</v>
      </c>
      <c r="C120" s="1572"/>
      <c r="D120" s="1572"/>
      <c r="E120" s="1572"/>
      <c r="F120" s="1572"/>
      <c r="G120" s="1572"/>
      <c r="H120" s="1572"/>
      <c r="I120" s="1573"/>
      <c r="J120" s="1573"/>
      <c r="K120" s="1671">
        <f>SUM(C120:J120)</f>
        <v>0</v>
      </c>
      <c r="L120" s="1572"/>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1058</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8791</v>
      </c>
      <c r="F123" s="1572"/>
      <c r="G123" s="1572"/>
      <c r="H123" s="1572"/>
      <c r="I123" s="1573"/>
      <c r="J123" s="1573"/>
      <c r="K123" s="1673">
        <f>SUM(C123:J123)</f>
        <v>8791</v>
      </c>
      <c r="L123" s="1572"/>
    </row>
    <row r="124" spans="1:14" ht="14.25" thickTop="1" thickBot="1" x14ac:dyDescent="0.25">
      <c r="A124" s="1273" t="s">
        <v>195</v>
      </c>
      <c r="B124" s="503">
        <v>2540</v>
      </c>
      <c r="C124" s="1572">
        <v>899531</v>
      </c>
      <c r="D124" s="1572">
        <v>120087</v>
      </c>
      <c r="E124" s="1572">
        <v>1492949</v>
      </c>
      <c r="F124" s="1572">
        <v>646625</v>
      </c>
      <c r="G124" s="1572">
        <v>729171</v>
      </c>
      <c r="H124" s="1572"/>
      <c r="I124" s="1573"/>
      <c r="J124" s="1573"/>
      <c r="K124" s="1673">
        <f>SUM(C124:J124)</f>
        <v>3888363</v>
      </c>
      <c r="L124" s="1572">
        <v>3260493</v>
      </c>
    </row>
    <row r="125" spans="1:14" ht="14.25" thickTop="1" thickBot="1" x14ac:dyDescent="0.25">
      <c r="A125" s="1273" t="s">
        <v>946</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713</v>
      </c>
      <c r="B127" s="1380" t="s">
        <v>35</v>
      </c>
      <c r="C127" s="1673">
        <f>SUM(C122:C126)</f>
        <v>899531</v>
      </c>
      <c r="D127" s="1673">
        <f t="shared" ref="D127:L127" si="14">SUM(D122:D126)</f>
        <v>120087</v>
      </c>
      <c r="E127" s="1673">
        <f t="shared" si="14"/>
        <v>1501740</v>
      </c>
      <c r="F127" s="1673">
        <f t="shared" si="14"/>
        <v>646625</v>
      </c>
      <c r="G127" s="1673">
        <f t="shared" si="14"/>
        <v>729171</v>
      </c>
      <c r="H127" s="1673">
        <f t="shared" si="14"/>
        <v>0</v>
      </c>
      <c r="I127" s="1673">
        <f t="shared" si="14"/>
        <v>0</v>
      </c>
      <c r="J127" s="1673">
        <f t="shared" si="14"/>
        <v>0</v>
      </c>
      <c r="K127" s="1673">
        <f t="shared" si="14"/>
        <v>3897154</v>
      </c>
      <c r="L127" s="1673">
        <f t="shared" si="14"/>
        <v>3260493</v>
      </c>
    </row>
    <row r="128" spans="1:14" ht="12.75" customHeight="1" thickTop="1" x14ac:dyDescent="0.2">
      <c r="A128" s="1280" t="s">
        <v>972</v>
      </c>
      <c r="B128" s="531" t="s">
        <v>569</v>
      </c>
      <c r="C128" s="1694"/>
      <c r="D128" s="1694"/>
      <c r="E128" s="1694"/>
      <c r="F128" s="1694"/>
      <c r="G128" s="1694"/>
      <c r="H128" s="1694"/>
      <c r="I128" s="1629"/>
      <c r="J128" s="1629"/>
      <c r="K128" s="1695">
        <f>SUM(C128:J128)</f>
        <v>0</v>
      </c>
      <c r="L128" s="1694"/>
    </row>
    <row r="129" spans="1:14" ht="12.75" customHeight="1" thickBot="1" x14ac:dyDescent="0.25">
      <c r="A129" s="1388" t="s">
        <v>805</v>
      </c>
      <c r="B129" s="1389" t="s">
        <v>564</v>
      </c>
      <c r="C129" s="1680">
        <f>SUM(C120,C127,C128)</f>
        <v>899531</v>
      </c>
      <c r="D129" s="1680">
        <f t="shared" ref="D129:L129" si="15">SUM(D120,D127,D128)</f>
        <v>120087</v>
      </c>
      <c r="E129" s="1680">
        <f t="shared" si="15"/>
        <v>1501740</v>
      </c>
      <c r="F129" s="1680">
        <f t="shared" si="15"/>
        <v>646625</v>
      </c>
      <c r="G129" s="1680">
        <f t="shared" si="15"/>
        <v>729171</v>
      </c>
      <c r="H129" s="1680">
        <f t="shared" si="15"/>
        <v>0</v>
      </c>
      <c r="I129" s="1680">
        <f t="shared" si="15"/>
        <v>0</v>
      </c>
      <c r="J129" s="1680">
        <f t="shared" si="15"/>
        <v>0</v>
      </c>
      <c r="K129" s="1680">
        <f t="shared" si="15"/>
        <v>3897154</v>
      </c>
      <c r="L129" s="1680">
        <f t="shared" si="15"/>
        <v>3260493</v>
      </c>
    </row>
    <row r="130" spans="1:14" ht="15.75" customHeight="1" thickTop="1" thickBot="1" x14ac:dyDescent="0.25">
      <c r="A130" s="1347" t="s">
        <v>1028</v>
      </c>
      <c r="B130" s="1348" t="s">
        <v>570</v>
      </c>
      <c r="C130" s="1650"/>
      <c r="D130" s="1650"/>
      <c r="E130" s="1650"/>
      <c r="F130" s="1650"/>
      <c r="G130" s="1650"/>
      <c r="H130" s="1650"/>
      <c r="I130" s="1626"/>
      <c r="J130" s="1626"/>
      <c r="K130" s="1673">
        <f>SUM(C130:J130)</f>
        <v>0</v>
      </c>
      <c r="L130" s="1650"/>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1814</v>
      </c>
      <c r="C133" s="1574"/>
      <c r="D133" s="1574"/>
      <c r="E133" s="1684"/>
      <c r="F133" s="1574"/>
      <c r="G133" s="1574"/>
      <c r="H133" s="1684"/>
      <c r="I133" s="1574"/>
      <c r="J133" s="1574"/>
      <c r="K133" s="1696">
        <f>SUM(E133,H133)</f>
        <v>0</v>
      </c>
      <c r="L133" s="1684"/>
      <c r="M133" s="201"/>
      <c r="N133" s="201"/>
    </row>
    <row r="134" spans="1:14" x14ac:dyDescent="0.2">
      <c r="A134" s="1273" t="s">
        <v>300</v>
      </c>
      <c r="B134" s="503">
        <v>4120</v>
      </c>
      <c r="C134" s="1672"/>
      <c r="D134" s="1672"/>
      <c r="E134" s="1582"/>
      <c r="F134" s="1672"/>
      <c r="G134" s="1672"/>
      <c r="H134" s="1585"/>
      <c r="I134" s="1581"/>
      <c r="J134" s="1672"/>
      <c r="K134" s="1677">
        <f>SUM(E134,H134)</f>
        <v>0</v>
      </c>
      <c r="L134" s="1585"/>
    </row>
    <row r="135" spans="1:14" x14ac:dyDescent="0.2">
      <c r="A135" s="1273" t="s">
        <v>691</v>
      </c>
      <c r="B135" s="503">
        <v>4140</v>
      </c>
      <c r="C135" s="1672"/>
      <c r="D135" s="1672"/>
      <c r="E135" s="1573"/>
      <c r="F135" s="1672"/>
      <c r="G135" s="1672"/>
      <c r="H135" s="1572"/>
      <c r="I135" s="1581"/>
      <c r="J135" s="1672"/>
      <c r="K135" s="1677">
        <f>SUM(E135,H135)</f>
        <v>0</v>
      </c>
      <c r="L135" s="1572"/>
    </row>
    <row r="136" spans="1:14" x14ac:dyDescent="0.2">
      <c r="A136" s="1277" t="s">
        <v>692</v>
      </c>
      <c r="B136" s="512">
        <v>4190</v>
      </c>
      <c r="C136" s="1672"/>
      <c r="D136" s="1672"/>
      <c r="E136" s="1573"/>
      <c r="F136" s="1672"/>
      <c r="G136" s="1672"/>
      <c r="H136" s="1572"/>
      <c r="I136" s="1581"/>
      <c r="J136" s="1672"/>
      <c r="K136" s="1677">
        <f>SUM(E136,H136)</f>
        <v>0</v>
      </c>
      <c r="L136" s="1572"/>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c r="F138" s="1672"/>
      <c r="G138" s="1672"/>
      <c r="H138" s="1650"/>
      <c r="I138" s="1581"/>
      <c r="J138" s="1672"/>
      <c r="K138" s="1677">
        <f>SUM(E138,H138)</f>
        <v>0</v>
      </c>
      <c r="L138" s="1650"/>
    </row>
    <row r="139" spans="1:14" ht="12.75" customHeight="1" thickTop="1" thickBot="1" x14ac:dyDescent="0.25">
      <c r="A139" s="1379" t="s">
        <v>1469</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1159</v>
      </c>
      <c r="B144" s="512" t="s">
        <v>612</v>
      </c>
      <c r="C144" s="1672"/>
      <c r="D144" s="1672"/>
      <c r="E144" s="1672"/>
      <c r="F144" s="1672"/>
      <c r="G144" s="1672"/>
      <c r="H144" s="1572"/>
      <c r="I144" s="1574"/>
      <c r="J144" s="1672"/>
      <c r="K144" s="1677">
        <f>SUM(H144)</f>
        <v>0</v>
      </c>
      <c r="L144" s="1572"/>
    </row>
    <row r="145" spans="1:14" x14ac:dyDescent="0.2">
      <c r="A145" s="1273" t="s">
        <v>89</v>
      </c>
      <c r="B145" s="503" t="s">
        <v>584</v>
      </c>
      <c r="C145" s="1672"/>
      <c r="D145" s="1672"/>
      <c r="E145" s="1672"/>
      <c r="F145" s="1672"/>
      <c r="G145" s="1672"/>
      <c r="H145" s="1572"/>
      <c r="I145" s="1574"/>
      <c r="J145" s="1672"/>
      <c r="K145" s="1677">
        <f>SUM(H145)</f>
        <v>0</v>
      </c>
      <c r="L145" s="1572"/>
    </row>
    <row r="146" spans="1:14" ht="12.75" customHeight="1" x14ac:dyDescent="0.2">
      <c r="A146" s="1273" t="s">
        <v>614</v>
      </c>
      <c r="B146" s="503" t="s">
        <v>613</v>
      </c>
      <c r="C146" s="1672"/>
      <c r="D146" s="1672"/>
      <c r="E146" s="1672"/>
      <c r="F146" s="1672"/>
      <c r="G146" s="1672"/>
      <c r="H146" s="1572"/>
      <c r="I146" s="1574"/>
      <c r="J146" s="1672"/>
      <c r="K146" s="1677">
        <f>SUM(H146)</f>
        <v>0</v>
      </c>
      <c r="L146" s="1572"/>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1093</v>
      </c>
      <c r="B148" s="536" t="s">
        <v>38</v>
      </c>
      <c r="C148" s="1672"/>
      <c r="D148" s="1672"/>
      <c r="E148" s="1672"/>
      <c r="F148" s="1672"/>
      <c r="G148" s="1672"/>
      <c r="H148" s="1583"/>
      <c r="I148" s="1574"/>
      <c r="J148" s="1672"/>
      <c r="K148" s="1677">
        <f>SUM(H148)</f>
        <v>0</v>
      </c>
      <c r="L148" s="1598"/>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row>
    <row r="151" spans="1:14" ht="12.75" customHeight="1" thickTop="1" thickBot="1" x14ac:dyDescent="0.25">
      <c r="A151" s="2287" t="s">
        <v>615</v>
      </c>
      <c r="B151" s="2267"/>
      <c r="C151" s="1673">
        <f>SUM(C129,C130,C139,C149,C150)</f>
        <v>899531</v>
      </c>
      <c r="D151" s="1673">
        <f t="shared" ref="D151:K151" si="16">SUM(D129,D130,D139,D149,D150)</f>
        <v>120087</v>
      </c>
      <c r="E151" s="1673">
        <f t="shared" si="16"/>
        <v>1501740</v>
      </c>
      <c r="F151" s="1673">
        <f t="shared" si="16"/>
        <v>646625</v>
      </c>
      <c r="G151" s="1673">
        <f t="shared" si="16"/>
        <v>729171</v>
      </c>
      <c r="H151" s="1673">
        <f t="shared" si="16"/>
        <v>0</v>
      </c>
      <c r="I151" s="1673">
        <f t="shared" si="16"/>
        <v>0</v>
      </c>
      <c r="J151" s="1673">
        <f t="shared" si="16"/>
        <v>0</v>
      </c>
      <c r="K151" s="1673">
        <f t="shared" si="16"/>
        <v>3897154</v>
      </c>
      <c r="L151" s="1673">
        <f>SUM(L129,L130,L139,L149,L150)</f>
        <v>3260493</v>
      </c>
    </row>
    <row r="152" spans="1:14" ht="12.75" customHeight="1" thickTop="1" x14ac:dyDescent="0.2">
      <c r="A152" s="2290" t="s">
        <v>1167</v>
      </c>
      <c r="B152" s="2291"/>
      <c r="C152" s="1674"/>
      <c r="D152" s="1674"/>
      <c r="E152" s="1674"/>
      <c r="F152" s="1674"/>
      <c r="G152" s="1674"/>
      <c r="H152" s="1674"/>
      <c r="I152" s="1674"/>
      <c r="J152" s="1672"/>
      <c r="K152" s="1688">
        <f>'Revenues 9-14'!D268-'Expenditures 15-22'!K151</f>
        <v>-3189663</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5" t="s">
        <v>616</v>
      </c>
      <c r="B154" s="227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1814</v>
      </c>
      <c r="C157" s="1672"/>
      <c r="D157" s="1672"/>
      <c r="E157" s="1672"/>
      <c r="F157" s="1672"/>
      <c r="G157" s="1672"/>
      <c r="H157" s="1684"/>
      <c r="I157" s="1672"/>
      <c r="J157" s="1672"/>
      <c r="K157" s="1671">
        <f>H157</f>
        <v>0</v>
      </c>
      <c r="L157" s="1573"/>
      <c r="M157" s="505"/>
      <c r="N157" s="505"/>
    </row>
    <row r="158" spans="1:14" s="506" customFormat="1" ht="12" x14ac:dyDescent="0.2">
      <c r="A158" s="1461" t="s">
        <v>300</v>
      </c>
      <c r="B158" s="1462" t="s">
        <v>1816</v>
      </c>
      <c r="C158" s="1672"/>
      <c r="D158" s="1672"/>
      <c r="E158" s="1672"/>
      <c r="F158" s="1672"/>
      <c r="G158" s="1672"/>
      <c r="H158" s="1573"/>
      <c r="I158" s="1672"/>
      <c r="J158" s="1672"/>
      <c r="K158" s="1671">
        <f>H158</f>
        <v>0</v>
      </c>
      <c r="L158" s="1573"/>
      <c r="M158" s="505"/>
      <c r="N158" s="505"/>
    </row>
    <row r="159" spans="1:14" s="506" customFormat="1" ht="12" x14ac:dyDescent="0.2">
      <c r="A159" s="1461" t="s">
        <v>1817</v>
      </c>
      <c r="B159" s="1462" t="s">
        <v>553</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1818</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1159</v>
      </c>
      <c r="B165" s="503" t="s">
        <v>612</v>
      </c>
      <c r="C165" s="1672"/>
      <c r="D165" s="1672"/>
      <c r="E165" s="1672"/>
      <c r="F165" s="1672"/>
      <c r="G165" s="1672"/>
      <c r="H165" s="1572"/>
      <c r="I165" s="1672"/>
      <c r="J165" s="1672"/>
      <c r="K165" s="1671">
        <f>SUM(C165:J165)</f>
        <v>0</v>
      </c>
      <c r="L165" s="1572"/>
    </row>
    <row r="166" spans="1:14" x14ac:dyDescent="0.2">
      <c r="A166" s="1273" t="s">
        <v>89</v>
      </c>
      <c r="B166" s="512" t="s">
        <v>584</v>
      </c>
      <c r="C166" s="1672"/>
      <c r="D166" s="1672"/>
      <c r="E166" s="1672"/>
      <c r="F166" s="1672"/>
      <c r="G166" s="1672"/>
      <c r="H166" s="1572"/>
      <c r="I166" s="1672"/>
      <c r="J166" s="1672"/>
      <c r="K166" s="1671">
        <f>SUM(C166:J166)</f>
        <v>0</v>
      </c>
      <c r="L166" s="1572"/>
    </row>
    <row r="167" spans="1:14" ht="12.75" customHeight="1" x14ac:dyDescent="0.2">
      <c r="A167" s="1273" t="s">
        <v>614</v>
      </c>
      <c r="B167" s="503" t="s">
        <v>613</v>
      </c>
      <c r="C167" s="1672"/>
      <c r="D167" s="1672"/>
      <c r="E167" s="1672"/>
      <c r="F167" s="1672"/>
      <c r="G167" s="1672"/>
      <c r="H167" s="1572"/>
      <c r="I167" s="1672"/>
      <c r="J167" s="1672"/>
      <c r="K167" s="1671">
        <f>SUM(C167:J167)</f>
        <v>0</v>
      </c>
      <c r="L167" s="1572"/>
    </row>
    <row r="168" spans="1:14" ht="13.5" thickBot="1" x14ac:dyDescent="0.25">
      <c r="A168" s="1379" t="s">
        <v>273</v>
      </c>
      <c r="B168" s="1382"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1037143</v>
      </c>
      <c r="I169" s="1672"/>
      <c r="J169" s="1672"/>
      <c r="K169" s="1671">
        <f>SUM(C169:H169)</f>
        <v>1037143</v>
      </c>
      <c r="L169" s="1694">
        <v>504583</v>
      </c>
    </row>
    <row r="170" spans="1:14" ht="33.75" customHeight="1" x14ac:dyDescent="0.2">
      <c r="A170" s="543" t="s">
        <v>1650</v>
      </c>
      <c r="B170" s="545" t="s">
        <v>31</v>
      </c>
      <c r="C170" s="1672"/>
      <c r="D170" s="1672"/>
      <c r="E170" s="1672"/>
      <c r="F170" s="1672"/>
      <c r="G170" s="1672"/>
      <c r="H170" s="1645">
        <v>3225000</v>
      </c>
      <c r="I170" s="1672"/>
      <c r="J170" s="1672"/>
      <c r="K170" s="1671">
        <f>SUM(C170:J170)</f>
        <v>3225000</v>
      </c>
      <c r="L170" s="1645">
        <v>3571901</v>
      </c>
    </row>
    <row r="171" spans="1:14" ht="15.75" customHeight="1" x14ac:dyDescent="0.2">
      <c r="A171" s="507" t="s">
        <v>760</v>
      </c>
      <c r="B171" s="546" t="s">
        <v>84</v>
      </c>
      <c r="C171" s="1672"/>
      <c r="D171" s="1672"/>
      <c r="E171" s="1572"/>
      <c r="F171" s="1672"/>
      <c r="G171" s="1672"/>
      <c r="H171" s="1645">
        <v>238730</v>
      </c>
      <c r="I171" s="1581"/>
      <c r="J171" s="1672"/>
      <c r="K171" s="1671">
        <f>SUM(C171:J171)</f>
        <v>238730</v>
      </c>
      <c r="L171" s="1645">
        <v>5661</v>
      </c>
    </row>
    <row r="172" spans="1:14" ht="12.75" customHeight="1" thickBot="1" x14ac:dyDescent="0.25">
      <c r="A172" s="1379" t="s">
        <v>632</v>
      </c>
      <c r="B172" s="1380" t="s">
        <v>488</v>
      </c>
      <c r="C172" s="1672"/>
      <c r="D172" s="1672"/>
      <c r="E172" s="1680">
        <f>SUM(E168,E169,E170,E171)</f>
        <v>0</v>
      </c>
      <c r="F172" s="1672"/>
      <c r="G172" s="1672"/>
      <c r="H172" s="1680">
        <f>SUM(H168,H169,H170,H171)</f>
        <v>4500873</v>
      </c>
      <c r="I172" s="1683"/>
      <c r="J172" s="1672"/>
      <c r="K172" s="1680">
        <f>SUM(K168,K169,K170,K171)</f>
        <v>4500873</v>
      </c>
      <c r="L172" s="1680">
        <f>SUM(L168,L169,L170,L171)</f>
        <v>4082145</v>
      </c>
    </row>
    <row r="173" spans="1:14" ht="15.75" customHeight="1" thickTop="1" thickBot="1" x14ac:dyDescent="0.25">
      <c r="A173" s="1356" t="s">
        <v>85</v>
      </c>
      <c r="B173" s="1348" t="s">
        <v>855</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4500873</v>
      </c>
      <c r="I174" s="1683"/>
      <c r="J174" s="1672"/>
      <c r="K174" s="1680">
        <f>SUM(K160,K172,K173)</f>
        <v>4500873</v>
      </c>
      <c r="L174" s="1680">
        <f>SUM(L160,L172,L173)</f>
        <v>4082145</v>
      </c>
    </row>
    <row r="175" spans="1:14" ht="13.5" thickTop="1" x14ac:dyDescent="0.2">
      <c r="A175" s="2270" t="s">
        <v>988</v>
      </c>
      <c r="B175" s="2271"/>
      <c r="C175" s="1672"/>
      <c r="D175" s="1672"/>
      <c r="E175" s="1672"/>
      <c r="F175" s="1672"/>
      <c r="G175" s="1672"/>
      <c r="H175" s="1674"/>
      <c r="I175" s="1672"/>
      <c r="J175" s="1672"/>
      <c r="K175" s="1688">
        <f>'Revenues 9-14'!E268-'Expenditures 15-22'!K174</f>
        <v>-854772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710</v>
      </c>
      <c r="C180" s="1572"/>
      <c r="D180" s="1572"/>
      <c r="E180" s="1572"/>
      <c r="F180" s="1572"/>
      <c r="G180" s="1572"/>
      <c r="H180" s="1572"/>
      <c r="I180" s="1573"/>
      <c r="J180" s="1573"/>
      <c r="K180" s="1671">
        <f>SUM(C180:J180)</f>
        <v>0</v>
      </c>
      <c r="L180" s="1572"/>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c r="D182" s="1572"/>
      <c r="E182" s="1572">
        <v>809760</v>
      </c>
      <c r="F182" s="1572">
        <v>4296</v>
      </c>
      <c r="G182" s="1572"/>
      <c r="H182" s="1572"/>
      <c r="I182" s="1573"/>
      <c r="J182" s="1573"/>
      <c r="K182" s="1671">
        <f>SUM(C182:J182)</f>
        <v>814056</v>
      </c>
      <c r="L182" s="1572">
        <v>1334173</v>
      </c>
    </row>
    <row r="183" spans="1:14" ht="12.75" customHeight="1" thickBot="1" x14ac:dyDescent="0.25">
      <c r="A183" s="1278" t="s">
        <v>972</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805</v>
      </c>
      <c r="B184" s="1380" t="s">
        <v>564</v>
      </c>
      <c r="C184" s="1680">
        <f>SUM(C180,C182,C183)</f>
        <v>0</v>
      </c>
      <c r="D184" s="1680">
        <f t="shared" ref="D184:J184" si="17">SUM(D180,D182,D183)</f>
        <v>0</v>
      </c>
      <c r="E184" s="1680">
        <f t="shared" si="17"/>
        <v>809760</v>
      </c>
      <c r="F184" s="1680">
        <f t="shared" si="17"/>
        <v>4296</v>
      </c>
      <c r="G184" s="1680">
        <f t="shared" si="17"/>
        <v>0</v>
      </c>
      <c r="H184" s="1680">
        <f t="shared" si="17"/>
        <v>0</v>
      </c>
      <c r="I184" s="1680">
        <f t="shared" si="17"/>
        <v>0</v>
      </c>
      <c r="J184" s="1680">
        <f t="shared" si="17"/>
        <v>0</v>
      </c>
      <c r="K184" s="1680">
        <f>SUM(K180,K182,K183)</f>
        <v>814056</v>
      </c>
      <c r="L184" s="1680">
        <f>SUM(L180, L182:L183)</f>
        <v>1334173</v>
      </c>
    </row>
    <row r="185" spans="1:14" ht="15.75" customHeight="1" thickTop="1" thickBot="1" x14ac:dyDescent="0.25">
      <c r="A185" s="1359" t="s">
        <v>932</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1120</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c r="F188" s="1672"/>
      <c r="G188" s="1672"/>
      <c r="H188" s="1572"/>
      <c r="I188" s="1581"/>
      <c r="J188" s="1672"/>
      <c r="K188" s="1671">
        <f t="shared" ref="K188:K193" si="18">SUM(E188,H188)</f>
        <v>0</v>
      </c>
      <c r="L188" s="1572"/>
    </row>
    <row r="189" spans="1:14" x14ac:dyDescent="0.2">
      <c r="A189" s="1273" t="s">
        <v>300</v>
      </c>
      <c r="B189" s="503">
        <v>4120</v>
      </c>
      <c r="C189" s="1672"/>
      <c r="D189" s="1672"/>
      <c r="E189" s="1572"/>
      <c r="F189" s="1672"/>
      <c r="G189" s="1672"/>
      <c r="H189" s="1572"/>
      <c r="I189" s="1581"/>
      <c r="J189" s="1672"/>
      <c r="K189" s="1671">
        <f t="shared" si="18"/>
        <v>0</v>
      </c>
      <c r="L189" s="1572"/>
    </row>
    <row r="190" spans="1:14" x14ac:dyDescent="0.2">
      <c r="A190" s="1273" t="s">
        <v>301</v>
      </c>
      <c r="B190" s="512">
        <v>4130</v>
      </c>
      <c r="C190" s="1672"/>
      <c r="D190" s="1672"/>
      <c r="E190" s="1572"/>
      <c r="F190" s="1672"/>
      <c r="G190" s="1672"/>
      <c r="H190" s="1572"/>
      <c r="I190" s="1581"/>
      <c r="J190" s="1672"/>
      <c r="K190" s="1671">
        <f t="shared" si="18"/>
        <v>0</v>
      </c>
      <c r="L190" s="1572"/>
    </row>
    <row r="191" spans="1:14" x14ac:dyDescent="0.2">
      <c r="A191" s="1273" t="s">
        <v>691</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692</v>
      </c>
      <c r="B193" s="512">
        <v>4190</v>
      </c>
      <c r="C193" s="1672"/>
      <c r="D193" s="1672"/>
      <c r="E193" s="1572"/>
      <c r="F193" s="1672"/>
      <c r="G193" s="1672"/>
      <c r="H193" s="1572"/>
      <c r="I193" s="1581"/>
      <c r="J193" s="1672"/>
      <c r="K193" s="1671">
        <f t="shared" si="18"/>
        <v>0</v>
      </c>
      <c r="L193" s="1572"/>
    </row>
    <row r="194" spans="1:14" ht="12.75" customHeight="1" thickBot="1" x14ac:dyDescent="0.25">
      <c r="A194" s="1379" t="s">
        <v>1129</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c r="F195" s="1672"/>
      <c r="G195" s="1672"/>
      <c r="H195" s="1694"/>
      <c r="I195" s="1581"/>
      <c r="J195" s="1672"/>
      <c r="K195" s="1695">
        <f>SUM(E195,H195)</f>
        <v>0</v>
      </c>
      <c r="L195" s="1694"/>
    </row>
    <row r="196" spans="1:14" ht="12.75" customHeight="1" thickBot="1" x14ac:dyDescent="0.25">
      <c r="A196" s="1379" t="s">
        <v>1469</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1159</v>
      </c>
      <c r="B201" s="512" t="s">
        <v>612</v>
      </c>
      <c r="C201" s="1672"/>
      <c r="D201" s="1672"/>
      <c r="E201" s="1672"/>
      <c r="F201" s="1672"/>
      <c r="G201" s="1672"/>
      <c r="H201" s="1572"/>
      <c r="I201" s="1672"/>
      <c r="J201" s="1672"/>
      <c r="K201" s="1671">
        <f>SUM(H201)</f>
        <v>0</v>
      </c>
      <c r="L201" s="1572"/>
    </row>
    <row r="202" spans="1:14" x14ac:dyDescent="0.2">
      <c r="A202" s="1273" t="s">
        <v>89</v>
      </c>
      <c r="B202" s="503" t="s">
        <v>584</v>
      </c>
      <c r="C202" s="1672"/>
      <c r="D202" s="1672"/>
      <c r="E202" s="1672"/>
      <c r="F202" s="1672"/>
      <c r="G202" s="1672"/>
      <c r="H202" s="1572"/>
      <c r="I202" s="1672"/>
      <c r="J202" s="1672"/>
      <c r="K202" s="1671">
        <f>SUM(H202)</f>
        <v>0</v>
      </c>
      <c r="L202" s="1572"/>
    </row>
    <row r="203" spans="1:14" x14ac:dyDescent="0.2">
      <c r="A203" s="1285" t="s">
        <v>614</v>
      </c>
      <c r="B203" s="503" t="s">
        <v>613</v>
      </c>
      <c r="C203" s="1672"/>
      <c r="D203" s="1672"/>
      <c r="E203" s="1672"/>
      <c r="F203" s="1672"/>
      <c r="G203" s="1672"/>
      <c r="H203" s="1576"/>
      <c r="I203" s="1672"/>
      <c r="J203" s="1672"/>
      <c r="K203" s="1671">
        <f>SUM(H203)</f>
        <v>0</v>
      </c>
      <c r="L203" s="1576"/>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1651</v>
      </c>
      <c r="B206" s="546" t="s">
        <v>31</v>
      </c>
      <c r="C206" s="1672"/>
      <c r="D206" s="1672"/>
      <c r="E206" s="1672"/>
      <c r="F206" s="1672"/>
      <c r="G206" s="1672"/>
      <c r="H206" s="1572"/>
      <c r="I206" s="1672"/>
      <c r="J206" s="1672"/>
      <c r="K206" s="1671">
        <f>SUM(H206)</f>
        <v>0</v>
      </c>
      <c r="L206" s="1572"/>
    </row>
    <row r="207" spans="1:14" ht="15.75" customHeight="1" x14ac:dyDescent="0.2">
      <c r="A207" s="507" t="s">
        <v>760</v>
      </c>
      <c r="B207" s="546" t="s">
        <v>84</v>
      </c>
      <c r="C207" s="1672"/>
      <c r="D207" s="1672"/>
      <c r="E207" s="1672"/>
      <c r="F207" s="1672"/>
      <c r="G207" s="1672"/>
      <c r="H207" s="1573"/>
      <c r="I207" s="1672"/>
      <c r="J207" s="1672"/>
      <c r="K207" s="1671">
        <f>H207</f>
        <v>0</v>
      </c>
      <c r="L207" s="1572"/>
    </row>
    <row r="208" spans="1:14" ht="12.75" customHeight="1" thickBot="1" x14ac:dyDescent="0.25">
      <c r="A208" s="1388" t="s">
        <v>632</v>
      </c>
      <c r="B208" s="1389"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866</v>
      </c>
      <c r="B209" s="1350" t="s">
        <v>855</v>
      </c>
      <c r="C209" s="1675"/>
      <c r="D209" s="1675"/>
      <c r="E209" s="1675"/>
      <c r="F209" s="1675"/>
      <c r="G209" s="1675"/>
      <c r="H209" s="1675"/>
      <c r="I209" s="1672"/>
      <c r="J209" s="1672"/>
      <c r="K209" s="1675"/>
      <c r="L209" s="1650"/>
    </row>
    <row r="210" spans="1:14" ht="12.75" customHeight="1" thickTop="1" thickBot="1" x14ac:dyDescent="0.25">
      <c r="A210" s="1393" t="s">
        <v>274</v>
      </c>
      <c r="B210" s="1394"/>
      <c r="C210" s="1673">
        <f>SUM(C184,C185)</f>
        <v>0</v>
      </c>
      <c r="D210" s="1673">
        <f>SUM(D184,D185)</f>
        <v>0</v>
      </c>
      <c r="E210" s="1673">
        <f>SUM(E184,E185,E196)</f>
        <v>809760</v>
      </c>
      <c r="F210" s="1673">
        <f>SUM(F184,F185)</f>
        <v>4296</v>
      </c>
      <c r="G210" s="1673">
        <f>SUM(G184,G185)</f>
        <v>0</v>
      </c>
      <c r="H210" s="1673">
        <f>SUM(H184,H185,H196,H208,H209)</f>
        <v>0</v>
      </c>
      <c r="I210" s="1673">
        <f>SUM(I184,I185)</f>
        <v>0</v>
      </c>
      <c r="J210" s="1673">
        <f>SUM(J184,J185)</f>
        <v>0</v>
      </c>
      <c r="K210" s="1671">
        <f>SUM(K184,K185,K196,K208,K209)</f>
        <v>814056</v>
      </c>
      <c r="L210" s="1673">
        <f>SUM(L184,L185,L196,L208,L209)</f>
        <v>1334173</v>
      </c>
    </row>
    <row r="211" spans="1:14" ht="13.5" thickTop="1" x14ac:dyDescent="0.2">
      <c r="A211" s="2270" t="s">
        <v>988</v>
      </c>
      <c r="B211" s="2271"/>
      <c r="C211" s="1674"/>
      <c r="D211" s="1674"/>
      <c r="E211" s="1674"/>
      <c r="F211" s="1674"/>
      <c r="G211" s="1674"/>
      <c r="H211" s="1674"/>
      <c r="I211" s="1672"/>
      <c r="J211" s="1672"/>
      <c r="K211" s="1688">
        <f>'Revenues 9-14'!F268-'Expenditures 15-22'!K210</f>
        <v>642949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2" t="s">
        <v>958</v>
      </c>
      <c r="B213" s="2293"/>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v>201365</v>
      </c>
      <c r="E215" s="1672"/>
      <c r="F215" s="1672"/>
      <c r="G215" s="1672"/>
      <c r="H215" s="1672"/>
      <c r="I215" s="1672"/>
      <c r="J215" s="1672"/>
      <c r="K215" s="1671">
        <f>D215</f>
        <v>201365</v>
      </c>
      <c r="L215" s="1572">
        <v>202200</v>
      </c>
    </row>
    <row r="216" spans="1:14" x14ac:dyDescent="0.2">
      <c r="A216" s="1273" t="s">
        <v>162</v>
      </c>
      <c r="B216" s="503" t="s">
        <v>960</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44017</v>
      </c>
      <c r="E217" s="1672"/>
      <c r="F217" s="1672"/>
      <c r="G217" s="1672"/>
      <c r="H217" s="1672"/>
      <c r="I217" s="1672"/>
      <c r="J217" s="1672"/>
      <c r="K217" s="1671">
        <f t="shared" si="19"/>
        <v>44017</v>
      </c>
      <c r="L217" s="1572">
        <v>40472</v>
      </c>
    </row>
    <row r="218" spans="1:14" x14ac:dyDescent="0.2">
      <c r="A218" s="1273" t="s">
        <v>275</v>
      </c>
      <c r="B218" s="503" t="s">
        <v>961</v>
      </c>
      <c r="C218" s="1672"/>
      <c r="D218" s="1573"/>
      <c r="E218" s="1672"/>
      <c r="F218" s="1672"/>
      <c r="G218" s="1672"/>
      <c r="H218" s="1672"/>
      <c r="I218" s="1672"/>
      <c r="J218" s="1672"/>
      <c r="K218" s="1671">
        <f t="shared" si="19"/>
        <v>0</v>
      </c>
      <c r="L218" s="1572"/>
    </row>
    <row r="219" spans="1:14" x14ac:dyDescent="0.2">
      <c r="A219" s="1273" t="s">
        <v>276</v>
      </c>
      <c r="B219" s="503">
        <v>1250</v>
      </c>
      <c r="C219" s="1672"/>
      <c r="D219" s="1572">
        <v>30258</v>
      </c>
      <c r="E219" s="1672"/>
      <c r="F219" s="1672"/>
      <c r="G219" s="1672"/>
      <c r="H219" s="1672"/>
      <c r="I219" s="1672"/>
      <c r="J219" s="1672"/>
      <c r="K219" s="1671">
        <f t="shared" si="19"/>
        <v>30258</v>
      </c>
      <c r="L219" s="1572">
        <v>33587</v>
      </c>
    </row>
    <row r="220" spans="1:14" x14ac:dyDescent="0.2">
      <c r="A220" s="1273" t="s">
        <v>277</v>
      </c>
      <c r="B220" s="503" t="s">
        <v>160</v>
      </c>
      <c r="C220" s="1672"/>
      <c r="D220" s="1573">
        <v>5792</v>
      </c>
      <c r="E220" s="1672"/>
      <c r="F220" s="1672"/>
      <c r="G220" s="1672"/>
      <c r="H220" s="1672"/>
      <c r="I220" s="1672"/>
      <c r="J220" s="1672"/>
      <c r="K220" s="1671">
        <f t="shared" si="19"/>
        <v>5792</v>
      </c>
      <c r="L220" s="1572">
        <v>12661</v>
      </c>
    </row>
    <row r="221" spans="1:14" x14ac:dyDescent="0.2">
      <c r="A221" s="1273" t="s">
        <v>955</v>
      </c>
      <c r="B221" s="503">
        <v>1300</v>
      </c>
      <c r="C221" s="1672"/>
      <c r="D221" s="1572"/>
      <c r="E221" s="1672"/>
      <c r="F221" s="1672"/>
      <c r="G221" s="1672"/>
      <c r="H221" s="1672"/>
      <c r="I221" s="1672"/>
      <c r="J221" s="1672"/>
      <c r="K221" s="1671">
        <f t="shared" si="19"/>
        <v>0</v>
      </c>
      <c r="L221" s="1572"/>
    </row>
    <row r="222" spans="1:14" x14ac:dyDescent="0.2">
      <c r="A222" s="1273" t="s">
        <v>717</v>
      </c>
      <c r="B222" s="503">
        <v>1400</v>
      </c>
      <c r="C222" s="1672"/>
      <c r="D222" s="1572"/>
      <c r="E222" s="1672"/>
      <c r="F222" s="1672"/>
      <c r="G222" s="1672"/>
      <c r="H222" s="1672"/>
      <c r="I222" s="1672"/>
      <c r="J222" s="1672"/>
      <c r="K222" s="1671">
        <f t="shared" si="19"/>
        <v>0</v>
      </c>
      <c r="L222" s="1572"/>
    </row>
    <row r="223" spans="1:14" x14ac:dyDescent="0.2">
      <c r="A223" s="1273" t="s">
        <v>956</v>
      </c>
      <c r="B223" s="503">
        <v>1500</v>
      </c>
      <c r="C223" s="1672"/>
      <c r="D223" s="1572">
        <v>3139</v>
      </c>
      <c r="E223" s="1672"/>
      <c r="F223" s="1672"/>
      <c r="G223" s="1672"/>
      <c r="H223" s="1672"/>
      <c r="I223" s="1672"/>
      <c r="J223" s="1672"/>
      <c r="K223" s="1671">
        <f t="shared" si="19"/>
        <v>3139</v>
      </c>
      <c r="L223" s="1572">
        <v>5325</v>
      </c>
    </row>
    <row r="224" spans="1:14" x14ac:dyDescent="0.2">
      <c r="A224" s="1273" t="s">
        <v>957</v>
      </c>
      <c r="B224" s="503">
        <v>1600</v>
      </c>
      <c r="C224" s="1672"/>
      <c r="D224" s="1572"/>
      <c r="E224" s="1672"/>
      <c r="F224" s="1672"/>
      <c r="G224" s="1672"/>
      <c r="H224" s="1672"/>
      <c r="I224" s="1672"/>
      <c r="J224" s="1672"/>
      <c r="K224" s="1671">
        <f t="shared" si="19"/>
        <v>0</v>
      </c>
      <c r="L224" s="1572"/>
    </row>
    <row r="225" spans="1:12" x14ac:dyDescent="0.2">
      <c r="A225" s="1273" t="s">
        <v>979</v>
      </c>
      <c r="B225" s="503">
        <v>1650</v>
      </c>
      <c r="C225" s="1672"/>
      <c r="D225" s="1572"/>
      <c r="E225" s="1672"/>
      <c r="F225" s="1672"/>
      <c r="G225" s="1672"/>
      <c r="H225" s="1672"/>
      <c r="I225" s="1672"/>
      <c r="J225" s="1672"/>
      <c r="K225" s="1671">
        <f t="shared" si="19"/>
        <v>0</v>
      </c>
      <c r="L225" s="1572"/>
    </row>
    <row r="226" spans="1:12" x14ac:dyDescent="0.2">
      <c r="A226" s="1273" t="s">
        <v>718</v>
      </c>
      <c r="B226" s="503" t="s">
        <v>161</v>
      </c>
      <c r="C226" s="1672"/>
      <c r="D226" s="1573"/>
      <c r="E226" s="1672"/>
      <c r="F226" s="1672"/>
      <c r="G226" s="1672"/>
      <c r="H226" s="1672"/>
      <c r="I226" s="1672"/>
      <c r="J226" s="1672"/>
      <c r="K226" s="1671">
        <f t="shared" si="19"/>
        <v>0</v>
      </c>
      <c r="L226" s="1572"/>
    </row>
    <row r="227" spans="1:12" x14ac:dyDescent="0.2">
      <c r="A227" s="1273" t="s">
        <v>1077</v>
      </c>
      <c r="B227" s="503">
        <v>1800</v>
      </c>
      <c r="C227" s="1672"/>
      <c r="D227" s="1572"/>
      <c r="E227" s="1672"/>
      <c r="F227" s="1672"/>
      <c r="G227" s="1672"/>
      <c r="H227" s="1672"/>
      <c r="I227" s="1672"/>
      <c r="J227" s="1672"/>
      <c r="K227" s="1671">
        <f t="shared" si="19"/>
        <v>0</v>
      </c>
      <c r="L227" s="1572"/>
    </row>
    <row r="228" spans="1:12" x14ac:dyDescent="0.2">
      <c r="A228" s="1273" t="s">
        <v>1078</v>
      </c>
      <c r="B228" s="503">
        <v>1900</v>
      </c>
      <c r="C228" s="1672"/>
      <c r="D228" s="1572"/>
      <c r="E228" s="1672"/>
      <c r="F228" s="1672"/>
      <c r="G228" s="1672"/>
      <c r="H228" s="1672"/>
      <c r="I228" s="1672"/>
      <c r="J228" s="1672"/>
      <c r="K228" s="1671">
        <f t="shared" si="19"/>
        <v>0</v>
      </c>
      <c r="L228" s="1572"/>
    </row>
    <row r="229" spans="1:12" ht="12.75" customHeight="1" thickBot="1" x14ac:dyDescent="0.25">
      <c r="A229" s="1379" t="s">
        <v>709</v>
      </c>
      <c r="B229" s="1382" t="s">
        <v>565</v>
      </c>
      <c r="C229" s="1672"/>
      <c r="D229" s="1673">
        <f>SUM(D215:D228)</f>
        <v>284571</v>
      </c>
      <c r="E229" s="1672"/>
      <c r="F229" s="1672"/>
      <c r="G229" s="1672"/>
      <c r="H229" s="1672"/>
      <c r="I229" s="1672"/>
      <c r="J229" s="1672"/>
      <c r="K229" s="1673">
        <f>SUM(K215:K228)</f>
        <v>284571</v>
      </c>
      <c r="L229" s="1673">
        <f>SUM(L215:L228)</f>
        <v>294245</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1079</v>
      </c>
      <c r="B232" s="503">
        <v>2110</v>
      </c>
      <c r="C232" s="1672"/>
      <c r="D232" s="1572">
        <v>9463</v>
      </c>
      <c r="E232" s="1672"/>
      <c r="F232" s="1672"/>
      <c r="G232" s="1672"/>
      <c r="H232" s="1672"/>
      <c r="I232" s="1672"/>
      <c r="J232" s="1672"/>
      <c r="K232" s="1671">
        <f t="shared" ref="K232:K237" si="20">D232</f>
        <v>9463</v>
      </c>
      <c r="L232" s="1572">
        <v>7779</v>
      </c>
    </row>
    <row r="233" spans="1:12" x14ac:dyDescent="0.2">
      <c r="A233" s="1273" t="s">
        <v>1080</v>
      </c>
      <c r="B233" s="503">
        <v>2120</v>
      </c>
      <c r="C233" s="1672"/>
      <c r="D233" s="1572">
        <v>9624</v>
      </c>
      <c r="E233" s="1672"/>
      <c r="F233" s="1672"/>
      <c r="G233" s="1672"/>
      <c r="H233" s="1672"/>
      <c r="I233" s="1672"/>
      <c r="J233" s="1672"/>
      <c r="K233" s="1671">
        <f t="shared" si="20"/>
        <v>9624</v>
      </c>
      <c r="L233" s="1572"/>
    </row>
    <row r="234" spans="1:12" x14ac:dyDescent="0.2">
      <c r="A234" s="1273" t="s">
        <v>196</v>
      </c>
      <c r="B234" s="503">
        <v>2130</v>
      </c>
      <c r="C234" s="1672"/>
      <c r="D234" s="1572">
        <v>19789</v>
      </c>
      <c r="E234" s="1672"/>
      <c r="F234" s="1672"/>
      <c r="G234" s="1672"/>
      <c r="H234" s="1672"/>
      <c r="I234" s="1672"/>
      <c r="J234" s="1672"/>
      <c r="K234" s="1671">
        <f t="shared" si="20"/>
        <v>19789</v>
      </c>
      <c r="L234" s="1572">
        <v>15470</v>
      </c>
    </row>
    <row r="235" spans="1:12" x14ac:dyDescent="0.2">
      <c r="A235" s="1273" t="s">
        <v>197</v>
      </c>
      <c r="B235" s="503">
        <v>2140</v>
      </c>
      <c r="C235" s="1672"/>
      <c r="D235" s="1572">
        <v>3574</v>
      </c>
      <c r="E235" s="1672"/>
      <c r="F235" s="1672"/>
      <c r="G235" s="1672"/>
      <c r="H235" s="1672"/>
      <c r="I235" s="1672"/>
      <c r="J235" s="1672"/>
      <c r="K235" s="1671">
        <f t="shared" si="20"/>
        <v>3574</v>
      </c>
      <c r="L235" s="1572">
        <v>3772</v>
      </c>
    </row>
    <row r="236" spans="1:12" x14ac:dyDescent="0.2">
      <c r="A236" s="1273" t="s">
        <v>198</v>
      </c>
      <c r="B236" s="503">
        <v>2150</v>
      </c>
      <c r="C236" s="1672"/>
      <c r="D236" s="1572">
        <v>3436</v>
      </c>
      <c r="E236" s="1672"/>
      <c r="F236" s="1672"/>
      <c r="G236" s="1672"/>
      <c r="H236" s="1672"/>
      <c r="I236" s="1672"/>
      <c r="J236" s="1672"/>
      <c r="K236" s="1671">
        <f t="shared" si="20"/>
        <v>3436</v>
      </c>
      <c r="L236" s="1572">
        <v>3421</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555</v>
      </c>
      <c r="B238" s="1382" t="s">
        <v>710</v>
      </c>
      <c r="C238" s="1672"/>
      <c r="D238" s="1673">
        <f>SUM(D232:D237)</f>
        <v>45886</v>
      </c>
      <c r="E238" s="1672"/>
      <c r="F238" s="1672"/>
      <c r="G238" s="1672"/>
      <c r="H238" s="1672"/>
      <c r="I238" s="1672"/>
      <c r="J238" s="1672"/>
      <c r="K238" s="1673">
        <f>SUM(K232:K237)</f>
        <v>45886</v>
      </c>
      <c r="L238" s="1673">
        <f>SUM(L232:L237)</f>
        <v>30442</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v>4853</v>
      </c>
      <c r="E240" s="1672"/>
      <c r="F240" s="1672"/>
      <c r="G240" s="1672"/>
      <c r="H240" s="1672"/>
      <c r="I240" s="1672"/>
      <c r="J240" s="1672"/>
      <c r="K240" s="1677">
        <f>D240</f>
        <v>4853</v>
      </c>
      <c r="L240" s="1585">
        <v>17583</v>
      </c>
    </row>
    <row r="241" spans="1:12" x14ac:dyDescent="0.2">
      <c r="A241" s="1273" t="s">
        <v>809</v>
      </c>
      <c r="B241" s="503">
        <v>2220</v>
      </c>
      <c r="C241" s="1672"/>
      <c r="D241" s="1572">
        <v>3723</v>
      </c>
      <c r="E241" s="1672"/>
      <c r="F241" s="1672"/>
      <c r="G241" s="1672"/>
      <c r="H241" s="1672"/>
      <c r="I241" s="1672"/>
      <c r="J241" s="1672"/>
      <c r="K241" s="1677">
        <f>D241</f>
        <v>3723</v>
      </c>
      <c r="L241" s="1572">
        <v>3802</v>
      </c>
    </row>
    <row r="242" spans="1:12" x14ac:dyDescent="0.2">
      <c r="A242" s="1273" t="s">
        <v>810</v>
      </c>
      <c r="B242" s="503">
        <v>2230</v>
      </c>
      <c r="C242" s="1672"/>
      <c r="D242" s="1572"/>
      <c r="E242" s="1672"/>
      <c r="F242" s="1672"/>
      <c r="G242" s="1672"/>
      <c r="H242" s="1672"/>
      <c r="I242" s="1672"/>
      <c r="J242" s="1672"/>
      <c r="K242" s="1677">
        <f>D242</f>
        <v>0</v>
      </c>
      <c r="L242" s="1572"/>
    </row>
    <row r="243" spans="1:12" ht="12.75" customHeight="1" thickBot="1" x14ac:dyDescent="0.25">
      <c r="A243" s="1395" t="s">
        <v>556</v>
      </c>
      <c r="B243" s="1396">
        <v>2200</v>
      </c>
      <c r="C243" s="1672"/>
      <c r="D243" s="1673">
        <f>SUM(D240:D242)</f>
        <v>8576</v>
      </c>
      <c r="E243" s="1672"/>
      <c r="F243" s="1672"/>
      <c r="G243" s="1672"/>
      <c r="H243" s="1672"/>
      <c r="I243" s="1672"/>
      <c r="J243" s="1672"/>
      <c r="K243" s="1673">
        <f>SUM(K240:K242)</f>
        <v>8576</v>
      </c>
      <c r="L243" s="1673">
        <f>SUM(L240:L242)</f>
        <v>21385</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c r="E245" s="1672"/>
      <c r="F245" s="1672"/>
      <c r="G245" s="1672"/>
      <c r="H245" s="1672"/>
      <c r="I245" s="1672"/>
      <c r="J245" s="1672"/>
      <c r="K245" s="1677">
        <f>D245</f>
        <v>0</v>
      </c>
      <c r="L245" s="1585"/>
    </row>
    <row r="246" spans="1:12" x14ac:dyDescent="0.2">
      <c r="A246" s="1273" t="s">
        <v>812</v>
      </c>
      <c r="B246" s="503">
        <v>2320</v>
      </c>
      <c r="C246" s="1672"/>
      <c r="D246" s="1572">
        <v>40368</v>
      </c>
      <c r="E246" s="1672"/>
      <c r="F246" s="1672"/>
      <c r="G246" s="1672"/>
      <c r="H246" s="1672"/>
      <c r="I246" s="1672"/>
      <c r="J246" s="1672"/>
      <c r="K246" s="1677">
        <f t="shared" ref="K246:K256" si="21">D246</f>
        <v>40368</v>
      </c>
      <c r="L246" s="1572">
        <v>38082</v>
      </c>
    </row>
    <row r="247" spans="1:12" x14ac:dyDescent="0.2">
      <c r="A247" s="1273" t="s">
        <v>813</v>
      </c>
      <c r="B247" s="503">
        <v>2330</v>
      </c>
      <c r="C247" s="1672"/>
      <c r="D247" s="1572">
        <v>8241</v>
      </c>
      <c r="E247" s="1672"/>
      <c r="F247" s="1672"/>
      <c r="G247" s="1672"/>
      <c r="H247" s="1672"/>
      <c r="I247" s="1672"/>
      <c r="J247" s="1672"/>
      <c r="K247" s="1677">
        <f t="shared" si="21"/>
        <v>8241</v>
      </c>
      <c r="L247" s="1572">
        <v>15456</v>
      </c>
    </row>
    <row r="248" spans="1:12" x14ac:dyDescent="0.2">
      <c r="A248" s="1274" t="s">
        <v>295</v>
      </c>
      <c r="B248" s="494" t="s">
        <v>278</v>
      </c>
      <c r="C248" s="1672"/>
      <c r="D248" s="1578"/>
      <c r="E248" s="1672"/>
      <c r="F248" s="1672"/>
      <c r="G248" s="1672"/>
      <c r="H248" s="1672"/>
      <c r="I248" s="1672"/>
      <c r="J248" s="1672"/>
      <c r="K248" s="1677">
        <f t="shared" si="21"/>
        <v>0</v>
      </c>
      <c r="L248" s="1572"/>
    </row>
    <row r="249" spans="1:12" x14ac:dyDescent="0.2">
      <c r="A249" s="1275" t="s">
        <v>1780</v>
      </c>
      <c r="B249" s="557" t="s">
        <v>279</v>
      </c>
      <c r="C249" s="1672"/>
      <c r="D249" s="1578"/>
      <c r="E249" s="1672"/>
      <c r="F249" s="1672"/>
      <c r="G249" s="1672"/>
      <c r="H249" s="1672"/>
      <c r="I249" s="1672"/>
      <c r="J249" s="1672"/>
      <c r="K249" s="1677">
        <f t="shared" si="21"/>
        <v>0</v>
      </c>
      <c r="L249" s="1572"/>
    </row>
    <row r="250" spans="1:12" x14ac:dyDescent="0.2">
      <c r="A250" s="1274" t="s">
        <v>1781</v>
      </c>
      <c r="B250" s="494" t="s">
        <v>280</v>
      </c>
      <c r="C250" s="1672"/>
      <c r="D250" s="1578"/>
      <c r="E250" s="1672"/>
      <c r="F250" s="1672"/>
      <c r="G250" s="1672"/>
      <c r="H250" s="1672"/>
      <c r="I250" s="1672"/>
      <c r="J250" s="1672"/>
      <c r="K250" s="1677">
        <f t="shared" si="21"/>
        <v>0</v>
      </c>
      <c r="L250" s="1572"/>
    </row>
    <row r="251" spans="1:12" x14ac:dyDescent="0.2">
      <c r="A251" s="1274" t="s">
        <v>236</v>
      </c>
      <c r="B251" s="494" t="s">
        <v>281</v>
      </c>
      <c r="C251" s="1672"/>
      <c r="D251" s="1578"/>
      <c r="E251" s="1672"/>
      <c r="F251" s="1672"/>
      <c r="G251" s="1672"/>
      <c r="H251" s="1672"/>
      <c r="I251" s="1672"/>
      <c r="J251" s="1672"/>
      <c r="K251" s="1677">
        <f t="shared" si="21"/>
        <v>0</v>
      </c>
      <c r="L251" s="1572"/>
    </row>
    <row r="252" spans="1:12" x14ac:dyDescent="0.2">
      <c r="A252" s="1274" t="s">
        <v>696</v>
      </c>
      <c r="B252" s="494" t="s">
        <v>282</v>
      </c>
      <c r="C252" s="1672"/>
      <c r="D252" s="1578"/>
      <c r="E252" s="1672"/>
      <c r="F252" s="1672"/>
      <c r="G252" s="1672"/>
      <c r="H252" s="1672"/>
      <c r="I252" s="1672"/>
      <c r="J252" s="1672"/>
      <c r="K252" s="1677">
        <f t="shared" si="21"/>
        <v>0</v>
      </c>
      <c r="L252" s="1572"/>
    </row>
    <row r="253" spans="1:12" x14ac:dyDescent="0.2">
      <c r="A253" s="1274" t="s">
        <v>237</v>
      </c>
      <c r="B253" s="494" t="s">
        <v>283</v>
      </c>
      <c r="C253" s="1672"/>
      <c r="D253" s="1578"/>
      <c r="E253" s="1672"/>
      <c r="F253" s="1672"/>
      <c r="G253" s="1672"/>
      <c r="H253" s="1672"/>
      <c r="I253" s="1672"/>
      <c r="J253" s="1672"/>
      <c r="K253" s="1677">
        <f t="shared" si="21"/>
        <v>0</v>
      </c>
      <c r="L253" s="1572"/>
    </row>
    <row r="254" spans="1:12" ht="22.5" x14ac:dyDescent="0.2">
      <c r="A254" s="1274" t="s">
        <v>1021</v>
      </c>
      <c r="B254" s="557" t="s">
        <v>284</v>
      </c>
      <c r="C254" s="1672"/>
      <c r="D254" s="1578"/>
      <c r="E254" s="1672"/>
      <c r="F254" s="1672"/>
      <c r="G254" s="1672"/>
      <c r="H254" s="1672"/>
      <c r="I254" s="1672"/>
      <c r="J254" s="1672"/>
      <c r="K254" s="1677">
        <f t="shared" si="21"/>
        <v>0</v>
      </c>
      <c r="L254" s="1572"/>
    </row>
    <row r="255" spans="1:12" x14ac:dyDescent="0.2">
      <c r="A255" s="1274" t="s">
        <v>1022</v>
      </c>
      <c r="B255" s="494" t="s">
        <v>285</v>
      </c>
      <c r="C255" s="1672"/>
      <c r="D255" s="1578"/>
      <c r="E255" s="1672"/>
      <c r="F255" s="1672"/>
      <c r="G255" s="1672"/>
      <c r="H255" s="1672"/>
      <c r="I255" s="1672"/>
      <c r="J255" s="1672"/>
      <c r="K255" s="1677">
        <f t="shared" si="21"/>
        <v>0</v>
      </c>
      <c r="L255" s="1572"/>
    </row>
    <row r="256" spans="1:12" x14ac:dyDescent="0.2">
      <c r="A256" s="1274" t="s">
        <v>964</v>
      </c>
      <c r="B256" s="503" t="s">
        <v>286</v>
      </c>
      <c r="C256" s="1672"/>
      <c r="D256" s="1578"/>
      <c r="E256" s="1672"/>
      <c r="F256" s="1672"/>
      <c r="G256" s="1672"/>
      <c r="H256" s="1672"/>
      <c r="I256" s="1672"/>
      <c r="J256" s="1672"/>
      <c r="K256" s="1677">
        <f t="shared" si="21"/>
        <v>0</v>
      </c>
      <c r="L256" s="1572"/>
    </row>
    <row r="257" spans="1:14" ht="12.75" customHeight="1" thickBot="1" x14ac:dyDescent="0.25">
      <c r="A257" s="1379" t="s">
        <v>711</v>
      </c>
      <c r="B257" s="1397">
        <v>2300</v>
      </c>
      <c r="C257" s="1672"/>
      <c r="D257" s="1673">
        <f>SUM(D245:D256)</f>
        <v>48609</v>
      </c>
      <c r="E257" s="1672"/>
      <c r="F257" s="1672"/>
      <c r="G257" s="1672"/>
      <c r="H257" s="1672"/>
      <c r="I257" s="1672"/>
      <c r="J257" s="1672"/>
      <c r="K257" s="1673">
        <f>SUM(K245:K256)</f>
        <v>48609</v>
      </c>
      <c r="L257" s="1673">
        <f>SUM(L245:L256)</f>
        <v>53538</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1057</v>
      </c>
      <c r="B259" s="559">
        <v>2410</v>
      </c>
      <c r="C259" s="1672"/>
      <c r="D259" s="1585">
        <v>70997</v>
      </c>
      <c r="E259" s="1672"/>
      <c r="F259" s="1672"/>
      <c r="G259" s="1672"/>
      <c r="H259" s="1672"/>
      <c r="I259" s="1672"/>
      <c r="J259" s="1672"/>
      <c r="K259" s="1677">
        <f>D259</f>
        <v>70997</v>
      </c>
      <c r="L259" s="1585">
        <v>70605</v>
      </c>
    </row>
    <row r="260" spans="1:14" s="493" customFormat="1" x14ac:dyDescent="0.2">
      <c r="A260" s="1291" t="s">
        <v>1779</v>
      </c>
      <c r="B260" s="512">
        <v>2490</v>
      </c>
      <c r="C260" s="1672"/>
      <c r="D260" s="1572"/>
      <c r="E260" s="1672"/>
      <c r="F260" s="1672"/>
      <c r="G260" s="1672"/>
      <c r="H260" s="1672"/>
      <c r="I260" s="1672"/>
      <c r="J260" s="1672"/>
      <c r="K260" s="1677">
        <f>D260</f>
        <v>0</v>
      </c>
      <c r="L260" s="1572">
        <v>2477</v>
      </c>
      <c r="M260" s="205"/>
      <c r="N260" s="205"/>
    </row>
    <row r="261" spans="1:14" ht="12.75" customHeight="1" thickBot="1" x14ac:dyDescent="0.25">
      <c r="A261" s="1393" t="s">
        <v>261</v>
      </c>
      <c r="B261" s="1398" t="s">
        <v>34</v>
      </c>
      <c r="C261" s="1672"/>
      <c r="D261" s="1673">
        <f>SUM(D259:D260)</f>
        <v>70997</v>
      </c>
      <c r="E261" s="1672"/>
      <c r="F261" s="1672"/>
      <c r="G261" s="1672"/>
      <c r="H261" s="1672"/>
      <c r="I261" s="1672"/>
      <c r="J261" s="1672"/>
      <c r="K261" s="1673">
        <f>SUM(K259:K260)</f>
        <v>70997</v>
      </c>
      <c r="L261" s="1673">
        <f>SUM(L259:L260)</f>
        <v>73082</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1058</v>
      </c>
      <c r="B263" s="559">
        <v>2510</v>
      </c>
      <c r="C263" s="1672"/>
      <c r="D263" s="1572">
        <v>321</v>
      </c>
      <c r="E263" s="1672"/>
      <c r="F263" s="1672"/>
      <c r="G263" s="1672"/>
      <c r="H263" s="1672"/>
      <c r="I263" s="1672"/>
      <c r="J263" s="1672"/>
      <c r="K263" s="1677">
        <f>D263</f>
        <v>321</v>
      </c>
      <c r="L263" s="1585">
        <v>2328</v>
      </c>
    </row>
    <row r="264" spans="1:14" x14ac:dyDescent="0.2">
      <c r="A264" s="1273" t="s">
        <v>459</v>
      </c>
      <c r="B264" s="559">
        <v>2520</v>
      </c>
      <c r="C264" s="1672"/>
      <c r="D264" s="1572">
        <v>31241</v>
      </c>
      <c r="E264" s="1672"/>
      <c r="F264" s="1672"/>
      <c r="G264" s="1672"/>
      <c r="H264" s="1672"/>
      <c r="I264" s="1672"/>
      <c r="J264" s="1672"/>
      <c r="K264" s="1677">
        <f t="shared" ref="K264:K269" si="22">D264</f>
        <v>31241</v>
      </c>
      <c r="L264" s="1572">
        <v>31591</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136872</v>
      </c>
      <c r="E266" s="1672"/>
      <c r="F266" s="1672"/>
      <c r="G266" s="1672"/>
      <c r="H266" s="1672"/>
      <c r="I266" s="1672"/>
      <c r="J266" s="1672"/>
      <c r="K266" s="1677">
        <f t="shared" si="22"/>
        <v>136872</v>
      </c>
      <c r="L266" s="1572">
        <v>134727</v>
      </c>
    </row>
    <row r="267" spans="1:14" x14ac:dyDescent="0.2">
      <c r="A267" s="1273" t="s">
        <v>946</v>
      </c>
      <c r="B267" s="503">
        <v>2550</v>
      </c>
      <c r="C267" s="1672"/>
      <c r="D267" s="1572">
        <v>377</v>
      </c>
      <c r="E267" s="1672"/>
      <c r="F267" s="1672"/>
      <c r="G267" s="1672"/>
      <c r="H267" s="1672"/>
      <c r="I267" s="1672"/>
      <c r="J267" s="1672"/>
      <c r="K267" s="1677">
        <f t="shared" si="22"/>
        <v>377</v>
      </c>
      <c r="L267" s="1572">
        <v>600</v>
      </c>
    </row>
    <row r="268" spans="1:14" x14ac:dyDescent="0.2">
      <c r="A268" s="1273" t="s">
        <v>100</v>
      </c>
      <c r="B268" s="503">
        <v>2560</v>
      </c>
      <c r="C268" s="1672"/>
      <c r="D268" s="1572">
        <v>10617</v>
      </c>
      <c r="E268" s="1672"/>
      <c r="F268" s="1672"/>
      <c r="G268" s="1672"/>
      <c r="H268" s="1672"/>
      <c r="I268" s="1672"/>
      <c r="J268" s="1672"/>
      <c r="K268" s="1677">
        <f t="shared" si="22"/>
        <v>10617</v>
      </c>
      <c r="L268" s="1572">
        <v>7320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713</v>
      </c>
      <c r="B270" s="1382" t="s">
        <v>35</v>
      </c>
      <c r="C270" s="1672"/>
      <c r="D270" s="1673">
        <f>SUM(D263:D269)</f>
        <v>179428</v>
      </c>
      <c r="E270" s="1672"/>
      <c r="F270" s="1672"/>
      <c r="G270" s="1672"/>
      <c r="H270" s="1672"/>
      <c r="I270" s="1672"/>
      <c r="J270" s="1672"/>
      <c r="K270" s="1673">
        <f>SUM(K263:K269)</f>
        <v>179428</v>
      </c>
      <c r="L270" s="1673">
        <f>SUM(L263:L269)</f>
        <v>176566</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1050</v>
      </c>
      <c r="B272" s="503">
        <v>2610</v>
      </c>
      <c r="C272" s="1672"/>
      <c r="D272" s="1585"/>
      <c r="E272" s="1672"/>
      <c r="F272" s="1672"/>
      <c r="G272" s="1672"/>
      <c r="H272" s="1672"/>
      <c r="I272" s="1672"/>
      <c r="J272" s="1672"/>
      <c r="K272" s="1677">
        <f>D272</f>
        <v>0</v>
      </c>
      <c r="L272" s="1585"/>
    </row>
    <row r="273" spans="1:12" x14ac:dyDescent="0.2">
      <c r="A273" s="1273" t="s">
        <v>602</v>
      </c>
      <c r="B273" s="512">
        <v>2620</v>
      </c>
      <c r="C273" s="1672"/>
      <c r="D273" s="1572"/>
      <c r="E273" s="1672"/>
      <c r="F273" s="1672"/>
      <c r="G273" s="1672"/>
      <c r="H273" s="1672"/>
      <c r="I273" s="1672"/>
      <c r="J273" s="1672"/>
      <c r="K273" s="1677">
        <f>D273</f>
        <v>0</v>
      </c>
      <c r="L273" s="1572"/>
    </row>
    <row r="274" spans="1:12" ht="12" customHeight="1" x14ac:dyDescent="0.2">
      <c r="A274" s="1273" t="s">
        <v>1051</v>
      </c>
      <c r="B274" s="503">
        <v>2630</v>
      </c>
      <c r="C274" s="1672"/>
      <c r="D274" s="1572"/>
      <c r="E274" s="1672"/>
      <c r="F274" s="1672"/>
      <c r="G274" s="1672"/>
      <c r="H274" s="1672"/>
      <c r="I274" s="1672"/>
      <c r="J274" s="1672"/>
      <c r="K274" s="1677">
        <f>D274</f>
        <v>0</v>
      </c>
      <c r="L274" s="1572"/>
    </row>
    <row r="275" spans="1:12" x14ac:dyDescent="0.2">
      <c r="A275" s="1273" t="s">
        <v>399</v>
      </c>
      <c r="B275" s="503">
        <v>2640</v>
      </c>
      <c r="C275" s="1672"/>
      <c r="D275" s="1572"/>
      <c r="E275" s="1672"/>
      <c r="F275" s="1672"/>
      <c r="G275" s="1672"/>
      <c r="H275" s="1672"/>
      <c r="I275" s="1672"/>
      <c r="J275" s="1672"/>
      <c r="K275" s="1677">
        <f>D275</f>
        <v>0</v>
      </c>
      <c r="L275" s="1572">
        <v>150</v>
      </c>
    </row>
    <row r="276" spans="1:12" x14ac:dyDescent="0.2">
      <c r="A276" s="1273" t="s">
        <v>400</v>
      </c>
      <c r="B276" s="503">
        <v>2660</v>
      </c>
      <c r="C276" s="1672"/>
      <c r="D276" s="1572">
        <v>95126</v>
      </c>
      <c r="E276" s="1672"/>
      <c r="F276" s="1672"/>
      <c r="G276" s="1672"/>
      <c r="H276" s="1672"/>
      <c r="I276" s="1672"/>
      <c r="J276" s="1672"/>
      <c r="K276" s="1677">
        <f>D276</f>
        <v>95126</v>
      </c>
      <c r="L276" s="1572">
        <v>60427</v>
      </c>
    </row>
    <row r="277" spans="1:12" ht="12.75" customHeight="1" thickBot="1" x14ac:dyDescent="0.25">
      <c r="A277" s="1392" t="s">
        <v>37</v>
      </c>
      <c r="B277" s="1380" t="s">
        <v>36</v>
      </c>
      <c r="C277" s="1672"/>
      <c r="D277" s="1673">
        <f>SUM(D272:D276)</f>
        <v>95126</v>
      </c>
      <c r="E277" s="1672"/>
      <c r="F277" s="1672"/>
      <c r="G277" s="1672"/>
      <c r="H277" s="1672"/>
      <c r="I277" s="1672"/>
      <c r="J277" s="1672"/>
      <c r="K277" s="1673">
        <f>SUM(K272:K276)</f>
        <v>95126</v>
      </c>
      <c r="L277" s="1673">
        <f>SUM(L272:L276)</f>
        <v>60577</v>
      </c>
    </row>
    <row r="278" spans="1:12" ht="13.5" customHeight="1" thickTop="1" x14ac:dyDescent="0.2">
      <c r="A278" s="1279" t="s">
        <v>972</v>
      </c>
      <c r="B278" s="531" t="s">
        <v>569</v>
      </c>
      <c r="C278" s="1672"/>
      <c r="D278" s="1694"/>
      <c r="E278" s="1672"/>
      <c r="F278" s="1672"/>
      <c r="G278" s="1672"/>
      <c r="H278" s="1672"/>
      <c r="I278" s="1672"/>
      <c r="J278" s="1672"/>
      <c r="K278" s="1695">
        <f>D278</f>
        <v>0</v>
      </c>
      <c r="L278" s="1694"/>
    </row>
    <row r="279" spans="1:12" ht="12.75" customHeight="1" thickBot="1" x14ac:dyDescent="0.25">
      <c r="A279" s="1399" t="s">
        <v>805</v>
      </c>
      <c r="B279" s="1386">
        <v>2000</v>
      </c>
      <c r="C279" s="1672"/>
      <c r="D279" s="1680">
        <f>SUM(D238,D243,D257,D261,D270,D277,D278)</f>
        <v>448622</v>
      </c>
      <c r="E279" s="1672"/>
      <c r="F279" s="1672"/>
      <c r="G279" s="1672"/>
      <c r="H279" s="1672"/>
      <c r="I279" s="1672"/>
      <c r="J279" s="1672"/>
      <c r="K279" s="1680">
        <f>SUM(K238,K243,K257,K261,K270,K277,K278)</f>
        <v>448622</v>
      </c>
      <c r="L279" s="1680">
        <f>SUM(L238,L243,L257,L261,L270,L277,L278)</f>
        <v>415590</v>
      </c>
    </row>
    <row r="280" spans="1:12" ht="15.75" customHeight="1" thickTop="1" thickBot="1" x14ac:dyDescent="0.25">
      <c r="A280" s="1361" t="s">
        <v>869</v>
      </c>
      <c r="B280" s="1350">
        <v>3000</v>
      </c>
      <c r="C280" s="1672"/>
      <c r="D280" s="1650">
        <v>8239</v>
      </c>
      <c r="E280" s="1672"/>
      <c r="F280" s="1672"/>
      <c r="G280" s="1672"/>
      <c r="H280" s="1672"/>
      <c r="I280" s="1672"/>
      <c r="J280" s="1672"/>
      <c r="K280" s="1686">
        <f>D280</f>
        <v>8239</v>
      </c>
      <c r="L280" s="1650">
        <v>4530</v>
      </c>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1814</v>
      </c>
      <c r="C282" s="1672"/>
      <c r="D282" s="1573"/>
      <c r="E282" s="1672"/>
      <c r="F282" s="1672"/>
      <c r="G282" s="1672"/>
      <c r="H282" s="1672"/>
      <c r="I282" s="1672"/>
      <c r="J282" s="1672"/>
      <c r="K282" s="1671">
        <f>D282</f>
        <v>0</v>
      </c>
      <c r="L282" s="1573"/>
    </row>
    <row r="283" spans="1:12" x14ac:dyDescent="0.2">
      <c r="A283" s="1273" t="s">
        <v>300</v>
      </c>
      <c r="B283" s="503">
        <v>4120</v>
      </c>
      <c r="C283" s="1672"/>
      <c r="D283" s="1572"/>
      <c r="E283" s="1672"/>
      <c r="F283" s="1672"/>
      <c r="G283" s="1672"/>
      <c r="H283" s="1672"/>
      <c r="I283" s="1672"/>
      <c r="J283" s="1672"/>
      <c r="K283" s="1671">
        <f>D283</f>
        <v>0</v>
      </c>
      <c r="L283" s="1572"/>
    </row>
    <row r="284" spans="1:12" x14ac:dyDescent="0.2">
      <c r="A284" s="1273" t="s">
        <v>691</v>
      </c>
      <c r="B284" s="503">
        <v>4140</v>
      </c>
      <c r="C284" s="1672"/>
      <c r="D284" s="1573"/>
      <c r="E284" s="1672"/>
      <c r="F284" s="1672"/>
      <c r="G284" s="1672"/>
      <c r="H284" s="1672"/>
      <c r="I284" s="1672"/>
      <c r="J284" s="1672"/>
      <c r="K284" s="1671">
        <f>D284</f>
        <v>0</v>
      </c>
      <c r="L284" s="1572"/>
    </row>
    <row r="285" spans="1:12" ht="12.75" customHeight="1" thickBot="1" x14ac:dyDescent="0.25">
      <c r="A285" s="1379" t="s">
        <v>1469</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1159</v>
      </c>
      <c r="B290" s="512" t="s">
        <v>612</v>
      </c>
      <c r="C290" s="1672"/>
      <c r="D290" s="1672"/>
      <c r="E290" s="1672"/>
      <c r="F290" s="1672"/>
      <c r="G290" s="1672"/>
      <c r="H290" s="1572"/>
      <c r="I290" s="1672"/>
      <c r="J290" s="1672"/>
      <c r="K290" s="1671">
        <f>H290</f>
        <v>0</v>
      </c>
      <c r="L290" s="1572"/>
    </row>
    <row r="291" spans="1:14" x14ac:dyDescent="0.2">
      <c r="A291" s="1273" t="s">
        <v>89</v>
      </c>
      <c r="B291" s="503" t="s">
        <v>584</v>
      </c>
      <c r="C291" s="1672"/>
      <c r="D291" s="1672"/>
      <c r="E291" s="1672"/>
      <c r="F291" s="1672"/>
      <c r="G291" s="1672"/>
      <c r="H291" s="1572"/>
      <c r="I291" s="1672"/>
      <c r="J291" s="1672"/>
      <c r="K291" s="1671">
        <f>H291</f>
        <v>0</v>
      </c>
      <c r="L291" s="1572"/>
    </row>
    <row r="292" spans="1:14" x14ac:dyDescent="0.2">
      <c r="A292" s="1273" t="s">
        <v>756</v>
      </c>
      <c r="B292" s="503" t="s">
        <v>613</v>
      </c>
      <c r="C292" s="1672"/>
      <c r="D292" s="1672"/>
      <c r="E292" s="1672"/>
      <c r="F292" s="1672"/>
      <c r="G292" s="1672"/>
      <c r="H292" s="1572"/>
      <c r="I292" s="1672"/>
      <c r="J292" s="1672"/>
      <c r="K292" s="1671">
        <f>H292</f>
        <v>0</v>
      </c>
      <c r="L292" s="1572"/>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row>
    <row r="295" spans="1:14" ht="12.75" customHeight="1" thickTop="1" thickBot="1" x14ac:dyDescent="0.25">
      <c r="A295" s="2288" t="s">
        <v>501</v>
      </c>
      <c r="B295" s="2289"/>
      <c r="C295" s="1672"/>
      <c r="D295" s="1673">
        <f>SUM(D229,D279,D280,D285)</f>
        <v>741432</v>
      </c>
      <c r="E295" s="1672"/>
      <c r="F295" s="1672"/>
      <c r="G295" s="1672"/>
      <c r="H295" s="1673">
        <f>H293</f>
        <v>0</v>
      </c>
      <c r="I295" s="1672"/>
      <c r="J295" s="1672"/>
      <c r="K295" s="1673">
        <f>SUM(K229,K279,K280,K285,K293,K294)</f>
        <v>741432</v>
      </c>
      <c r="L295" s="1673">
        <f>SUM(L229,L279,L280,L285,L293,L294)</f>
        <v>714365</v>
      </c>
    </row>
    <row r="296" spans="1:14" ht="13.5" thickTop="1" x14ac:dyDescent="0.2">
      <c r="A296" s="2270" t="s">
        <v>988</v>
      </c>
      <c r="B296" s="2271"/>
      <c r="C296" s="1672"/>
      <c r="D296" s="1674"/>
      <c r="E296" s="1672"/>
      <c r="F296" s="1672"/>
      <c r="G296" s="1672"/>
      <c r="H296" s="1706"/>
      <c r="I296" s="1672"/>
      <c r="J296" s="1672"/>
      <c r="K296" s="1688">
        <f>'Revenues 9-14'!G268-'Expenditures 15-22'!K295</f>
        <v>-134956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0" t="s">
        <v>142</v>
      </c>
      <c r="B298" s="2274"/>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c r="D301" s="1572"/>
      <c r="E301" s="1572"/>
      <c r="F301" s="1572"/>
      <c r="G301" s="1572"/>
      <c r="H301" s="1572"/>
      <c r="I301" s="1573"/>
      <c r="J301" s="1573"/>
      <c r="K301" s="1671">
        <f>SUM(C301:J301)</f>
        <v>0</v>
      </c>
      <c r="L301" s="1573">
        <v>200000</v>
      </c>
    </row>
    <row r="302" spans="1:14" ht="13.5" customHeight="1" x14ac:dyDescent="0.2">
      <c r="A302" s="1286" t="s">
        <v>972</v>
      </c>
      <c r="B302" s="503" t="s">
        <v>569</v>
      </c>
      <c r="C302" s="1572"/>
      <c r="D302" s="1572"/>
      <c r="E302" s="1572"/>
      <c r="F302" s="1572"/>
      <c r="G302" s="1572"/>
      <c r="H302" s="1572"/>
      <c r="I302" s="1573"/>
      <c r="J302" s="1573"/>
      <c r="K302" s="1671">
        <f>SUM(C302:J302)</f>
        <v>0</v>
      </c>
      <c r="L302" s="1572"/>
    </row>
    <row r="303" spans="1:14" ht="12.75" customHeight="1" thickBot="1" x14ac:dyDescent="0.25">
      <c r="A303" s="1379" t="s">
        <v>805</v>
      </c>
      <c r="B303" s="1380"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200000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row>
    <row r="307" spans="1:14" x14ac:dyDescent="0.2">
      <c r="A307" s="1273" t="s">
        <v>300</v>
      </c>
      <c r="B307" s="503">
        <v>4120</v>
      </c>
      <c r="C307" s="1672"/>
      <c r="D307" s="1672"/>
      <c r="E307" s="1573"/>
      <c r="F307" s="1672"/>
      <c r="G307" s="1672"/>
      <c r="H307" s="1573"/>
      <c r="I307" s="1581"/>
      <c r="J307" s="1672"/>
      <c r="K307" s="1671">
        <f>SUM(E307,H307)</f>
        <v>0</v>
      </c>
      <c r="L307" s="1572"/>
    </row>
    <row r="308" spans="1:14" x14ac:dyDescent="0.2">
      <c r="A308" s="1273" t="s">
        <v>691</v>
      </c>
      <c r="B308" s="503">
        <v>4140</v>
      </c>
      <c r="C308" s="1672"/>
      <c r="D308" s="1672"/>
      <c r="E308" s="1573"/>
      <c r="F308" s="1672"/>
      <c r="G308" s="1672"/>
      <c r="H308" s="1573"/>
      <c r="I308" s="1581"/>
      <c r="J308" s="1672"/>
      <c r="K308" s="1671">
        <f>SUM(E308,H308)</f>
        <v>0</v>
      </c>
      <c r="L308" s="1572"/>
    </row>
    <row r="309" spans="1:14" ht="12.75" customHeight="1" x14ac:dyDescent="0.2">
      <c r="A309" s="1277" t="s">
        <v>692</v>
      </c>
      <c r="B309" s="512">
        <v>4190</v>
      </c>
      <c r="C309" s="1672"/>
      <c r="D309" s="1672"/>
      <c r="E309" s="1573"/>
      <c r="F309" s="1672"/>
      <c r="G309" s="1672"/>
      <c r="H309" s="1573"/>
      <c r="I309" s="1581"/>
      <c r="J309" s="1672"/>
      <c r="K309" s="1671">
        <f>SUM(E309,H309)</f>
        <v>0</v>
      </c>
      <c r="L309" s="1572"/>
    </row>
    <row r="310" spans="1:14" ht="12.75" customHeight="1" thickBot="1" x14ac:dyDescent="0.25">
      <c r="A310" s="1379" t="s">
        <v>1469</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row>
    <row r="312" spans="1:14" s="548" customFormat="1" ht="12.75" customHeight="1" thickTop="1" thickBot="1" x14ac:dyDescent="0.25">
      <c r="A312" s="2285" t="s">
        <v>274</v>
      </c>
      <c r="B312" s="228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200000</v>
      </c>
      <c r="M312" s="539"/>
      <c r="N312" s="539"/>
    </row>
    <row r="313" spans="1:14" ht="13.5" thickTop="1" x14ac:dyDescent="0.2">
      <c r="A313" s="2281" t="s">
        <v>988</v>
      </c>
      <c r="B313" s="2282"/>
      <c r="C313" s="1676"/>
      <c r="D313" s="1676"/>
      <c r="E313" s="1676"/>
      <c r="F313" s="1676"/>
      <c r="G313" s="1676"/>
      <c r="H313" s="1676"/>
      <c r="I313" s="1676"/>
      <c r="J313" s="1676"/>
      <c r="K313" s="1695">
        <f>'Revenues 9-14'!H268-'Expenditures 15-22'!K312</f>
        <v>-88</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4" t="s">
        <v>148</v>
      </c>
      <c r="B315" s="229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6" t="s">
        <v>891</v>
      </c>
      <c r="B317" s="2295"/>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c r="D319" s="1573"/>
      <c r="E319" s="1573"/>
      <c r="F319" s="1573"/>
      <c r="G319" s="1573"/>
      <c r="H319" s="1573"/>
      <c r="I319" s="1573"/>
      <c r="J319" s="1573"/>
      <c r="K319" s="1671">
        <f>SUM(C319:J319)</f>
        <v>0</v>
      </c>
      <c r="L319" s="1573"/>
      <c r="M319" s="539"/>
      <c r="N319" s="539"/>
    </row>
    <row r="320" spans="1:14" s="548" customFormat="1" x14ac:dyDescent="0.2">
      <c r="A320" s="1292" t="s">
        <v>1780</v>
      </c>
      <c r="B320" s="568" t="s">
        <v>279</v>
      </c>
      <c r="C320" s="1573"/>
      <c r="D320" s="1573"/>
      <c r="E320" s="1573"/>
      <c r="F320" s="1573"/>
      <c r="G320" s="1573"/>
      <c r="H320" s="1573"/>
      <c r="I320" s="1573"/>
      <c r="J320" s="1573"/>
      <c r="K320" s="1671">
        <f t="shared" ref="K320:K327" si="24">SUM(C320:J320)</f>
        <v>0</v>
      </c>
      <c r="L320" s="1573"/>
      <c r="M320" s="539"/>
      <c r="N320" s="539"/>
    </row>
    <row r="321" spans="1:14" s="548" customFormat="1" x14ac:dyDescent="0.2">
      <c r="A321" s="1288" t="s">
        <v>296</v>
      </c>
      <c r="B321" s="567" t="s">
        <v>280</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281</v>
      </c>
      <c r="C322" s="1573"/>
      <c r="D322" s="1573"/>
      <c r="E322" s="1573">
        <f>312309-22800</f>
        <v>289509</v>
      </c>
      <c r="F322" s="1573"/>
      <c r="G322" s="1573"/>
      <c r="H322" s="1573"/>
      <c r="I322" s="1573"/>
      <c r="J322" s="1573"/>
      <c r="K322" s="1671">
        <f t="shared" si="24"/>
        <v>289509</v>
      </c>
      <c r="L322" s="1573">
        <v>403184</v>
      </c>
      <c r="M322" s="539"/>
      <c r="N322" s="539"/>
    </row>
    <row r="323" spans="1:14" s="548" customFormat="1" x14ac:dyDescent="0.2">
      <c r="A323" s="1288" t="s">
        <v>696</v>
      </c>
      <c r="B323" s="567" t="s">
        <v>282</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283</v>
      </c>
      <c r="C324" s="1573"/>
      <c r="D324" s="1573"/>
      <c r="E324" s="1573"/>
      <c r="F324" s="1573"/>
      <c r="G324" s="1573"/>
      <c r="H324" s="1573"/>
      <c r="I324" s="1573"/>
      <c r="J324" s="1573"/>
      <c r="K324" s="1671">
        <f t="shared" si="24"/>
        <v>0</v>
      </c>
      <c r="L324" s="1573"/>
      <c r="M324" s="539"/>
      <c r="N324" s="539"/>
    </row>
    <row r="325" spans="1:14" s="548" customFormat="1" ht="22.5" x14ac:dyDescent="0.2">
      <c r="A325" s="1288" t="s">
        <v>1021</v>
      </c>
      <c r="B325" s="568" t="s">
        <v>284</v>
      </c>
      <c r="C325" s="1573"/>
      <c r="D325" s="1573"/>
      <c r="E325" s="1573">
        <v>22800</v>
      </c>
      <c r="F325" s="1573"/>
      <c r="G325" s="1573"/>
      <c r="H325" s="1573"/>
      <c r="I325" s="1573"/>
      <c r="J325" s="1573"/>
      <c r="K325" s="1671">
        <f t="shared" si="24"/>
        <v>22800</v>
      </c>
      <c r="L325" s="1573">
        <v>30000</v>
      </c>
      <c r="M325" s="539"/>
      <c r="N325" s="539"/>
    </row>
    <row r="326" spans="1:14" s="548" customFormat="1" x14ac:dyDescent="0.2">
      <c r="A326" s="1288" t="s">
        <v>1022</v>
      </c>
      <c r="B326" s="567" t="s">
        <v>285</v>
      </c>
      <c r="C326" s="1573"/>
      <c r="D326" s="1573"/>
      <c r="E326" s="1573"/>
      <c r="F326" s="1573"/>
      <c r="G326" s="1573"/>
      <c r="H326" s="1573"/>
      <c r="I326" s="1573"/>
      <c r="J326" s="1573"/>
      <c r="K326" s="1671">
        <f t="shared" si="24"/>
        <v>0</v>
      </c>
      <c r="L326" s="1573"/>
      <c r="M326" s="539"/>
      <c r="N326" s="539"/>
    </row>
    <row r="327" spans="1:14" s="548" customFormat="1" x14ac:dyDescent="0.2">
      <c r="A327" s="1288" t="s">
        <v>964</v>
      </c>
      <c r="B327" s="567" t="s">
        <v>286</v>
      </c>
      <c r="C327" s="1573"/>
      <c r="D327" s="1573"/>
      <c r="E327" s="1573"/>
      <c r="F327" s="1573"/>
      <c r="G327" s="1573"/>
      <c r="H327" s="1573"/>
      <c r="I327" s="1573"/>
      <c r="J327" s="1573"/>
      <c r="K327" s="1671">
        <f t="shared" si="24"/>
        <v>0</v>
      </c>
      <c r="L327" s="1573"/>
      <c r="M327" s="539"/>
      <c r="N327" s="539"/>
    </row>
    <row r="328" spans="1:14" s="548" customFormat="1" x14ac:dyDescent="0.2">
      <c r="A328" s="1289" t="s">
        <v>468</v>
      </c>
      <c r="B328" s="562" t="s">
        <v>1121</v>
      </c>
      <c r="C328" s="1578"/>
      <c r="D328" s="1578"/>
      <c r="E328" s="1578"/>
      <c r="F328" s="1578"/>
      <c r="G328" s="1578"/>
      <c r="H328" s="1578"/>
      <c r="I328" s="1578"/>
      <c r="J328" s="1578"/>
      <c r="K328" s="1712">
        <f>SUM(C328:J328)</f>
        <v>0</v>
      </c>
      <c r="L328" s="1578"/>
      <c r="M328" s="539"/>
      <c r="N328" s="539"/>
    </row>
    <row r="329" spans="1:14" s="548" customFormat="1" x14ac:dyDescent="0.2">
      <c r="A329" s="1289" t="s">
        <v>1122</v>
      </c>
      <c r="B329" s="562" t="s">
        <v>1123</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711</v>
      </c>
      <c r="B330" s="1380" t="s">
        <v>564</v>
      </c>
      <c r="C330" s="1673">
        <f>SUM(C319:C329)</f>
        <v>0</v>
      </c>
      <c r="D330" s="1673">
        <f t="shared" ref="D330:J330" si="25">SUM(D319:D329)</f>
        <v>0</v>
      </c>
      <c r="E330" s="1673">
        <f t="shared" si="25"/>
        <v>312309</v>
      </c>
      <c r="F330" s="1673">
        <f t="shared" si="25"/>
        <v>0</v>
      </c>
      <c r="G330" s="1673">
        <f t="shared" si="25"/>
        <v>0</v>
      </c>
      <c r="H330" s="1673">
        <f t="shared" si="25"/>
        <v>0</v>
      </c>
      <c r="I330" s="1673">
        <f t="shared" si="25"/>
        <v>0</v>
      </c>
      <c r="J330" s="1673">
        <f t="shared" si="25"/>
        <v>0</v>
      </c>
      <c r="K330" s="1673">
        <f>SUM(K319:K329)</f>
        <v>312309</v>
      </c>
      <c r="L330" s="1673">
        <f>SUM(L319:L329)</f>
        <v>433184</v>
      </c>
      <c r="M330" s="539"/>
      <c r="N330" s="539"/>
    </row>
    <row r="331" spans="1:14" s="548" customFormat="1" ht="12.75" customHeight="1" thickTop="1" x14ac:dyDescent="0.2">
      <c r="A331" s="1466" t="s">
        <v>1820</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1814</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300</v>
      </c>
      <c r="B333" s="1462" t="s">
        <v>1816</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1821</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c r="I337" s="1683"/>
      <c r="J337" s="1683"/>
      <c r="K337" s="1671">
        <f>H337</f>
        <v>0</v>
      </c>
      <c r="L337" s="1582"/>
    </row>
    <row r="338" spans="1:14" ht="12.75" customHeight="1" x14ac:dyDescent="0.2">
      <c r="A338" s="1287" t="s">
        <v>1159</v>
      </c>
      <c r="B338" s="562" t="s">
        <v>612</v>
      </c>
      <c r="C338" s="1683"/>
      <c r="D338" s="1683"/>
      <c r="E338" s="1683"/>
      <c r="F338" s="1683"/>
      <c r="G338" s="1683"/>
      <c r="H338" s="1582"/>
      <c r="I338" s="1683"/>
      <c r="J338" s="1683"/>
      <c r="K338" s="1671">
        <f>H338</f>
        <v>0</v>
      </c>
      <c r="L338" s="1582"/>
    </row>
    <row r="339" spans="1:14" x14ac:dyDescent="0.2">
      <c r="A339" s="1273" t="s">
        <v>894</v>
      </c>
      <c r="B339" s="512">
        <v>5150</v>
      </c>
      <c r="C339" s="1683"/>
      <c r="D339" s="1683"/>
      <c r="E339" s="1683"/>
      <c r="F339" s="1683"/>
      <c r="G339" s="1683"/>
      <c r="H339" s="1573"/>
      <c r="I339" s="1683"/>
      <c r="J339" s="1683"/>
      <c r="K339" s="1671">
        <f>H339</f>
        <v>0</v>
      </c>
      <c r="L339" s="1573"/>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row>
    <row r="342" spans="1:14" ht="12.75" customHeight="1" thickTop="1" thickBot="1" x14ac:dyDescent="0.25">
      <c r="A342" s="1388" t="s">
        <v>501</v>
      </c>
      <c r="B342" s="1401"/>
      <c r="C342" s="1673">
        <f>SUM(C330)</f>
        <v>0</v>
      </c>
      <c r="D342" s="1673">
        <f>SUM(D330)</f>
        <v>0</v>
      </c>
      <c r="E342" s="1673">
        <f>SUM(E330)</f>
        <v>312309</v>
      </c>
      <c r="F342" s="1673">
        <f>SUM(F330)</f>
        <v>0</v>
      </c>
      <c r="G342" s="1673">
        <f>SUM(G330)</f>
        <v>0</v>
      </c>
      <c r="H342" s="1673">
        <f>SUM(H330,H334,H340)</f>
        <v>0</v>
      </c>
      <c r="I342" s="1673">
        <f>SUM(I330)</f>
        <v>0</v>
      </c>
      <c r="J342" s="1673">
        <f>SUM(J330)</f>
        <v>0</v>
      </c>
      <c r="K342" s="1673">
        <f>SUM(K330,K334,K340)</f>
        <v>312309</v>
      </c>
      <c r="L342" s="1680">
        <f>SUM(L330,L334,L340,L341)</f>
        <v>433184</v>
      </c>
    </row>
    <row r="343" spans="1:14" ht="12.75" customHeight="1" thickTop="1" x14ac:dyDescent="0.2">
      <c r="A343" s="2283" t="s">
        <v>988</v>
      </c>
      <c r="B343" s="2284"/>
      <c r="C343" s="1672"/>
      <c r="D343" s="1672"/>
      <c r="E343" s="1672"/>
      <c r="F343" s="1672"/>
      <c r="G343" s="1672"/>
      <c r="H343" s="1672"/>
      <c r="I343" s="1672"/>
      <c r="J343" s="1672"/>
      <c r="K343" s="1688">
        <f>'Revenues 9-14'!J268-'Expenditures 15-22'!K342</f>
        <v>242006</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3" t="s">
        <v>959</v>
      </c>
      <c r="B345" s="2274"/>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125000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713</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125000</v>
      </c>
    </row>
    <row r="351" spans="1:14" ht="12.75" customHeight="1" thickTop="1" x14ac:dyDescent="0.2">
      <c r="A351" s="1279" t="s">
        <v>972</v>
      </c>
      <c r="B351" s="521" t="s">
        <v>569</v>
      </c>
      <c r="C351" s="1585"/>
      <c r="D351" s="1585"/>
      <c r="E351" s="1585"/>
      <c r="F351" s="1585"/>
      <c r="G351" s="1585"/>
      <c r="H351" s="1585"/>
      <c r="I351" s="1582"/>
      <c r="J351" s="1582"/>
      <c r="K351" s="1714">
        <f>SUM(C351:J351)</f>
        <v>0</v>
      </c>
      <c r="L351" s="1585"/>
    </row>
    <row r="352" spans="1:14" ht="12.75" customHeight="1" thickBot="1" x14ac:dyDescent="0.25">
      <c r="A352" s="1379" t="s">
        <v>619</v>
      </c>
      <c r="B352" s="1382"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125000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row>
    <row r="355" spans="1:14" ht="12.75" customHeight="1" x14ac:dyDescent="0.2">
      <c r="A355" s="1282" t="s">
        <v>1823</v>
      </c>
      <c r="B355" s="562" t="s">
        <v>1816</v>
      </c>
      <c r="C355" s="1672"/>
      <c r="D355" s="1672"/>
      <c r="E355" s="1672"/>
      <c r="F355" s="1672"/>
      <c r="G355" s="1672"/>
      <c r="H355" s="1573"/>
      <c r="I355" s="1715"/>
      <c r="J355" s="1672"/>
      <c r="K355" s="1606">
        <f>H355</f>
        <v>0</v>
      </c>
      <c r="L355" s="1573"/>
    </row>
    <row r="356" spans="1:14" ht="12.75" customHeight="1" x14ac:dyDescent="0.2">
      <c r="A356" s="1468" t="s">
        <v>692</v>
      </c>
      <c r="B356" s="557" t="s">
        <v>553</v>
      </c>
      <c r="C356" s="1672"/>
      <c r="D356" s="1672"/>
      <c r="E356" s="1672"/>
      <c r="F356" s="1672"/>
      <c r="G356" s="1672"/>
      <c r="H356" s="1583"/>
      <c r="I356" s="1715"/>
      <c r="J356" s="1672"/>
      <c r="K356" s="1599">
        <f>H356</f>
        <v>0</v>
      </c>
      <c r="L356" s="1583"/>
    </row>
    <row r="357" spans="1:14" ht="12.75" customHeight="1" thickBot="1" x14ac:dyDescent="0.25">
      <c r="A357" s="1379" t="s">
        <v>1469</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614</v>
      </c>
      <c r="B361" s="494" t="s">
        <v>613</v>
      </c>
      <c r="C361" s="1672"/>
      <c r="D361" s="1672"/>
      <c r="E361" s="1672"/>
      <c r="F361" s="1672"/>
      <c r="G361" s="1672"/>
      <c r="H361" s="1573"/>
      <c r="I361" s="1672"/>
      <c r="J361" s="1672"/>
      <c r="K361" s="1671">
        <f>SUM(C361:J361)</f>
        <v>0</v>
      </c>
      <c r="L361" s="1572"/>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1652</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c r="M366" s="501"/>
      <c r="N366" s="501"/>
    </row>
    <row r="367" spans="1:14" ht="12.75" customHeight="1" thickTop="1" thickBot="1" x14ac:dyDescent="0.25">
      <c r="A367" s="1393" t="s">
        <v>501</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125000</v>
      </c>
    </row>
    <row r="368" spans="1:14" ht="13.5" thickTop="1" x14ac:dyDescent="0.2">
      <c r="A368" s="2270" t="s">
        <v>988</v>
      </c>
      <c r="B368" s="2271"/>
      <c r="C368" s="1693"/>
      <c r="D368" s="1693"/>
      <c r="E368" s="1676"/>
      <c r="F368" s="1676"/>
      <c r="G368" s="1676"/>
      <c r="H368" s="1676"/>
      <c r="I368" s="1676"/>
      <c r="J368" s="1675"/>
      <c r="K368" s="1671">
        <f>'Revenues 9-14'!K268-'Expenditures 15-22'!K367</f>
        <v>122655</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7" manualBreakCount="7">
    <brk id="53" max="16383" man="1"/>
    <brk id="102"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4d435f69-8686-490b-bd6d-b153bf22ab50"/>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sharepoint/v3"/>
    <ds:schemaRef ds:uri="6ce3111e-7420-4802-b50a-75d4e9a0b980"/>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Sec-2(1)</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2020-12-31T17:24:02Z</cp:lastPrinted>
  <dcterms:created xsi:type="dcterms:W3CDTF">2003-10-29T19:06:34Z</dcterms:created>
  <dcterms:modified xsi:type="dcterms:W3CDTF">2021-04-27T17:57:05Z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