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1243791-6171-4619-B159-D83EF0A098FC}" xr6:coauthVersionLast="36" xr6:coauthVersionMax="36" xr10:uidLastSave="{00000000-0000-0000-0000-000000000000}"/>
  <bookViews>
    <workbookView xWindow="2868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SEFA'!$B$1:$M$67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L41" i="179"/>
  <c r="K41" i="179"/>
  <c r="J41" i="179"/>
  <c r="I41" i="179"/>
  <c r="H41" i="179"/>
  <c r="G41" i="179"/>
  <c r="F41" i="179"/>
  <c r="E41" i="179"/>
  <c r="L23" i="179"/>
  <c r="K23" i="179"/>
  <c r="J23" i="179"/>
  <c r="I23" i="179"/>
  <c r="H23" i="179"/>
  <c r="G23" i="179"/>
  <c r="F23" i="179"/>
  <c r="E23" i="179"/>
  <c r="L34" i="179" l="1"/>
  <c r="L28" i="179"/>
  <c r="I16" i="179"/>
  <c r="I14" i="179" l="1"/>
  <c r="F32" i="179"/>
  <c r="F16" i="179" l="1"/>
  <c r="K47" i="179"/>
  <c r="I47" i="179"/>
  <c r="H47" i="179"/>
  <c r="G47" i="179"/>
  <c r="F47" i="179"/>
  <c r="E47" i="179"/>
  <c r="K42" i="179"/>
  <c r="J42" i="179"/>
  <c r="J48" i="179" s="1"/>
  <c r="I42" i="179"/>
  <c r="H42" i="179"/>
  <c r="G42" i="179"/>
  <c r="F42" i="179"/>
  <c r="E42" i="179"/>
  <c r="I22" i="179"/>
  <c r="G22" i="179"/>
  <c r="F22" i="179"/>
  <c r="E22" i="179"/>
  <c r="L33" i="179"/>
  <c r="L32" i="179"/>
  <c r="F33" i="179"/>
  <c r="I33" i="179"/>
  <c r="F30" i="179"/>
  <c r="F31" i="179"/>
  <c r="F28" i="179"/>
  <c r="F29" i="179"/>
  <c r="F26" i="179"/>
  <c r="F27" i="179"/>
  <c r="I27" i="179"/>
  <c r="H48" i="179" l="1"/>
  <c r="K48" i="179"/>
  <c r="G48" i="179"/>
  <c r="E48" i="179"/>
  <c r="I48" i="179"/>
  <c r="F48" i="179"/>
  <c r="D35" i="171" s="1"/>
  <c r="F17" i="179"/>
  <c r="I15" i="179"/>
  <c r="F14" i="179"/>
  <c r="F15" i="179"/>
  <c r="L46" i="179" l="1"/>
  <c r="L27" i="179"/>
  <c r="L26" i="179"/>
  <c r="L21" i="179"/>
  <c r="L20" i="179"/>
  <c r="L19" i="179"/>
  <c r="L18" i="179"/>
  <c r="L17" i="179"/>
  <c r="L16" i="179"/>
  <c r="L15" i="179"/>
  <c r="L14" i="179"/>
  <c r="L29" i="179"/>
  <c r="L22" i="179" l="1"/>
  <c r="M19" i="3"/>
  <c r="J7" i="184" l="1"/>
  <c r="J6" i="184"/>
  <c r="E6" i="7" l="1"/>
  <c r="M68" i="184" l="1"/>
  <c r="L68" i="184"/>
  <c r="K68" i="184"/>
  <c r="G16" i="184" s="1"/>
  <c r="J68" i="184"/>
  <c r="I68" i="184"/>
  <c r="H68" i="184"/>
  <c r="G68" i="184"/>
  <c r="L53" i="184"/>
  <c r="K19" i="184"/>
  <c r="J19" i="184"/>
  <c r="I19" i="184"/>
  <c r="L18" i="184"/>
  <c r="H18" i="184"/>
  <c r="L17" i="184"/>
  <c r="G17" i="184"/>
  <c r="L16" i="184"/>
  <c r="L15" i="184"/>
  <c r="G15" i="184"/>
  <c r="L14" i="184"/>
  <c r="G14" i="184"/>
  <c r="L13" i="184"/>
  <c r="G13" i="184"/>
  <c r="L12" i="184"/>
  <c r="G12" i="184"/>
  <c r="G19" i="184" s="1"/>
  <c r="L52" i="184"/>
  <c r="L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45" i="179" l="1"/>
  <c r="L47" i="179" s="1"/>
  <c r="L40" i="179"/>
  <c r="L39" i="179"/>
  <c r="L38" i="179"/>
  <c r="L37" i="179"/>
  <c r="L36" i="179"/>
  <c r="L31" i="179"/>
  <c r="L30" i="179"/>
  <c r="L42" i="179" l="1"/>
  <c r="L48"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F70" i="34" l="1"/>
  <c r="B2805" i="106"/>
  <c r="D2805" i="106" s="1"/>
  <c r="H12" i="184"/>
  <c r="B7171" i="106"/>
  <c r="D7171" i="106" s="1"/>
  <c r="E62" i="184"/>
  <c r="N62" i="184" s="1"/>
  <c r="B7135" i="106"/>
  <c r="D7135" i="106" s="1"/>
  <c r="E58" i="184"/>
  <c r="N58" i="184" s="1"/>
  <c r="B7189" i="106"/>
  <c r="D7189" i="106" s="1"/>
  <c r="E64" i="184"/>
  <c r="N64" i="184" s="1"/>
  <c r="B7153" i="106"/>
  <c r="D7153" i="106" s="1"/>
  <c r="E60" i="184"/>
  <c r="N60" i="184" s="1"/>
  <c r="E13" i="145"/>
  <c r="G13" i="145" s="1"/>
  <c r="E13" i="184"/>
  <c r="H13" i="184" s="1"/>
  <c r="G33" i="108"/>
  <c r="E17" i="184"/>
  <c r="H17" i="184" s="1"/>
  <c r="B7705" i="106"/>
  <c r="D7705" i="106" s="1"/>
  <c r="E67" i="184"/>
  <c r="N67" i="184" s="1"/>
  <c r="B7180" i="106"/>
  <c r="D7180" i="106" s="1"/>
  <c r="E63" i="184"/>
  <c r="N63" i="184" s="1"/>
  <c r="E14" i="145"/>
  <c r="G14" i="145" s="1"/>
  <c r="E14" i="184"/>
  <c r="H14" i="184" s="1"/>
  <c r="F15" i="145"/>
  <c r="F19" i="145" s="1"/>
  <c r="F15" i="184"/>
  <c r="F19" i="184" s="1"/>
  <c r="B7696" i="106"/>
  <c r="D7696" i="106" s="1"/>
  <c r="E66" i="184"/>
  <c r="N66" i="184" s="1"/>
  <c r="E15" i="145"/>
  <c r="G15" i="145" s="1"/>
  <c r="E15" i="184"/>
  <c r="H15" i="184" s="1"/>
  <c r="B7198" i="106"/>
  <c r="D7198" i="106" s="1"/>
  <c r="E65" i="184"/>
  <c r="N65" i="184" s="1"/>
  <c r="B7162" i="106"/>
  <c r="D7162" i="106" s="1"/>
  <c r="E61" i="184"/>
  <c r="N61" i="184" s="1"/>
  <c r="B7126" i="106"/>
  <c r="D7126" i="106" s="1"/>
  <c r="E57" i="184"/>
  <c r="D31" i="108"/>
  <c r="E16" i="184"/>
  <c r="H16" i="184" s="1"/>
  <c r="D69" i="36"/>
  <c r="G14" i="4"/>
  <c r="B2609" i="106" s="1"/>
  <c r="D2609" i="106" s="1"/>
  <c r="F37" i="34"/>
  <c r="B7829" i="106" s="1"/>
  <c r="D7829" i="106" s="1"/>
  <c r="B7074" i="106"/>
  <c r="D7074" i="106" s="1"/>
  <c r="B2836" i="106"/>
  <c r="D2836" i="106" s="1"/>
  <c r="B7047" i="106"/>
  <c r="D7047"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E19" i="184" l="1"/>
  <c r="H19" i="184"/>
  <c r="L20" i="184" s="1"/>
  <c r="E68" i="184"/>
  <c r="N57" i="184"/>
  <c r="N68" i="184" s="1"/>
  <c r="L114" i="29"/>
  <c r="L16" i="11"/>
  <c r="B2061" i="106" s="1"/>
  <c r="D2061" i="106" s="1"/>
  <c r="N23" i="3"/>
  <c r="B284" i="106" s="1"/>
  <c r="D284" i="106" s="1"/>
  <c r="B1381" i="106"/>
  <c r="D1381" i="106" s="1"/>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<sst xmlns="http://schemas.openxmlformats.org/spreadsheetml/2006/main" count="5304" uniqueCount="2142">
  <si>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</si>
  <si>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</si>
  <si>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</si>
  <si>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</si>
  <si>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</si>
  <si>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</si>
  <si>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</si>
  <si>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</si>
  <si>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</si>
  <si>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</si>
  <si>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</si>
  <si>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</si>
  <si>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</si>
  <si>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</si>
  <si>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</si>
  <si>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</si>
  <si>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</si>
  <si>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</si>
  <si>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</si>
  <si>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</si>
  <si>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</si>
  <si>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</si>
  <si>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</si>
  <si>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</si>
  <si>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</si>
  <si>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</si>
  <si>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</si>
  <si>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</si>
  <si>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</si>
  <si>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</si>
  <si>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</si>
  <si>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</si>
  <si>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</si>
  <si>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</si>
  <si>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</si>
  <si>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</si>
  <si>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</si>
  <si>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</si>
  <si>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</si>
  <si>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</si>
  <si>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</si>
  <si>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</si>
  <si>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</si>
  <si>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</si>
  <si>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</si>
  <si>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</si>
  <si>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</si>
  <si>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</si>
  <si>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</si>
  <si>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</si>
  <si>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</si>
  <si>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</si>
  <si>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</si>
  <si>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</si>
  <si>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</si>
  <si>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</si>
  <si>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</si>
  <si>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</si>
  <si>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</si>
  <si>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</si>
  <si>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</si>
  <si>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</si>
  <si>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</si>
  <si>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</si>
  <si>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</si>
  <si>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</si>
  <si>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</si>
  <si>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</si>
  <si>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</si>
  <si>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</si>
  <si>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</si>
  <si>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</si>
  <si>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</si>
  <si>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</si>
  <si>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</si>
  <si>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</si>
  <si>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</si>
  <si>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</si>
  <si>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</si>
  <si>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</si>
  <si>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</si>
  <si>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</si>
  <si>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</si>
  <si>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</si>
  <si>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</si>
  <si>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</si>
  <si>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</si>
  <si>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</si>
  <si>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</si>
  <si>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</si>
  <si>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</si>
  <si>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</si>
  <si>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</si>
  <si>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</si>
  <si>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</si>
  <si>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</si>
  <si>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</si>
  <si>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</si>
  <si>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</si>
  <si>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</si>
  <si>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</si>
  <si>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</si>
  <si>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</si>
  <si>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</si>
  <si>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</si>
  <si>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</si>
  <si>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</si>
  <si>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</si>
  <si>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</si>
  <si>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</si>
  <si>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</si>
  <si>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</si>
  <si>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</si>
  <si>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</si>
  <si>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</si>
  <si>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</si>
  <si>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</si>
  <si>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</si>
  <si>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</si>
  <si>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</si>
  <si>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</si>
  <si>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</si>
  <si>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</si>
  <si>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</si>
  <si>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</si>
  <si>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</si>
  <si>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</si>
  <si>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</si>
  <si>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</si>
  <si>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</si>
  <si>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</si>
  <si>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</si>
  <si>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</si>
  <si>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</si>
  <si>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</si>
  <si>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</si>
  <si>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</si>
  <si>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</si>
  <si>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</si>
  <si>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</si>
  <si>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</si>
  <si>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</si>
  <si>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</si>
  <si>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</si>
  <si>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</si>
  <si>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</si>
  <si>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</si>
  <si>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</si>
  <si>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</si>
  <si>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</si>
  <si>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</si>
  <si>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</si>
  <si>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</si>
  <si>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</si>
  <si>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</si>
  <si>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</si>
  <si>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</si>
  <si>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</si>
  <si>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</si>
  <si>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</si>
  <si>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</si>
  <si>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</si>
  <si>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</si>
  <si>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</si>
  <si>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</si>
  <si>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</si>
  <si>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</si>
  <si>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</si>
  <si>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</si>
  <si>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</si>
  <si>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</si>
  <si>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</si>
  <si>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</si>
  <si>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</si>
  <si>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</si>
  <si>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</si>
  <si>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</si>
  <si>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</si>
  <si>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</si>
  <si>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</si>
  <si>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</si>
  <si>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</si>
  <si>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</si>
  <si>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</si>
  <si>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</si>
  <si>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</si>
  <si>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</si>
  <si>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</si>
  <si>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</si>
  <si>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</si>
  <si>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</si>
  <si>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</si>
  <si>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</si>
  <si>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</si>
  <si>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</si>
  <si>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</si>
  <si>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</si>
  <si>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</si>
  <si>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</si>
  <si>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</si>
  <si>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</si>
  <si>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</si>
  <si>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</si>
  <si>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</si>
  <si>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</si>
  <si>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</si>
  <si>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</si>
  <si>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</si>
  <si>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</si>
  <si>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</si>
  <si>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</si>
  <si>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</si>
  <si>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</si>
  <si>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</si>
  <si>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</si>
  <si>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</si>
  <si>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</si>
  <si>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</si>
  <si>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</si>
  <si>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</si>
  <si>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</si>
  <si>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</si>
  <si>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</si>
  <si>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</si>
  <si>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</si>
  <si>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</si>
  <si>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</si>
  <si>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</si>
  <si>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</si>
  <si>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</si>
  <si>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</si>
  <si>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</si>
  <si>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</si>
  <si>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</si>
  <si>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</si>
  <si>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</si>
  <si>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</si>
  <si>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</si>
  <si>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</si>
  <si>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</si>
  <si>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</si>
  <si>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</si>
  <si>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</si>
  <si>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</si>
  <si>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</si>
  <si>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</si>
  <si>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</si>
  <si>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</si>
  <si>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</si>
  <si>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</si>
  <si>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</si>
  <si>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</si>
  <si>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</si>
  <si>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</si>
  <si>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</si>
  <si>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</si>
  <si>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</si>
  <si>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</si>
  <si>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</si>
  <si>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</si>
  <si>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</si>
  <si>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</si>
  <si>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</si>
  <si>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</si>
  <si>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</si>
  <si>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</si>
  <si>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</si>
  <si>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</si>
  <si>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</si>
  <si>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</si>
  <si>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</si>
  <si>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</si>
  <si>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</si>
  <si>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</si>
  <si>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</si>
  <si>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</si>
  <si>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</si>
  <si>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</si>
  <si>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</si>
  <si>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</si>
  <si>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</si>
  <si>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</si>
  <si>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</si>
  <si>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</si>
  <si>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</si>
  <si>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</si>
  <si>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</si>
  <si>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</si>
  <si>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</si>
  <si>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</si>
  <si>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</si>
  <si>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</si>
  <si>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</si>
  <si>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</si>
  <si>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</si>
  <si>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</si>
  <si>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</si>
  <si>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</si>
  <si>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</si>
  <si>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</si>
  <si>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</si>
  <si>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</si>
  <si>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</si>
  <si>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</si>
  <si>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</si>
  <si>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</si>
  <si>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</si>
  <si>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</si>
  <si>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</si>
  <si>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</si>
  <si>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</si>
  <si>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</si>
  <si>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</si>
  <si>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</si>
  <si>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</si>
  <si>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</si>
  <si>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</si>
  <si>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</si>
  <si>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</si>
  <si>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</si>
  <si>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</si>
  <si>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</si>
  <si>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</si>
  <si>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</si>
  <si>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</si>
  <si>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</si>
  <si>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</si>
  <si>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</si>
  <si>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</si>
  <si>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</si>
  <si>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</si>
  <si>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</si>
  <si>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</si>
  <si>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</si>
  <si>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</si>
  <si>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</si>
  <si>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</si>
  <si>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</si>
  <si>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</si>
  <si>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</si>
  <si>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</si>
  <si>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</si>
  <si>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</si>
  <si>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</si>
  <si>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</si>
  <si>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</si>
  <si>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</si>
  <si>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</si>
  <si>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</si>
  <si>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</si>
  <si>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</si>
  <si>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</si>
  <si>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</si>
  <si>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</si>
  <si>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</si>
  <si>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</si>
  <si>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</si>
  <si>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</si>
  <si>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</si>
  <si>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</si>
  <si>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</si>
  <si>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</si>
  <si>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</si>
  <si>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</si>
  <si>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</si>
  <si>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</si>
  <si>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</si>
  <si>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</si>
  <si>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</si>
  <si>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</si>
  <si>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</si>
  <si>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</si>
  <si>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</si>
  <si>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</si>
  <si>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</si>
  <si>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</si>
  <si>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</si>
  <si>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</si>
  <si>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</si>
  <si>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</si>
  <si>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</si>
  <si>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</si>
  <si>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</si>
  <si>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</si>
  <si>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</si>
  <si>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</si>
  <si>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</si>
  <si>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</si>
  <si>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</si>
  <si>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</si>
  <si>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</si>
  <si>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</si>
  <si>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</si>
  <si>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</si>
  <si>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</si>
  <si>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</si>
  <si>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</si>
  <si>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</si>
  <si>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</si>
  <si>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</si>
  <si>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</si>
  <si>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</si>
  <si>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</si>
  <si>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</si>
  <si>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</si>
  <si>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</si>
  <si>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</si>
  <si>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</si>
  <si>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</si>
  <si>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</si>
  <si>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</si>
  <si>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</si>
  <si>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</si>
  <si>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</si>
  <si>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</si>
  <si>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</si>
  <si>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</si>
  <si>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</si>
  <si>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</si>
  <si>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</si>
  <si>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</si>
  <si>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</si>
  <si>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</si>
  <si>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</si>
  <si>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</si>
  <si>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</si>
  <si>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</si>
  <si>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</si>
  <si>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</si>
  <si>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</si>
  <si>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</si>
  <si>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</si>
  <si>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</si>
  <si>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</si>
  <si>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</si>
  <si>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</si>
  <si>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</si>
  <si>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</si>
  <si>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</si>
  <si>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</si>
  <si>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</si>
  <si>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</si>
  <si>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</si>
  <si>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</si>
  <si>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</si>
  <si>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</si>
  <si>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</si>
  <si>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</si>
  <si>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</si>
  <si>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</si>
  <si>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</si>
  <si>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</si>
  <si>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</si>
  <si>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</si>
  <si>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</si>
  <si>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</si>
  <si>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</si>
  <si>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</si>
  <si>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</si>
  <si>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</si>
  <si>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</si>
  <si>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</si>
  <si>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</si>
  <si>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</si>
  <si>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</si>
  <si>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</si>
  <si>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</si>
  <si>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</si>
  <si>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</si>
  <si>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</si>
  <si>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</si>
  <si>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</si>
  <si>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</si>
  <si>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</si>
  <si>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</si>
  <si>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</si>
  <si>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</si>
  <si>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</si>
  <si>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</si>
  <si>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</si>
  <si>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</si>
  <si>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</si>
  <si>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</si>
  <si>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</si>
  <si>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</si>
  <si>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</si>
  <si>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</si>
  <si>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</si>
  <si>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</si>
  <si>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</si>
  <si>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</si>
  <si>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</si>
  <si>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</si>
  <si>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</si>
  <si>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</si>
  <si>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</si>
  <si>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</si>
  <si>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</si>
  <si>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</si>
  <si>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</si>
  <si>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</si>
  <si>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</si>
  <si>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</si>
  <si>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</si>
  <si>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</si>
  <si>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</si>
  <si>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</si>
  <si>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</si>
  <si>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</si>
  <si>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</si>
  <si>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</si>
  <si>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</si>
  <si>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</si>
  <si>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</si>
  <si>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</si>
  <si>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</si>
  <si>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</si>
  <si>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</si>
  <si>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</si>
  <si>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</si>
  <si>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</si>
  <si>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</si>
  <si>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</si>
  <si>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</si>
  <si>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</si>
  <si>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</si>
  <si>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</si>
  <si>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</si>
  <si>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</si>
  <si>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</si>
  <si>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</si>
  <si>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</si>
  <si>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</si>
  <si>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</si>
  <si>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</si>
  <si>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</si>
  <si>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</si>
  <si>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</si>
  <si>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</si>
  <si>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</si>
  <si>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</si>
  <si>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</si>
  <si>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</si>
  <si>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</si>
  <si>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</si>
  <si>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</si>
  <si>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</si>
  <si>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</si>
  <si>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</si>
  <si>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</si>
  <si>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</si>
  <si>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</si>
  <si>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</si>
  <si>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</si>
  <si>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</si>
  <si>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</si>
  <si>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</si>
  <si>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</si>
  <si>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</si>
  <si>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</si>
  <si>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</si>
  <si>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</si>
  <si>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</si>
  <si>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</si>
  <si>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</si>
  <si>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</si>
  <si>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</si>
  <si>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</si>
  <si>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</si>
  <si>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</si>
  <si>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</si>
  <si>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</si>
  <si>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</si>
  <si>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</si>
  <si>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</si>
  <si>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</si>
  <si>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</si>
  <si>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</si>
  <si>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</si>
  <si>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</si>
  <si>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</si>
  <si>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</si>
  <si>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</si>
  <si>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</si>
  <si>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</si>
  <si>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</si>
  <si>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</si>
  <si>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</si>
  <si>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</si>
  <si>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</si>
  <si>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</si>
  <si>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</si>
  <si>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</si>
  <si>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</si>
  <si>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</si>
  <si>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</si>
  <si>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</si>
  <si>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</si>
  <si>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</si>
  <si>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</si>
  <si>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</si>
  <si>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</si>
  <si>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</si>
  <si>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</si>
  <si>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</si>
  <si>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</si>
  <si>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</si>
  <si>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</si>
  <si>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</si>
  <si>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</si>
  <si>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</si>
  <si>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</si>
  <si>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</si>
  <si>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</si>
  <si>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</si>
  <si>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</si>
  <si>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</si>
  <si>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</si>
  <si>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</si>
  <si>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</si>
  <si>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</si>
  <si>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</si>
  <si>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</si>
  <si>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</si>
  <si>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</si>
  <si>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</si>
  <si>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</si>
  <si>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</si>
  <si>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</si>
  <si>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</si>
  <si>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</si>
  <si>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</si>
  <si>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</si>
  <si>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</si>
  <si>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</si>
  <si>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</si>
  <si>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</si>
  <si>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</si>
  <si>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</si>
  <si>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</si>
  <si>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</si>
  <si>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</si>
  <si>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</si>
  <si>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</si>
  <si>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</si>
  <si>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</si>
  <si>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</si>
  <si>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</si>
  <si>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</si>
  <si>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</si>
  <si>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</si>
  <si>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</si>
  <si>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</si>
  <si>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</si>
  <si>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</si>
  <si>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</si>
  <si>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</si>
  <si>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</si>
  <si>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</si>
  <si>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</si>
  <si>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</si>
  <si>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</si>
  <si>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</si>
  <si>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</si>
  <si>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</si>
  <si>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</si>
  <si>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</si>
  <si>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</si>
  <si>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</si>
  <si>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</si>
  <si>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</si>
  <si>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</si>
  <si>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</si>
  <si>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</si>
  <si>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</si>
  <si>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</si>
  <si>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</si>
  <si>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</si>
  <si>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</si>
  <si>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</si>
  <si>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</si>
  <si>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</si>
  <si>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</si>
  <si>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</si>
  <si>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</si>
  <si>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</si>
  <si>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</si>
  <si>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</si>
  <si>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</si>
  <si>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</si>
  <si>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</si>
  <si>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</si>
  <si>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</si>
  <si>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</si>
  <si>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</si>
  <si>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</si>
  <si>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</si>
  <si>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</si>
  <si>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</si>
  <si>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</si>
  <si>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</si>
  <si>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</si>
  <si>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</si>
  <si>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</si>
  <si>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</si>
  <si>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</si>
  <si>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</si>
  <si>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</si>
  <si>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</si>
  <si>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</si>
  <si>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</si>
  <si>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</si>
  <si>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</si>
  <si>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</si>
  <si>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</si>
  <si>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</si>
  <si>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</si>
  <si>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</si>
  <si>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</si>
  <si>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</si>
  <si>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</si>
  <si>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</si>
  <si>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</si>
  <si>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</si>
  <si>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</si>
  <si>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</si>
  <si>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</si>
  <si>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</si>
  <si>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</si>
  <si>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</si>
  <si>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</si>
  <si>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</si>
  <si>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</si>
  <si>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</si>
  <si>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</si>
  <si>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</si>
  <si>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</si>
  <si>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</si>
  <si>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</si>
  <si>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</si>
  <si>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</si>
  <si>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</si>
  <si>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</si>
  <si>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</si>
  <si>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</si>
  <si>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</si>
  <si>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</si>
  <si>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</si>
  <si>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</si>
  <si>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</si>
  <si>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</si>
  <si>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</si>
  <si>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</si>
  <si>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</si>
  <si>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</si>
  <si>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</si>
  <si>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</si>
  <si>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</si>
  <si>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</si>
  <si>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</si>
  <si>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</si>
  <si>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</si>
  <si>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</si>
  <si>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</si>
  <si>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</si>
  <si>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</si>
  <si>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</si>
  <si>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</si>
  <si>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</si>
  <si>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</si>
  <si>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</si>
  <si>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</si>
  <si>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</si>
  <si>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</si>
  <si>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</si>
  <si>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</si>
  <si>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</si>
  <si>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</si>
  <si>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</si>
  <si>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</si>
  <si>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</si>
  <si>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</si>
  <si>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</si>
  <si>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</si>
  <si>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</si>
  <si>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</si>
  <si>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</si>
  <si>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</si>
  <si>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</si>
  <si>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</si>
  <si>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</si>
  <si>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</si>
  <si>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</si>
  <si>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</si>
  <si>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</si>
  <si>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</si>
  <si>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</si>
  <si>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</si>
  <si>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</si>
  <si>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</si>
  <si>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</si>
  <si>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</si>
  <si>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</si>
  <si>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</si>
  <si>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</si>
  <si>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</si>
  <si>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</si>
  <si>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</si>
  <si>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</si>
  <si>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</si>
  <si>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</si>
  <si>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</si>
  <si>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</si>
  <si>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</si>
  <si>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</si>
  <si>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</si>
  <si>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</si>
  <si>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</si>
  <si>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</si>
  <si>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</si>
  <si>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</si>
  <si>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</si>
  <si>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</si>
  <si>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</si>
  <si>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</si>
  <si>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</si>
  <si>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</si>
  <si>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</si>
  <si>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</si>
  <si>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</si>
  <si>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</si>
  <si>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</si>
  <si>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</si>
  <si>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</si>
  <si>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</si>
  <si>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</si>
  <si>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</si>
  <si>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</si>
  <si>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</si>
  <si>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</si>
  <si>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</si>
  <si>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</si>
  <si>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</si>
  <si>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</si>
  <si>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</si>
  <si>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</si>
  <si>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</si>
  <si>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</si>
  <si>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</si>
  <si>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</si>
  <si>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</si>
  <si>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</si>
  <si>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</si>
  <si>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</si>
  <si>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</si>
  <si>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</si>
  <si>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</si>
  <si>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</si>
  <si>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</si>
  <si>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</si>
  <si>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</si>
  <si>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</si>
  <si>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</si>
  <si>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</si>
  <si>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</si>
  <si>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</si>
  <si>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</si>
  <si>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</si>
  <si>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</si>
  <si>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</si>
  <si>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</si>
  <si>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</si>
  <si>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</si>
  <si>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</si>
  <si>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</si>
  <si>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</si>
  <si>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</si>
  <si>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</si>
  <si>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</si>
  <si>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</si>
  <si>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</si>
  <si>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</si>
  <si>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</si>
  <si>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</si>
  <si>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</si>
  <si>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</si>
  <si>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</si>
  <si>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</si>
  <si>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</si>
  <si>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</si>
  <si>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</si>
  <si>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</si>
  <si>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</si>
  <si>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</si>
  <si>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</si>
  <si>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</si>
  <si>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</si>
  <si>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</si>
  <si>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</si>
  <si>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</si>
  <si>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</si>
  <si>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</si>
  <si>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</si>
  <si>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</si>
  <si>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</si>
  <si>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</si>
  <si>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</si>
  <si>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</si>
  <si>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</si>
  <si>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</si>
  <si>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</si>
  <si>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</si>
  <si>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</si>
  <si>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</si>
  <si>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</si>
  <si>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</si>
  <si>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</si>
  <si>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</si>
  <si>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</si>
  <si>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</si>
  <si>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</si>
  <si>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</si>
  <si>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</si>
  <si>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</si>
  <si>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</si>
  <si>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</si>
  <si>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</si>
  <si>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</si>
  <si>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</si>
  <si>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</si>
  <si>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</si>
  <si>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</si>
  <si>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</si>
  <si>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</si>
  <si>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</si>
  <si>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</si>
  <si>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</si>
  <si>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</si>
  <si>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</si>
  <si>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</si>
  <si>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</si>
  <si>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</si>
  <si>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</si>
  <si>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</si>
  <si>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</si>
  <si>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</si>
  <si>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</si>
  <si>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</si>
  <si>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</si>
  <si>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</si>
  <si>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</si>
  <si>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</si>
  <si>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</si>
  <si>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</si>
  <si>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</si>
  <si>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</si>
  <si>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</si>
  <si>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</si>
  <si>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</si>
  <si>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</si>
  <si>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</si>
  <si>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</si>
  <si>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</si>
  <si>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</si>
  <si>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</si>
  <si>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</si>
  <si>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</si>
  <si>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</si>
  <si>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</si>
  <si>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</si>
  <si>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</si>
  <si>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</si>
  <si>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</si>
  <si>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</si>
  <si>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</si>
  <si>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</si>
  <si>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</si>
  <si>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</si>
  <si>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</si>
  <si>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</si>
  <si>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</si>
  <si>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</si>
  <si>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</si>
  <si>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</si>
  <si>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</si>
  <si>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</si>
  <si>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</si>
  <si>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</si>
  <si>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</si>
  <si>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</si>
  <si>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</si>
  <si>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</si>
  <si>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</si>
  <si>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</si>
  <si>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</si>
  <si>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</si>
  <si>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</si>
  <si>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</si>
  <si>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</si>
  <si>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</si>
  <si>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</si>
  <si>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</si>
  <si>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</si>
  <si>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</si>
  <si>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</si>
  <si>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</si>
  <si>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</si>
  <si>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</si>
  <si>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</si>
  <si>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</si>
  <si>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</si>
  <si>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</si>
  <si>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</si>
  <si>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</si>
  <si>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</si>
  <si>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</si>
  <si>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</si>
  <si>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</si>
  <si>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</si>
  <si>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</si>
  <si>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</si>
  <si>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</si>
  <si>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</si>
  <si>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</si>
  <si>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</si>
  <si>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</si>
  <si>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</si>
  <si>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</si>
  <si>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</si>
  <si>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</si>
  <si>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</si>
  <si>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</si>
  <si>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</si>
  <si>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</si>
  <si>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</si>
  <si>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</si>
  <si>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</si>
  <si>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</si>
  <si>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</si>
  <si>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</si>
  <si>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</si>
  <si>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</si>
  <si>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</si>
  <si>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</si>
  <si>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</si>
  <si>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</si>
  <si>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</si>
  <si>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</si>
  <si>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</si>
  <si>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</si>
  <si>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</si>
  <si>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</si>
  <si>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</si>
  <si>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</si>
  <si>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</si>
  <si>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</si>
  <si>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</si>
  <si>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</si>
  <si>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</si>
  <si>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</si>
  <si>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</si>
  <si>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</si>
  <si>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</si>
  <si>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</si>
  <si>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</si>
  <si>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</si>
  <si>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</si>
  <si>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</si>
  <si>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</si>
  <si>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</si>
  <si>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</si>
  <si>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</si>
  <si>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</si>
  <si>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</si>
  <si>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</si>
  <si>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</si>
  <si>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</si>
  <si>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</si>
  <si>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</si>
  <si>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</si>
  <si>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</si>
  <si>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</si>
  <si>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</si>
  <si>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</si>
  <si>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</si>
  <si>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</si>
  <si>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</si>
  <si>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</si>
  <si>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</si>
  <si>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</si>
  <si>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</si>
  <si>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</si>
  <si>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</si>
  <si>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</si>
  <si>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</si>
  <si>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</si>
  <si>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</si>
  <si>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</si>
  <si>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</si>
  <si>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</si>
  <si>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</si>
  <si>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</si>
  <si>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</si>
  <si>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</si>
  <si>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</si>
  <si>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</si>
  <si>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</si>
  <si>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</si>
  <si>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</si>
  <si>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</si>
  <si>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</si>
  <si>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</si>
  <si>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</si>
  <si>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</si>
  <si>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</si>
  <si>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</si>
  <si>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</si>
  <si>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</si>
  <si>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</si>
  <si>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</si>
  <si>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</si>
  <si>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</si>
  <si>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</si>
  <si>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</si>
  <si>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</si>
  <si>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</si>
  <si>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</si>
  <si>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</si>
  <si>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</si>
  <si>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</si>
  <si>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</si>
  <si>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</si>
  <si>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</si>
  <si>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</si>
  <si>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</si>
  <si>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</si>
  <si>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</si>
  <si>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</si>
  <si>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</si>
  <si>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</si>
  <si>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</si>
  <si>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</si>
  <si>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</si>
  <si>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</si>
  <si>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</si>
  <si>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</si>
  <si>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</si>
  <si>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</si>
  <si>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</si>
  <si>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</si>
  <si>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</si>
  <si>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</si>
  <si>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</si>
  <si>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</si>
  <si>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</si>
  <si>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</si>
  <si>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</si>
  <si>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</si>
  <si>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</si>
  <si>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</si>
  <si>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</si>
  <si>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</si>
  <si>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</si>
  <si>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</si>
  <si>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</si>
  <si>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</si>
  <si>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</si>
  <si>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</si>
  <si>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</si>
  <si>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</si>
  <si>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</si>
  <si>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</si>
  <si>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</si>
  <si>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</si>
  <si>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</si>
  <si>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</si>
  <si>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</si>
  <si>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</si>
  <si>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</si>
  <si>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</si>
  <si>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</si>
  <si>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</si>
  <si>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</si>
  <si>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</si>
  <si>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</si>
  <si>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</si>
  <si>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</si>
  <si>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</si>
  <si>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</si>
  <si>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</si>
  <si>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</si>
  <si>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</si>
  <si>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</si>
  <si>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</si>
  <si>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</si>
  <si>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</si>
  <si>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</si>
  <si>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</si>
  <si>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</si>
  <si>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</si>
  <si>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</si>
  <si>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</si>
  <si>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</si>
  <si>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</si>
  <si>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</si>
  <si>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</si>
  <si>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</si>
  <si>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</si>
  <si>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</si>
  <si>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</si>
  <si>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</si>
  <si>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</si>
  <si>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</si>
  <si>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</si>
  <si>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</si>
  <si>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</si>
  <si>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</si>
  <si>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</si>
  <si>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</si>
  <si>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</si>
  <si>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</si>
  <si>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</si>
  <si>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</si>
  <si>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</si>
  <si>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</si>
  <si>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</si>
  <si>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</si>
  <si>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</si>
  <si>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</si>
  <si>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</si>
  <si>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</si>
  <si>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</si>
  <si>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</si>
  <si>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</si>
  <si>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</si>
  <si>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</si>
  <si>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</si>
  <si>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</si>
  <si>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</si>
  <si>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</si>
  <si>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</si>
  <si>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</si>
  <si>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</si>
  <si>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</si>
  <si>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</si>
  <si>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</si>
  <si>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</si>
  <si>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</si>
  <si>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</si>
  <si>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</si>
  <si>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</si>
  <si>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</si>
  <si>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</si>
  <si>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</si>
  <si>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</si>
  <si>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</si>
  <si>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</si>
  <si>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</si>
  <si>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</si>
  <si>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</si>
  <si>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</si>
  <si>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</si>
  <si>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</si>
  <si>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</si>
  <si>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</si>
  <si>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</si>
  <si>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</si>
  <si>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</si>
  <si>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</si>
  <si>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</si>
  <si>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</si>
  <si>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</si>
  <si>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</si>
  <si>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</si>
  <si>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</si>
  <si>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</si>
  <si>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</si>
  <si>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</si>
  <si>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</si>
  <si>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</si>
  <si>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</si>
  <si>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</si>
  <si>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</si>
  <si>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</si>
  <si>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</si>
  <si>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</si>
  <si>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</si>
  <si>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</si>
  <si>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</si>
  <si>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</si>
  <si>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</si>
  <si>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</si>
  <si>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</si>
  <si>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</si>
  <si>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</si>
  <si>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</si>
  <si>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</si>
  <si>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</si>
  <si>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</si>
  <si>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</si>
  <si>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</si>
  <si>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</si>
  <si>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</si>
  <si>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</si>
  <si>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</si>
  <si>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</si>
  <si>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</si>
  <si>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</si>
  <si>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</si>
  <si>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</si>
  <si>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</si>
  <si>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</si>
  <si>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</si>
  <si>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</si>
  <si>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</si>
  <si>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</si>
  <si>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</si>
  <si>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</si>
  <si>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</si>
  <si>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</si>
  <si>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</si>
  <si>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</si>
  <si>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</si>
  <si>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</si>
  <si>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</si>
  <si>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</si>
  <si>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</si>
  <si>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</si>
  <si>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</si>
  <si>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</si>
  <si>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</si>
  <si>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</si>
  <si>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</si>
  <si>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</si>
  <si>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</si>
  <si>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</si>
  <si>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</si>
  <si>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</si>
  <si>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</si>
  <si>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</si>
  <si>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</si>
  <si>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</si>
  <si>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</si>
  <si>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</si>
  <si>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</si>
  <si>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</si>
  <si>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</si>
  <si>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</si>
  <si>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</si>
  <si>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</si>
  <si>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</si>
  <si>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</si>
  <si>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</si>
  <si>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</si>
  <si>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</si>
  <si>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</si>
  <si>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</si>
  <si>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</si>
  <si>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</si>
  <si>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</si>
  <si>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</si>
  <si>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</si>
  <si>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</si>
  <si>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</si>
  <si>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</si>
  <si>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</si>
  <si>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</si>
  <si>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</si>
  <si>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</si>
  <si>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</si>
  <si>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</si>
  <si>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</si>
  <si>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</si>
  <si>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</si>
  <si>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</si>
  <si>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</si>
  <si>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</si>
  <si>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</si>
  <si>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</si>
  <si>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</si>
  <si>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</si>
  <si>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</si>
  <si>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</si>
  <si>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</si>
  <si>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</si>
  <si>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</si>
  <si>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</si>
  <si>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</si>
  <si>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</si>
  <si>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</si>
  <si>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</si>
  <si>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</si>
  <si>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</si>
  <si>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</si>
  <si>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</si>
  <si>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</si>
  <si>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</si>
  <si>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</si>
  <si>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</si>
  <si>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</si>
  <si>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</si>
  <si>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</si>
  <si>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</si>
  <si>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</si>
  <si>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</si>
  <si>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</si>
  <si>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</si>
  <si>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</si>
  <si>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</si>
  <si>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</si>
  <si>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</si>
  <si>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</si>
  <si>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</si>
  <si>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</si>
  <si>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</si>
  <si>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</si>
  <si>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</si>
  <si>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</si>
  <si>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</si>
  <si>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</si>
  <si>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</si>
  <si>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</si>
  <si>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</si>
  <si>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</si>
  <si>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</si>
  <si>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</si>
  <si>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</si>
  <si>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</si>
  <si>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</si>
  <si>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</si>
  <si>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</si>
  <si>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</si>
  <si>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</si>
  <si>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</si>
  <si>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</si>
  <si>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</si>
  <si>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</si>
  <si>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</si>
  <si>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</si>
  <si>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</si>
  <si>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</si>
  <si>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</si>
  <si>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</si>
  <si>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</si>
  <si>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</si>
  <si>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</si>
  <si>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</si>
  <si>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</si>
  <si>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</si>
  <si>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</si>
  <si>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</si>
  <si>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</si>
  <si>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</si>
  <si>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</si>
  <si>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</si>
  <si>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</si>
  <si>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</si>
  <si>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</si>
  <si>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</si>
  <si>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</si>
  <si>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</si>
  <si>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</si>
  <si>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</si>
  <si>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</si>
  <si>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</si>
  <si>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</si>
  <si>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</si>
  <si>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</si>
  <si>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</si>
  <si>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</si>
  <si>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</si>
  <si>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</si>
  <si>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</si>
  <si>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</si>
  <si>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</si>
  <si>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</si>
  <si>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</si>
  <si>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</si>
  <si>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</si>
  <si>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</si>
  <si>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</si>
  <si>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</si>
  <si>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</si>
  <si>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</si>
  <si>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</si>
  <si>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</si>
  <si>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</si>
  <si>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</si>
  <si>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</si>
  <si>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</si>
  <si>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</si>
  <si>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</si>
  <si>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</si>
  <si>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</si>
  <si>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</si>
  <si>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</si>
  <si>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</si>
  <si>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</si>
  <si>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</si>
  <si>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</si>
  <si>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</si>
  <si>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</si>
  <si>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</si>
  <si>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</si>
  <si>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</si>
  <si>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</si>
  <si>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</si>
  <si>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</si>
  <si>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</si>
  <si>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</si>
  <si>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</si>
  <si>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</si>
  <si>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</si>
  <si>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</si>
  <si>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</si>
  <si>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</si>
  <si>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</si>
  <si>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</si>
  <si>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</si>
  <si>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</si>
  <si>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</si>
  <si>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</si>
  <si>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</si>
  <si>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</si>
  <si>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</si>
  <si>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</si>
  <si>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</si>
  <si>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</si>
  <si>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</si>
  <si>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</si>
  <si>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</si>
  <si>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</si>
  <si>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</si>
  <si>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</si>
  <si>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</si>
  <si>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</si>
  <si>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</si>
  <si>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</si>
  <si>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</si>
  <si>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</si>
  <si>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</si>
  <si>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</si>
  <si>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</si>
  <si>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</si>
  <si>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</si>
  <si>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</si>
  <si>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</si>
  <si>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</si>
  <si>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</si>
  <si>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</si>
  <si>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</si>
  <si>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</si>
  <si>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</si>
  <si>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</si>
  <si>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</si>
  <si>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</si>
  <si>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</si>
  <si>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</si>
  <si>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</si>
  <si>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</si>
  <si>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</si>
  <si>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</si>
  <si>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</si>
  <si>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</si>
  <si>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</si>
  <si>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</si>
  <si>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</si>
  <si>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</si>
  <si>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</si>
  <si>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</si>
  <si>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</si>
  <si>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</si>
  <si>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</si>
  <si>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</si>
  <si>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</si>
  <si>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</si>
  <si>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</si>
  <si>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</si>
  <si>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</si>
  <si>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</si>
  <si>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</si>
  <si>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</si>
  <si>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</si>
  <si>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</si>
  <si>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</si>
  <si>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</si>
  <si>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</si>
  <si>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</si>
  <si>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</si>
  <si>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</si>
  <si>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</si>
  <si>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</si>
  <si>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</si>
  <si>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</si>
  <si>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</si>
  <si>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</si>
  <si>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</si>
  <si>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</si>
  <si>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</si>
  <si>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</si>
  <si>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</si>
  <si>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</si>
  <si>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</si>
  <si>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</si>
  <si>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</si>
  <si>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</si>
  <si>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</si>
  <si>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</si>
  <si>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</si>
  <si>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</si>
  <si>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</si>
  <si>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</si>
  <si>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</si>
  <si>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</si>
  <si>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</si>
  <si>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</si>
  <si>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</si>
  <si>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</si>
  <si>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</si>
  <si>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</si>
  <si>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</si>
  <si>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</si>
  <si>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</si>
  <si>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</si>
  <si>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</si>
  <si>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</si>
  <si>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</si>
  <si>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</si>
  <si>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</si>
  <si>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</si>
  <si>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</si>
  <si>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</si>
  <si>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</si>
  <si>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</si>
  <si>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</si>
  <si>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</si>
  <si>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</si>
  <si>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</si>
  <si>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</si>
  <si>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</si>
  <si>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</si>
  <si>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</si>
  <si>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</si>
  <si>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</si>
  <si>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</si>
  <si>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</si>
  <si>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</si>
  <si>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</si>
  <si>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</si>
  <si>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</si>
  <si>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</si>
  <si>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</si>
  <si>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</si>
  <si>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</si>
  <si>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</si>
  <si>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</si>
  <si>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</si>
  <si>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</si>
  <si>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</si>
  <si>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</si>
  <si>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</si>
  <si>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</si>
  <si>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</si>
  <si>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</si>
  <si>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</si>
  <si>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</si>
  <si>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</si>
  <si>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</si>
  <si>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</si>
  <si>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</si>
  <si>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</si>
  <si>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</si>
  <si>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</si>
  <si>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</si>
  <si>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</si>
  <si>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</si>
  <si>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</si>
  <si>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</si>
  <si>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</si>
  <si>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</si>
  <si>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</si>
  <si>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</si>
  <si>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</si>
  <si>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</si>
  <si>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</si>
  <si>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</si>
  <si>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</si>
  <si>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</si>
  <si>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</si>
  <si>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</si>
  <si>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</si>
  <si>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</si>
  <si>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</si>
  <si>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</si>
  <si>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</si>
  <si>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</si>
  <si>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</si>
  <si>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</si>
  <si>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</si>
  <si>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</si>
  <si>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</si>
  <si>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</si>
  <si>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</si>
  <si>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</si>
  <si>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</si>
  <si>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</si>
  <si>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</si>
  <si>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</si>
  <si>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</si>
  <si>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</si>
  <si>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</si>
  <si>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</si>
  <si>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</si>
  <si>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</si>
  <si>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</si>
  <si>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</si>
  <si>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</si>
  <si>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</si>
  <si>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</si>
  <si>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</si>
  <si>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</si>
  <si>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</si>
  <si>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</si>
  <si>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</si>
  <si>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</si>
  <si>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</si>
  <si>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</si>
  <si>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</si>
  <si>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</si>
  <si>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</si>
  <si>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</si>
  <si>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</si>
  <si>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</si>
  <si>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</si>
  <si>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</si>
  <si>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</si>
  <si>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</si>
  <si>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</si>
  <si>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</si>
  <si>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</si>
  <si>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</si>
  <si>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</si>
  <si>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</si>
  <si>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</si>
  <si>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</si>
  <si>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</si>
  <si>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</si>
  <si>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</si>
  <si>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</si>
  <si>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</si>
  <si>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</si>
  <si>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</si>
  <si>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</si>
  <si>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</si>
  <si>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</si>
  <si>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</si>
  <si>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</si>
  <si>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</si>
  <si>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</si>
  <si>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</si>
  <si>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</si>
  <si>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</si>
  <si>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</si>
  <si>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</si>
  <si>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</si>
  <si>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</si>
  <si>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</si>
  <si>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</si>
  <si>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</si>
  <si>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</si>
  <si>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</si>
  <si>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</si>
  <si>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</si>
  <si>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</si>
  <si>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</si>
  <si>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</si>
  <si>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</si>
  <si>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</si>
  <si>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</si>
  <si>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</si>
  <si>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</si>
  <si>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</si>
  <si>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</si>
  <si>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</si>
  <si>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</si>
  <si>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</si>
  <si>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</si>
  <si>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</si>
  <si>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</si>
  <si>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</si>
  <si>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</si>
  <si>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</si>
  <si>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</si>
  <si>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</si>
  <si>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</si>
  <si>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</si>
  <si>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</si>
  <si>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</si>
  <si>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</si>
  <si>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</si>
  <si>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</si>
  <si>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</si>
  <si>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</si>
  <si>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</si>
  <si>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</si>
  <si>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</si>
  <si>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</si>
  <si>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</si>
  <si>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</si>
  <si>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</si>
  <si>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</si>
  <si>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</si>
  <si>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</si>
  <si>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</si>
  <si>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</si>
  <si>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</si>
  <si>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</si>
  <si>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</si>
  <si>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</si>
  <si>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</si>
  <si>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</si>
  <si>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</si>
  <si>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</si>
  <si>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</si>
  <si>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</si>
  <si>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</si>
  <si>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</si>
  <si>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</si>
  <si>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</si>
  <si>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</si>
  <si>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</si>
  <si>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</si>
  <si>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</si>
  <si>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</si>
  <si>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</si>
  <si>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</si>
  <si>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</si>
  <si>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</si>
  <si>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</si>
  <si>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</si>
  <si>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</si>
  <si>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</si>
  <si>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</si>
  <si>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</si>
  <si>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</si>
  <si>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</si>
  <si>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</si>
  <si>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</si>
  <si>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</si>
  <si>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</si>
  <si>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</si>
  <si>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</si>
  <si>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</si>
  <si>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</si>
  <si>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</si>
  <si>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</si>
  <si>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</si>
  <si>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</si>
  <si>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</si>
  <si>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</si>
  <si>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</si>
  <si>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</si>
  <si>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</si>
  <si>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</si>
  <si>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</si>
  <si>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</si>
  <si>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</si>
  <si>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</si>
  <si>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</si>
  <si>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</si>
  <si>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</si>
  <si>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</si>
  <si>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</si>
  <si>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</si>
  <si>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</si>
  <si>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</si>
  <si>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</si>
  <si>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</si>
  <si>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</si>
  <si>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</si>
  <si>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</si>
  <si>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</si>
  <si>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</si>
  <si>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</si>
  <si>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</si>
  <si>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</si>
  <si>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</si>
  <si>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</si>
  <si>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</si>
  <si>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</si>
  <si>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</si>
  <si>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</si>
  <si>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</si>
  <si>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</si>
  <si>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</si>
  <si>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</si>
  <si>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</si>
  <si>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</si>
  <si>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</si>
  <si>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</si>
  <si>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</si>
  <si>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</si>
  <si>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</si>
  <si>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</si>
  <si>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</si>
  <si>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</si>
  <si>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</si>
  <si>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</si>
  <si>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</si>
  <si>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</si>
  <si>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</si>
  <si>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</si>
  <si>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</si>
  <si>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</si>
  <si>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</si>
  <si>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</si>
  <si>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</si>
  <si>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</si>
  <si>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</si>
  <si>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</si>
  <si>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</si>
  <si>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</si>
  <si>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</si>
  <si>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</si>
  <si>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</si>
  <si>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</si>
  <si>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</si>
  <si>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</si>
  <si>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</si>
  <si>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</si>
  <si>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</si>
  <si>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</si>
  <si>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</si>
  <si>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</si>
  <si>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</si>
  <si>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</si>
  <si>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</si>
  <si>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</si>
  <si>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</si>
  <si>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</si>
  <si>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</si>
  <si>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</si>
  <si>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</si>
  <si>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</si>
  <si>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</si>
  <si>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</si>
  <si>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</si>
  <si>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</si>
  <si>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</si>
  <si>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</si>
  <si>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</si>
  <si>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</si>
  <si>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</si>
  <si>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</si>
  <si>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</si>
  <si>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</si>
  <si>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</si>
  <si>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</si>
  <si>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</si>
  <si>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</si>
  <si>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</si>
  <si>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</si>
  <si>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</si>
  <si>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</si>
  <si>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</si>
  <si>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</si>
  <si>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</si>
  <si>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</si>
  <si>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</si>
  <si>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</si>
  <si>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</si>
  <si>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</si>
  <si>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</si>
  <si>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</si>
  <si>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</si>
  <si>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</si>
  <si>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</si>
  <si>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</si>
  <si>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</si>
  <si>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</si>
  <si>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</si>
  <si>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</si>
  <si>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</si>
  <si>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</si>
  <si>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</si>
  <si>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</si>
  <si>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</si>
  <si>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</si>
  <si>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</si>
  <si>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</si>
  <si>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</si>
  <si>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</si>
  <si>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</si>
  <si>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</si>
  <si>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</si>
  <si>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</si>
  <si>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</si>
  <si>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</si>
  <si>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</si>
  <si>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</si>
  <si>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</si>
  <si>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</si>
  <si>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</si>
  <si>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</si>
  <si>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</si>
  <si>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</si>
  <si>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</si>
  <si>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</si>
  <si>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</si>
  <si>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</si>
  <si>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</si>
  <si>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</si>
  <si>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</si>
  <si>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</si>
  <si>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</si>
  <si>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</si>
  <si>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</si>
  <si>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</si>
  <si>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</si>
  <si>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</si>
  <si>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</si>
  <si>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</si>
  <si>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</si>
  <si>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</si>
  <si>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</si>
  <si>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</si>
  <si>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X</t>
  </si>
  <si>
    <t>COOK</t>
  </si>
  <si>
    <t>OAK FOREST</t>
  </si>
  <si>
    <t>PAUL McDERMOTT</t>
  </si>
  <si>
    <t>(708)687-3334</t>
  </si>
  <si>
    <t>BREMEN TOWNSHIP TREASURER'S OFFICE - JOSEPH McDONNELL</t>
  </si>
  <si>
    <t>(708)633-8920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</si>
  <si>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</si>
  <si>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</si>
  <si>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</si>
  <si>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</si>
  <si>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</si>
  <si>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</si>
  <si>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</si>
  <si>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</si>
  <si>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</si>
  <si>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</si>
  <si>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</si>
  <si>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</si>
  <si>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</si>
  <si>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</si>
  <si>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</si>
  <si>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</si>
  <si>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</si>
  <si>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</si>
  <si>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</si>
  <si>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</si>
  <si>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</si>
  <si>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</si>
  <si>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</si>
  <si>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</si>
  <si>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</si>
  <si>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</si>
  <si>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</si>
  <si>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</si>
  <si>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</si>
  <si>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</si>
  <si>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</si>
  <si>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</si>
  <si>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</si>
  <si>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</si>
  <si>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</si>
  <si>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</si>
  <si>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</si>
  <si>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JILL GASSENSMITH</t>
  </si>
  <si>
    <t>JILLE@GASSENSMITH.COM</t>
  </si>
  <si>
    <t>GENERAL OBLIGATION BOND</t>
  </si>
  <si>
    <t>SW COOK COUNTY ASSOCIATION FOR SPECIAL EDUCATION</t>
  </si>
  <si>
    <t>CLIC</t>
  </si>
  <si>
    <t>BREMEN TOWNSHIP TREASURER'S OFFICE</t>
  </si>
  <si>
    <t>SODEXO USA</t>
  </si>
  <si>
    <t>U.S. Department of Agriculture:</t>
  </si>
  <si>
    <t xml:space="preserve">   National School Lunch Program</t>
  </si>
  <si>
    <t xml:space="preserve">   School Breakfast Program</t>
  </si>
  <si>
    <t xml:space="preserve">   Department of Defense Fruits &amp; Vegetables</t>
  </si>
  <si>
    <t xml:space="preserve">   Non-Cash Commodities Received</t>
  </si>
  <si>
    <t>Total Child Nutrition Cluster:</t>
  </si>
  <si>
    <t>Total U.S. Department of Agriculture:</t>
  </si>
  <si>
    <t>Child Nutrition Cluster:</t>
  </si>
  <si>
    <t>U.S. Department of Education:</t>
  </si>
  <si>
    <t xml:space="preserve">   Title I - Low Income</t>
  </si>
  <si>
    <t xml:space="preserve">   Title I - School Improvement</t>
  </si>
  <si>
    <t xml:space="preserve">   Title III - LIPLEP</t>
  </si>
  <si>
    <t>Special Education Cluster:</t>
  </si>
  <si>
    <t xml:space="preserve">   IDEA Flowthrough  </t>
  </si>
  <si>
    <t xml:space="preserve">   IDEA Preschool Flowthrough (M)</t>
  </si>
  <si>
    <t xml:space="preserve">   IDEA Preschool Flowthrough</t>
  </si>
  <si>
    <t xml:space="preserve">   IDEA Flowthrough (M)</t>
  </si>
  <si>
    <t xml:space="preserve">   IDEA Room &amp; Board</t>
  </si>
  <si>
    <t>Total Special Education Cluster:</t>
  </si>
  <si>
    <t>Total U.S. Department of Education</t>
  </si>
  <si>
    <t>U.S. Department of Health &amp; Human Services</t>
  </si>
  <si>
    <t>Flowthrough from ISBE:</t>
  </si>
  <si>
    <t>Flowthrough from Illinois Healthcare and Family Services:</t>
  </si>
  <si>
    <t xml:space="preserve">   Medicaid Administrative Outreach</t>
  </si>
  <si>
    <t>Total U.S. Department of Health &amp; Human Services</t>
  </si>
  <si>
    <t>TOTALS:</t>
  </si>
  <si>
    <t>84.010A</t>
  </si>
  <si>
    <t>84.365A</t>
  </si>
  <si>
    <t>84.173A</t>
  </si>
  <si>
    <t>84.027A</t>
  </si>
  <si>
    <t>19-4210</t>
  </si>
  <si>
    <t>20-4300</t>
  </si>
  <si>
    <t>19-4300</t>
  </si>
  <si>
    <t>20-4909</t>
  </si>
  <si>
    <t>19-4909</t>
  </si>
  <si>
    <t>20-4600</t>
  </si>
  <si>
    <t>19-4600</t>
  </si>
  <si>
    <t>20-4620</t>
  </si>
  <si>
    <t>19-4620</t>
  </si>
  <si>
    <t>84.367A</t>
  </si>
  <si>
    <t>20-4932</t>
  </si>
  <si>
    <t>19-4932</t>
  </si>
  <si>
    <t>n/a</t>
  </si>
  <si>
    <t>19-4625-XC</t>
  </si>
  <si>
    <t xml:space="preserve">Title IV - </t>
  </si>
  <si>
    <t>84.424A</t>
  </si>
  <si>
    <t>20-4400</t>
  </si>
  <si>
    <t>20-4210</t>
  </si>
  <si>
    <t>20-4301</t>
  </si>
  <si>
    <t>19-4301</t>
  </si>
  <si>
    <t>x</t>
  </si>
  <si>
    <r>
      <t xml:space="preserve">The accompanying Schedule of Expenditures of Federal Awards includes the federal grant activity of the District and is presented on the Cash </t>
    </r>
    <r>
      <rPr>
        <b/>
        <sz val="9"/>
        <rFont val="Calibri"/>
        <family val="2"/>
        <scheme val="minor"/>
      </rPr>
      <t>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</si>
  <si>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District and </t>
    </r>
    <r>
      <rPr>
        <b/>
        <sz val="9"/>
        <rFont val="Calibri"/>
        <family val="2"/>
        <scheme val="minor"/>
      </rPr>
      <t>should be</t>
    </r>
    <r>
      <rPr>
        <sz val="9"/>
        <rFont val="Calibri"/>
        <family val="2"/>
        <scheme val="minor"/>
      </rPr>
      <t xml:space="preserve"> included in the Schedule of Expenditures of Federal Awards:</t>
    </r>
  </si>
  <si>
    <t>none</t>
  </si>
  <si>
    <t>adverse</t>
  </si>
  <si>
    <t>unmodified</t>
  </si>
  <si>
    <t>84.173A/84.027A</t>
  </si>
  <si>
    <t>Special education cluster</t>
  </si>
  <si>
    <t>None.</t>
  </si>
  <si>
    <t>EDUCATION INSTRUCTION PURCHSED SERVICES</t>
  </si>
  <si>
    <t>CANON FINANCIAL</t>
  </si>
  <si>
    <t>KANSAS STATE BANK</t>
  </si>
  <si>
    <t>EDUCATION TECH EQUIP PURCHASED SERVICES</t>
  </si>
  <si>
    <t>5800 151st STREET</t>
  </si>
  <si>
    <t xml:space="preserve">  Forest Ridge SD 142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</si>
</sst>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3" fontId="73" fillId="0" borderId="22" xfId="3" applyNumberFormat="1" applyFont="1" applyBorder="1" applyAlignment="1" applyProtection="1">
      <alignment horizontal="left" vertical="center" wrapText="1"/>
      <protection locked="0"/>
    </xf>
    <xf numFmtId="185" fontId="62" fillId="0" borderId="8" xfId="1" applyNumberFormat="1" applyFont="1" applyBorder="1" applyAlignment="1" applyProtection="1">
      <alignment horizontal="center" shrinkToFit="1"/>
      <protection locked="0"/>
    </xf>
    <xf numFmtId="185" fontId="62" fillId="0" borderId="22" xfId="1" applyNumberFormat="1" applyFont="1" applyBorder="1" applyAlignment="1" applyProtection="1">
      <alignment horizontal="center" shrinkToFit="1"/>
      <protection locked="0"/>
    </xf>
    <xf numFmtId="185" fontId="62" fillId="0" borderId="22" xfId="1" applyNumberFormat="1" applyFont="1" applyFill="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D4829349-7A41-4593-B419-9223FAFFFD1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930852</xdr:colOff>
          <xdr:row>6</xdr:row>
          <xdr:rowOff>158461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1511877</xdr:colOff>
          <xdr:row>2</xdr:row>
          <xdr:rowOff>71870</xdr:rowOff>
        </xdr:from>
        <xdr:to>
          <xdr:col>1</xdr:col>
          <xdr:colOff>2445327</xdr:colOff>
          <xdr:row>7</xdr:row>
          <xdr:rowOff>65809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0">
        <f>+'AFR20'!E4</f>
        <v>44119</v>
      </c>
      <c r="C1" s="2110"/>
      <c r="D1" s="2111"/>
      <c r="I1" s="2189" t="s">
        <v>402</v>
      </c>
      <c r="J1" s="2190"/>
      <c r="K1" s="2190"/>
      <c r="L1" s="2190"/>
      <c r="M1" s="2190"/>
      <c r="N1" s="2190"/>
      <c r="O1" s="2190"/>
      <c r="P1" s="2190"/>
      <c r="Q1" s="2190"/>
      <c r="R1" s="2190"/>
      <c r="S1" s="2190"/>
    </row>
    <row r="2" spans="1:32" ht="12" customHeight="1" x14ac:dyDescent="0.2">
      <c r="A2" s="1889" t="str">
        <f>"Due to ISBE on "</f>
        <v xml:space="preserve">Due to ISBE on </v>
      </c>
      <c r="B2" s="2112">
        <f>+'AFR20'!F4</f>
        <v>44151</v>
      </c>
      <c r="C2" s="2112"/>
      <c r="D2" s="2113"/>
      <c r="I2" s="2191" t="s">
        <v>2004</v>
      </c>
      <c r="J2" s="2190"/>
      <c r="K2" s="2190"/>
      <c r="L2" s="2190"/>
      <c r="M2" s="2190"/>
      <c r="N2" s="2190"/>
      <c r="O2" s="2190"/>
      <c r="P2" s="2190"/>
      <c r="Q2" s="2190"/>
      <c r="R2" s="2190"/>
      <c r="S2" s="2190"/>
    </row>
    <row r="3" spans="1:32" ht="12" customHeight="1" x14ac:dyDescent="0.2">
      <c r="A3" s="1892" t="str">
        <f>"SD/JA"&amp;MID('AFR20'!E2,3,2)</f>
        <v>SD/JA20</v>
      </c>
      <c r="B3" s="151"/>
      <c r="C3" s="151"/>
      <c r="D3" s="152"/>
      <c r="I3" s="2191" t="s">
        <v>52</v>
      </c>
      <c r="J3" s="2190"/>
      <c r="K3" s="2190"/>
      <c r="L3" s="2190"/>
      <c r="M3" s="2190"/>
      <c r="N3" s="2190"/>
      <c r="O3" s="2190"/>
      <c r="P3" s="2190"/>
      <c r="Q3" s="2190"/>
      <c r="R3" s="2190"/>
      <c r="S3" s="2190"/>
    </row>
    <row r="4" spans="1:32" ht="12" customHeight="1" x14ac:dyDescent="0.2">
      <c r="A4" s="37"/>
      <c r="I4" s="2191" t="s">
        <v>521</v>
      </c>
      <c r="J4" s="2190"/>
      <c r="K4" s="2190"/>
      <c r="L4" s="2190"/>
      <c r="M4" s="2190"/>
      <c r="N4" s="2190"/>
      <c r="O4" s="2190"/>
      <c r="P4" s="2190"/>
      <c r="Q4" s="2190"/>
      <c r="R4" s="2190"/>
      <c r="S4" s="2190"/>
    </row>
    <row r="5" spans="1:32" ht="14.1" customHeight="1" x14ac:dyDescent="0.2">
      <c r="B5" s="101" t="s">
        <v>2026</v>
      </c>
      <c r="C5" s="26" t="s">
        <v>904</v>
      </c>
      <c r="D5" s="81"/>
      <c r="E5" s="81"/>
      <c r="H5" s="38"/>
      <c r="I5" s="2198" t="s">
        <v>675</v>
      </c>
      <c r="J5" s="2143"/>
      <c r="K5" s="2143"/>
      <c r="L5" s="2143"/>
      <c r="M5" s="2143"/>
      <c r="N5" s="2143"/>
      <c r="O5" s="2143"/>
      <c r="P5" s="2143"/>
      <c r="Q5" s="2143"/>
      <c r="R5" s="2143"/>
      <c r="S5" s="2143"/>
      <c r="AF5" s="1885"/>
    </row>
    <row r="6" spans="1:32" ht="14.1" customHeight="1" x14ac:dyDescent="0.2">
      <c r="B6" s="101"/>
      <c r="C6" s="26" t="s">
        <v>905</v>
      </c>
      <c r="D6" s="81"/>
      <c r="E6" s="81"/>
      <c r="I6" s="2197" t="s">
        <v>877</v>
      </c>
      <c r="J6" s="2143"/>
      <c r="K6" s="2143"/>
      <c r="L6" s="2143"/>
      <c r="M6" s="2143"/>
      <c r="N6" s="2143"/>
      <c r="O6" s="2143"/>
      <c r="P6" s="2143"/>
      <c r="Q6" s="2143"/>
      <c r="R6" s="2143"/>
      <c r="S6" s="2143"/>
    </row>
    <row r="7" spans="1:32" ht="12.2" customHeight="1" x14ac:dyDescent="0.2">
      <c r="I7" s="2192" t="str">
        <f>"June 30, "&amp;'AFR20'!E2</f>
        <v>June 30, 2020</v>
      </c>
      <c r="J7" s="2193"/>
      <c r="K7" s="2193"/>
      <c r="L7" s="2193"/>
      <c r="M7" s="2193"/>
      <c r="N7" s="2193"/>
      <c r="O7" s="2193"/>
      <c r="P7" s="2193"/>
      <c r="Q7" s="2193"/>
      <c r="R7" s="2193"/>
      <c r="S7" s="21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4" t="s">
        <v>669</v>
      </c>
      <c r="J9" s="2195"/>
      <c r="K9" s="2195"/>
      <c r="L9" s="2195"/>
      <c r="M9" s="2195"/>
      <c r="N9" s="2195"/>
      <c r="O9" s="2195"/>
      <c r="P9" s="2195"/>
      <c r="Q9" s="2195"/>
      <c r="R9" s="2195"/>
      <c r="S9" s="2196"/>
      <c r="T9" s="2139" t="s">
        <v>530</v>
      </c>
      <c r="U9" s="2140"/>
      <c r="V9" s="2140"/>
      <c r="W9" s="2140"/>
      <c r="X9" s="2140"/>
      <c r="Y9" s="2140"/>
      <c r="Z9" s="2140"/>
      <c r="AA9" s="2141"/>
    </row>
    <row r="10" spans="1:32" ht="13.5" customHeight="1" x14ac:dyDescent="0.2">
      <c r="A10" s="2148" t="s">
        <v>670</v>
      </c>
      <c r="B10" s="2149"/>
      <c r="C10" s="2149"/>
      <c r="D10" s="2149"/>
      <c r="E10" s="2149"/>
      <c r="F10" s="2149"/>
      <c r="G10" s="2149"/>
      <c r="H10" s="2150"/>
      <c r="I10" s="29"/>
      <c r="J10" s="30"/>
      <c r="K10" s="28"/>
      <c r="R10" s="30"/>
      <c r="S10" s="30"/>
      <c r="T10" s="2142"/>
      <c r="U10" s="2143"/>
      <c r="V10" s="2143"/>
      <c r="W10" s="2143"/>
      <c r="X10" s="2143"/>
      <c r="Y10" s="2143"/>
      <c r="Z10" s="2143"/>
      <c r="AA10" s="2144"/>
    </row>
    <row r="11" spans="1:32" ht="14.25" customHeight="1" x14ac:dyDescent="0.2">
      <c r="A11" s="2151" t="s">
        <v>949</v>
      </c>
      <c r="B11" s="2152"/>
      <c r="C11" s="2152"/>
      <c r="D11" s="2152"/>
      <c r="E11" s="2152"/>
      <c r="F11" s="2152"/>
      <c r="G11" s="2152"/>
      <c r="H11" s="2153"/>
      <c r="I11" s="27"/>
      <c r="J11" s="71"/>
      <c r="K11" s="27"/>
      <c r="O11" s="144" t="s">
        <v>2026</v>
      </c>
      <c r="P11" s="97" t="s">
        <v>199</v>
      </c>
      <c r="Q11" s="30"/>
      <c r="R11" s="28"/>
      <c r="S11" s="27"/>
      <c r="T11" s="2145"/>
      <c r="U11" s="2146"/>
      <c r="V11" s="2146"/>
      <c r="W11" s="2146"/>
      <c r="X11" s="2146"/>
      <c r="Y11" s="2146"/>
      <c r="Z11" s="2146"/>
      <c r="AA11" s="214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9">
        <v>7016142002</v>
      </c>
      <c r="B13" s="2160"/>
      <c r="C13" s="2160"/>
      <c r="D13" s="2160"/>
      <c r="E13" s="2160"/>
      <c r="F13" s="2160"/>
      <c r="G13" s="2160"/>
      <c r="H13" s="2161"/>
      <c r="I13" s="31"/>
      <c r="J13" s="30"/>
      <c r="K13" s="28"/>
      <c r="L13" s="30"/>
      <c r="M13" s="30"/>
      <c r="N13" s="30"/>
      <c r="O13" s="30"/>
      <c r="P13" s="30"/>
      <c r="Q13" s="30"/>
      <c r="R13" s="30"/>
      <c r="S13" s="30"/>
      <c r="T13" s="2164" t="s">
        <v>2019</v>
      </c>
      <c r="U13" s="2165"/>
      <c r="V13" s="2165"/>
      <c r="W13" s="2165"/>
      <c r="X13" s="2165"/>
      <c r="Y13" s="2166"/>
      <c r="Z13" s="2166"/>
      <c r="AA13" s="216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7" t="s">
        <v>2027</v>
      </c>
      <c r="B15" s="2162"/>
      <c r="C15" s="2162"/>
      <c r="D15" s="2162"/>
      <c r="E15" s="2162"/>
      <c r="F15" s="2162"/>
      <c r="G15" s="2162"/>
      <c r="H15" s="2163"/>
      <c r="T15" s="2125" t="s">
        <v>2070</v>
      </c>
      <c r="U15" s="2126"/>
      <c r="V15" s="2126"/>
      <c r="W15" s="2126"/>
      <c r="X15" s="2126"/>
      <c r="Y15" s="2168"/>
      <c r="Z15" s="2168"/>
      <c r="AA15" s="216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7" t="s">
        <v>2141</v>
      </c>
      <c r="B17" s="2187"/>
      <c r="C17" s="2187"/>
      <c r="D17" s="2187"/>
      <c r="E17" s="2187"/>
      <c r="F17" s="2187"/>
      <c r="G17" s="2187"/>
      <c r="H17" s="2188"/>
      <c r="T17" s="2174" t="s">
        <v>2020</v>
      </c>
      <c r="U17" s="2175"/>
      <c r="V17" s="2175"/>
      <c r="W17" s="2175"/>
      <c r="X17" s="2175"/>
      <c r="Y17" s="2175"/>
      <c r="Z17" s="2175"/>
      <c r="AA17" s="2176"/>
    </row>
    <row r="18" spans="1:27" ht="13.5" customHeight="1" x14ac:dyDescent="0.2">
      <c r="A18" s="82" t="s">
        <v>527</v>
      </c>
      <c r="B18" s="73"/>
      <c r="C18" s="69"/>
      <c r="D18" s="73"/>
      <c r="E18" s="73"/>
      <c r="F18" s="73"/>
      <c r="G18" s="73"/>
      <c r="H18" s="53"/>
      <c r="I18" s="2184" t="s">
        <v>671</v>
      </c>
      <c r="J18" s="2185"/>
      <c r="K18" s="2185"/>
      <c r="L18" s="2185"/>
      <c r="M18" s="2185"/>
      <c r="N18" s="2185"/>
      <c r="O18" s="2185"/>
      <c r="P18" s="2185"/>
      <c r="Q18" s="2185"/>
      <c r="R18" s="2185"/>
      <c r="S18" s="2186"/>
      <c r="T18" s="82" t="s">
        <v>706</v>
      </c>
      <c r="U18" s="48"/>
      <c r="V18" s="69"/>
      <c r="W18" s="47"/>
      <c r="X18" s="82" t="s">
        <v>264</v>
      </c>
      <c r="Y18" s="78"/>
      <c r="Z18" s="154" t="s">
        <v>672</v>
      </c>
      <c r="AA18" s="44"/>
    </row>
    <row r="19" spans="1:27" ht="13.5" customHeight="1" x14ac:dyDescent="0.2">
      <c r="A19" s="2157" t="s">
        <v>2140</v>
      </c>
      <c r="B19" s="2158"/>
      <c r="C19" s="2158"/>
      <c r="D19" s="2158"/>
      <c r="E19" s="2158"/>
      <c r="F19" s="2158"/>
      <c r="G19" s="2158"/>
      <c r="H19" s="2156"/>
      <c r="I19" s="30"/>
      <c r="J19" s="96"/>
      <c r="K19" s="40"/>
      <c r="L19" s="38"/>
      <c r="M19" s="109" t="s">
        <v>312</v>
      </c>
      <c r="P19" s="27"/>
      <c r="Q19" s="27"/>
      <c r="R19" s="27"/>
      <c r="S19" s="31"/>
      <c r="T19" s="2157" t="s">
        <v>2021</v>
      </c>
      <c r="U19" s="2155"/>
      <c r="V19" s="2155"/>
      <c r="W19" s="2156"/>
      <c r="X19" s="2172" t="s">
        <v>2022</v>
      </c>
      <c r="Y19" s="2173"/>
      <c r="Z19" s="2170">
        <v>60435</v>
      </c>
      <c r="AA19" s="217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4" t="s">
        <v>2028</v>
      </c>
      <c r="B21" s="2155"/>
      <c r="C21" s="2155"/>
      <c r="D21" s="2155"/>
      <c r="E21" s="2155"/>
      <c r="F21" s="2155"/>
      <c r="G21" s="2155"/>
      <c r="H21" s="2156"/>
      <c r="I21" s="2180" t="s">
        <v>673</v>
      </c>
      <c r="J21" s="2143"/>
      <c r="K21" s="2143"/>
      <c r="L21" s="2143"/>
      <c r="M21" s="2143"/>
      <c r="N21" s="2143"/>
      <c r="O21" s="2143"/>
      <c r="P21" s="2143"/>
      <c r="Q21" s="2143"/>
      <c r="R21" s="2143"/>
      <c r="S21" s="2144"/>
      <c r="T21" s="2122" t="s">
        <v>2023</v>
      </c>
      <c r="U21" s="2123"/>
      <c r="V21" s="2123"/>
      <c r="W21" s="2123"/>
      <c r="X21" s="2136" t="s">
        <v>2024</v>
      </c>
      <c r="Y21" s="2137"/>
      <c r="Z21" s="2137"/>
      <c r="AA21" s="2138"/>
    </row>
    <row r="22" spans="1:27" ht="13.5" customHeight="1" x14ac:dyDescent="0.2">
      <c r="A22" s="84" t="s">
        <v>528</v>
      </c>
      <c r="B22" s="56"/>
      <c r="C22" s="56"/>
      <c r="D22" s="56"/>
      <c r="E22" s="56"/>
      <c r="F22" s="56"/>
      <c r="G22" s="56"/>
      <c r="H22" s="57"/>
      <c r="I22" s="2181" t="s">
        <v>1415</v>
      </c>
      <c r="J22" s="2182"/>
      <c r="K22" s="2182"/>
      <c r="L22" s="2182"/>
      <c r="M22" s="2182"/>
      <c r="N22" s="2182"/>
      <c r="O22" s="2182"/>
      <c r="P22" s="2182"/>
      <c r="Q22" s="2182"/>
      <c r="R22" s="2182"/>
      <c r="S22" s="2183"/>
      <c r="T22" s="82" t="s">
        <v>1502</v>
      </c>
      <c r="U22" s="48"/>
      <c r="V22" s="69"/>
      <c r="W22" s="48"/>
      <c r="X22" s="155" t="s">
        <v>1309</v>
      </c>
      <c r="Z22" s="43"/>
      <c r="AA22" s="44"/>
    </row>
    <row r="23" spans="1:27" ht="13.5" customHeight="1" x14ac:dyDescent="0.2">
      <c r="A23" s="2177"/>
      <c r="B23" s="2178"/>
      <c r="C23" s="2178"/>
      <c r="D23" s="2178"/>
      <c r="E23" s="2178"/>
      <c r="F23" s="2178"/>
      <c r="G23" s="2178"/>
      <c r="H23" s="2179"/>
      <c r="T23" s="2117" t="s">
        <v>2025</v>
      </c>
      <c r="U23" s="2118"/>
      <c r="V23" s="2118"/>
      <c r="W23" s="2118"/>
      <c r="X23" s="2133">
        <v>44530</v>
      </c>
      <c r="Y23" s="2134"/>
      <c r="Z23" s="2134"/>
      <c r="AA23" s="2135"/>
    </row>
    <row r="24" spans="1:27" ht="14.1" customHeight="1" x14ac:dyDescent="0.2">
      <c r="A24" s="85" t="s">
        <v>672</v>
      </c>
      <c r="B24" s="46"/>
      <c r="C24" s="46"/>
      <c r="D24" s="46"/>
      <c r="E24" s="46"/>
      <c r="F24" s="46"/>
      <c r="G24" s="46"/>
      <c r="H24" s="58"/>
      <c r="J24" s="2219">
        <f>IF(B5="x",IF(AUDITCHECK!D29="AFR form Incomplete.","",IF(AUDITCHECK!D29="Deficit reduction plan is required.","School District must complete a deficit reduction plan in the 2019-2020 Budget",)),"")</f>
        <v>0</v>
      </c>
      <c r="K24" s="2219"/>
      <c r="L24" s="2219"/>
      <c r="M24" s="2219"/>
      <c r="N24" s="2219"/>
      <c r="O24" s="2219"/>
      <c r="P24" s="2219"/>
      <c r="Q24" s="2219"/>
      <c r="R24" s="2219"/>
      <c r="S24" s="2220"/>
      <c r="T24" s="102" t="s">
        <v>528</v>
      </c>
      <c r="U24" s="103"/>
      <c r="V24" s="103"/>
      <c r="W24" s="103"/>
      <c r="X24" s="104"/>
      <c r="Y24" s="104"/>
      <c r="Z24" s="104"/>
      <c r="AA24" s="105"/>
    </row>
    <row r="25" spans="1:27" ht="14.1" customHeight="1" x14ac:dyDescent="0.2">
      <c r="A25" s="2154">
        <v>60452</v>
      </c>
      <c r="B25" s="2155"/>
      <c r="C25" s="2155"/>
      <c r="D25" s="2155"/>
      <c r="E25" s="2155"/>
      <c r="F25" s="2155"/>
      <c r="G25" s="2155"/>
      <c r="H25" s="2156"/>
      <c r="I25" s="110"/>
      <c r="J25" s="2221"/>
      <c r="K25" s="2221"/>
      <c r="L25" s="2221"/>
      <c r="M25" s="2221"/>
      <c r="N25" s="2221"/>
      <c r="O25" s="2221"/>
      <c r="P25" s="2221"/>
      <c r="Q25" s="2221"/>
      <c r="R25" s="2221"/>
      <c r="S25" s="2222"/>
      <c r="T25" s="2114" t="s">
        <v>2071</v>
      </c>
      <c r="U25" s="2115"/>
      <c r="V25" s="2115"/>
      <c r="W25" s="2115"/>
      <c r="X25" s="2115"/>
      <c r="Y25" s="2115"/>
      <c r="Z25" s="2115"/>
      <c r="AA25" s="211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2" t="s">
        <v>1497</v>
      </c>
      <c r="J27" s="2185"/>
      <c r="K27" s="2185"/>
      <c r="L27" s="2185"/>
      <c r="M27" s="2185"/>
      <c r="N27" s="2185"/>
      <c r="O27" s="2185"/>
      <c r="P27" s="2185"/>
      <c r="Q27" s="2185"/>
      <c r="R27" s="2185"/>
      <c r="S27" s="218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2026</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2026</v>
      </c>
      <c r="C30" s="121" t="s">
        <v>1156</v>
      </c>
      <c r="D30" s="28"/>
      <c r="E30" s="28"/>
      <c r="F30" s="136"/>
      <c r="G30" s="111"/>
      <c r="H30" s="111"/>
      <c r="I30" s="51"/>
      <c r="J30" s="144" t="s">
        <v>2026</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2026</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8"/>
      <c r="Q35" s="2155"/>
      <c r="R35" s="215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7" t="s">
        <v>2029</v>
      </c>
      <c r="B38" s="2187"/>
      <c r="C38" s="2187"/>
      <c r="D38" s="2187"/>
      <c r="E38" s="2187"/>
      <c r="F38" s="2155"/>
      <c r="G38" s="2155"/>
      <c r="H38" s="2156"/>
      <c r="I38" s="2206" t="s">
        <v>2031</v>
      </c>
      <c r="J38" s="2126"/>
      <c r="K38" s="2126"/>
      <c r="L38" s="2126"/>
      <c r="M38" s="2126"/>
      <c r="N38" s="2126"/>
      <c r="O38" s="2126"/>
      <c r="P38" s="2127"/>
      <c r="Q38" s="2127"/>
      <c r="R38" s="2127"/>
      <c r="S38" s="2128"/>
      <c r="T38" s="2125"/>
      <c r="U38" s="2126"/>
      <c r="V38" s="2126"/>
      <c r="W38" s="2126"/>
      <c r="X38" s="2127"/>
      <c r="Y38" s="2127"/>
      <c r="Z38" s="2127"/>
      <c r="AA38" s="2128"/>
    </row>
    <row r="39" spans="1:27" ht="12" customHeight="1" x14ac:dyDescent="0.2">
      <c r="A39" s="2210" t="s">
        <v>528</v>
      </c>
      <c r="B39" s="2211"/>
      <c r="C39" s="69"/>
      <c r="D39" s="66"/>
      <c r="E39" s="66"/>
      <c r="F39" s="76"/>
      <c r="G39" s="66"/>
      <c r="H39" s="53"/>
      <c r="I39" s="2210" t="s">
        <v>528</v>
      </c>
      <c r="J39" s="2211"/>
      <c r="K39" s="2211"/>
      <c r="L39" s="2211"/>
      <c r="M39" s="2211"/>
      <c r="N39" s="64"/>
      <c r="O39" s="69"/>
      <c r="P39" s="69"/>
      <c r="Q39" s="75"/>
      <c r="R39" s="69"/>
      <c r="S39" s="53"/>
      <c r="T39" s="69" t="s">
        <v>528</v>
      </c>
      <c r="U39" s="48"/>
      <c r="V39" s="69"/>
      <c r="W39" s="47"/>
      <c r="X39" s="75"/>
      <c r="Y39" s="43"/>
      <c r="Z39" s="43"/>
      <c r="AA39" s="44"/>
    </row>
    <row r="40" spans="1:27" ht="13.5" customHeight="1" x14ac:dyDescent="0.2">
      <c r="A40" s="2213"/>
      <c r="B40" s="2214"/>
      <c r="C40" s="2215"/>
      <c r="D40" s="2215"/>
      <c r="E40" s="2215"/>
      <c r="F40" s="2216"/>
      <c r="G40" s="2216"/>
      <c r="H40" s="2217"/>
      <c r="I40" s="2129"/>
      <c r="J40" s="2131"/>
      <c r="K40" s="2131"/>
      <c r="L40" s="2131"/>
      <c r="M40" s="2131"/>
      <c r="N40" s="2131"/>
      <c r="O40" s="2131"/>
      <c r="P40" s="2131"/>
      <c r="Q40" s="2131"/>
      <c r="R40" s="2131"/>
      <c r="S40" s="2132"/>
      <c r="T40" s="2129"/>
      <c r="U40" s="2130"/>
      <c r="V40" s="2131"/>
      <c r="W40" s="2131"/>
      <c r="X40" s="2131"/>
      <c r="Y40" s="2131"/>
      <c r="Z40" s="2131"/>
      <c r="AA40" s="213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3" t="s">
        <v>2030</v>
      </c>
      <c r="B42" s="2204"/>
      <c r="C42" s="2205"/>
      <c r="D42" s="2218"/>
      <c r="E42" s="2204"/>
      <c r="F42" s="2204"/>
      <c r="G42" s="2204"/>
      <c r="H42" s="2205"/>
      <c r="I42" s="2124" t="s">
        <v>2032</v>
      </c>
      <c r="J42" s="2120"/>
      <c r="K42" s="2120"/>
      <c r="L42" s="2120"/>
      <c r="M42" s="2120"/>
      <c r="N42" s="2120"/>
      <c r="O42" s="2121"/>
      <c r="P42" s="2119"/>
      <c r="Q42" s="2120"/>
      <c r="R42" s="2120"/>
      <c r="S42" s="2121"/>
      <c r="T42" s="2124"/>
      <c r="U42" s="2120"/>
      <c r="V42" s="2120"/>
      <c r="W42" s="2121"/>
      <c r="X42" s="2119"/>
      <c r="Y42" s="2120"/>
      <c r="Z42" s="2120"/>
      <c r="AA42" s="212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7"/>
      <c r="B44" s="2208"/>
      <c r="C44" s="2208"/>
      <c r="D44" s="2208"/>
      <c r="E44" s="2208"/>
      <c r="F44" s="2208"/>
      <c r="G44" s="2208"/>
      <c r="H44" s="2209"/>
      <c r="I44" s="2199"/>
      <c r="J44" s="2201"/>
      <c r="K44" s="2201"/>
      <c r="L44" s="2201"/>
      <c r="M44" s="2201"/>
      <c r="N44" s="2201"/>
      <c r="O44" s="2201"/>
      <c r="P44" s="2201"/>
      <c r="Q44" s="2201"/>
      <c r="R44" s="2201"/>
      <c r="S44" s="2202"/>
      <c r="T44" s="2199"/>
      <c r="U44" s="2200"/>
      <c r="V44" s="2200"/>
      <c r="W44" s="2200"/>
      <c r="X44" s="2200"/>
      <c r="Y44" s="2200"/>
      <c r="Z44" s="2201"/>
      <c r="AA44" s="220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1"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2"/>
      <c r="B3" s="1339"/>
      <c r="C3" s="1340"/>
      <c r="D3" s="1341" t="s">
        <v>254</v>
      </c>
      <c r="E3" s="1340"/>
      <c r="F3" s="1341" t="s">
        <v>255</v>
      </c>
    </row>
    <row r="4" spans="1:8" ht="13.7" customHeight="1" x14ac:dyDescent="0.2">
      <c r="A4" s="579" t="s">
        <v>1147</v>
      </c>
      <c r="B4" s="1771">
        <f>'Revenues 9-14'!C5</f>
        <v>6211388</v>
      </c>
      <c r="C4" s="1772">
        <v>3328996</v>
      </c>
      <c r="D4" s="1773">
        <f>B4-C4</f>
        <v>2882392</v>
      </c>
      <c r="E4" s="1772">
        <v>6508488</v>
      </c>
      <c r="F4" s="1773">
        <f>E4-C4</f>
        <v>3179492</v>
      </c>
    </row>
    <row r="5" spans="1:8" ht="13.7" customHeight="1" x14ac:dyDescent="0.2">
      <c r="A5" s="579" t="s">
        <v>865</v>
      </c>
      <c r="B5" s="1774">
        <f>'Revenues 9-14'!D5</f>
        <v>891205</v>
      </c>
      <c r="C5" s="1714">
        <v>475050</v>
      </c>
      <c r="D5" s="1775">
        <f t="shared" ref="D5:D18" si="0">B5-C5</f>
        <v>416155</v>
      </c>
      <c r="E5" s="1714">
        <v>928770</v>
      </c>
      <c r="F5" s="1775">
        <f>E5-C5</f>
        <v>453720</v>
      </c>
    </row>
    <row r="6" spans="1:8" ht="13.7" customHeight="1" x14ac:dyDescent="0.2">
      <c r="A6" s="579" t="s">
        <v>408</v>
      </c>
      <c r="B6" s="1774">
        <f>'Revenues 9-14'!E5</f>
        <v>1909347</v>
      </c>
      <c r="C6" s="1714">
        <v>997445</v>
      </c>
      <c r="D6" s="1775">
        <f t="shared" si="0"/>
        <v>911902</v>
      </c>
      <c r="E6" s="1714">
        <f>1314443+635660</f>
        <v>1950103</v>
      </c>
      <c r="F6" s="1775">
        <f t="shared" ref="F6:F18" si="1">E6-C6</f>
        <v>952658</v>
      </c>
    </row>
    <row r="7" spans="1:8" ht="13.7" customHeight="1" x14ac:dyDescent="0.2">
      <c r="A7" s="579" t="s">
        <v>154</v>
      </c>
      <c r="B7" s="1774">
        <f>'Revenues 9-14'!F5</f>
        <v>309153</v>
      </c>
      <c r="C7" s="1714">
        <v>164052</v>
      </c>
      <c r="D7" s="1775">
        <f t="shared" si="0"/>
        <v>145101</v>
      </c>
      <c r="E7" s="1714">
        <v>320737</v>
      </c>
      <c r="F7" s="1775">
        <f t="shared" si="1"/>
        <v>156685</v>
      </c>
    </row>
    <row r="8" spans="1:8" ht="13.7" customHeight="1" x14ac:dyDescent="0.2">
      <c r="A8" s="579" t="s">
        <v>1171</v>
      </c>
      <c r="B8" s="1774">
        <f>'Revenues 9-14'!G5</f>
        <v>258571</v>
      </c>
      <c r="C8" s="1714">
        <v>137227</v>
      </c>
      <c r="D8" s="1775">
        <f t="shared" si="0"/>
        <v>121344</v>
      </c>
      <c r="E8" s="1714">
        <v>268294</v>
      </c>
      <c r="F8" s="1775">
        <f t="shared" si="1"/>
        <v>131067</v>
      </c>
    </row>
    <row r="9" spans="1:8" ht="13.7" customHeight="1" x14ac:dyDescent="0.2">
      <c r="A9" s="579" t="s">
        <v>405</v>
      </c>
      <c r="B9" s="1774">
        <f>'Revenues 9-14'!H5</f>
        <v>0</v>
      </c>
      <c r="C9" s="1714">
        <v>0</v>
      </c>
      <c r="D9" s="1775">
        <f t="shared" si="0"/>
        <v>0</v>
      </c>
      <c r="E9" s="1714">
        <v>0</v>
      </c>
      <c r="F9" s="1775">
        <f t="shared" si="1"/>
        <v>0</v>
      </c>
    </row>
    <row r="10" spans="1:8" ht="13.7" customHeight="1" x14ac:dyDescent="0.2">
      <c r="A10" s="579" t="s">
        <v>404</v>
      </c>
      <c r="B10" s="1774">
        <f>'Revenues 9-14'!I5</f>
        <v>6033</v>
      </c>
      <c r="C10" s="1714">
        <v>3238</v>
      </c>
      <c r="D10" s="1775">
        <f t="shared" si="0"/>
        <v>2795</v>
      </c>
      <c r="E10" s="1714">
        <v>6333</v>
      </c>
      <c r="F10" s="1775">
        <f t="shared" si="1"/>
        <v>3095</v>
      </c>
    </row>
    <row r="11" spans="1:8" x14ac:dyDescent="0.2">
      <c r="A11" s="579" t="s">
        <v>406</v>
      </c>
      <c r="B11" s="1774">
        <f>'Revenues 9-14'!J5</f>
        <v>135593</v>
      </c>
      <c r="C11" s="1714">
        <v>71788</v>
      </c>
      <c r="D11" s="1775">
        <f t="shared" si="0"/>
        <v>63805</v>
      </c>
      <c r="E11" s="1714">
        <v>140354</v>
      </c>
      <c r="F11" s="1775">
        <f t="shared" si="1"/>
        <v>68566</v>
      </c>
    </row>
    <row r="12" spans="1:8" ht="13.7" customHeight="1" x14ac:dyDescent="0.2">
      <c r="A12" s="579" t="s">
        <v>156</v>
      </c>
      <c r="B12" s="1774">
        <f>'Revenues 9-14'!K5</f>
        <v>2701</v>
      </c>
      <c r="C12" s="1714">
        <v>1422</v>
      </c>
      <c r="D12" s="1775">
        <f t="shared" si="0"/>
        <v>1279</v>
      </c>
      <c r="E12" s="1714">
        <v>2786</v>
      </c>
      <c r="F12" s="1775">
        <f t="shared" si="1"/>
        <v>1364</v>
      </c>
    </row>
    <row r="13" spans="1:8" ht="13.7" customHeight="1" x14ac:dyDescent="0.2">
      <c r="A13" s="579" t="s">
        <v>930</v>
      </c>
      <c r="B13" s="1774">
        <f>SUM('Revenues 9-14'!C6:D6)</f>
        <v>0</v>
      </c>
      <c r="C13" s="1714">
        <v>0</v>
      </c>
      <c r="D13" s="1775">
        <f t="shared" si="0"/>
        <v>0</v>
      </c>
      <c r="E13" s="1714">
        <v>0</v>
      </c>
      <c r="F13" s="1775">
        <f t="shared" si="1"/>
        <v>0</v>
      </c>
    </row>
    <row r="14" spans="1:8" ht="13.7" customHeight="1" x14ac:dyDescent="0.2">
      <c r="A14" s="579" t="s">
        <v>407</v>
      </c>
      <c r="B14" s="1774">
        <f>SUM('Revenues 9-14'!C7:D7,'Revenues 9-14'!F7:H7)</f>
        <v>2701</v>
      </c>
      <c r="C14" s="1714">
        <v>1422</v>
      </c>
      <c r="D14" s="1775">
        <f t="shared" si="0"/>
        <v>1279</v>
      </c>
      <c r="E14" s="1714">
        <v>2786</v>
      </c>
      <c r="F14" s="1775">
        <f t="shared" si="1"/>
        <v>1364</v>
      </c>
    </row>
    <row r="15" spans="1:8" ht="13.7" customHeight="1" x14ac:dyDescent="0.2">
      <c r="A15" s="579" t="s">
        <v>1150</v>
      </c>
      <c r="B15" s="1774">
        <f>SUM('Revenues 9-14'!D9:E9,'Revenues 9-14'!H9)</f>
        <v>0</v>
      </c>
      <c r="C15" s="1714">
        <v>0</v>
      </c>
      <c r="D15" s="1775">
        <f t="shared" si="0"/>
        <v>0</v>
      </c>
      <c r="E15" s="1714">
        <v>0</v>
      </c>
      <c r="F15" s="1775">
        <f t="shared" si="1"/>
        <v>0</v>
      </c>
    </row>
    <row r="16" spans="1:8" ht="13.7" customHeight="1" x14ac:dyDescent="0.2">
      <c r="A16" s="579" t="s">
        <v>1151</v>
      </c>
      <c r="B16" s="1774">
        <f>'Revenues 9-14'!G8</f>
        <v>239502</v>
      </c>
      <c r="C16" s="1714">
        <v>127121</v>
      </c>
      <c r="D16" s="1775">
        <f t="shared" si="0"/>
        <v>112381</v>
      </c>
      <c r="E16" s="1714">
        <v>248533</v>
      </c>
      <c r="F16" s="1775">
        <f t="shared" si="1"/>
        <v>121412</v>
      </c>
    </row>
    <row r="17" spans="1:6" ht="13.7" customHeight="1" x14ac:dyDescent="0.2">
      <c r="A17" s="579" t="s">
        <v>1152</v>
      </c>
      <c r="B17" s="1774">
        <f>'Revenues 9-14'!C10</f>
        <v>0</v>
      </c>
      <c r="C17" s="1714">
        <v>0</v>
      </c>
      <c r="D17" s="1775">
        <f t="shared" si="0"/>
        <v>0</v>
      </c>
      <c r="E17" s="1714">
        <v>0</v>
      </c>
      <c r="F17" s="1775">
        <f t="shared" si="1"/>
        <v>0</v>
      </c>
    </row>
    <row r="18" spans="1:6" ht="13.7" customHeight="1" x14ac:dyDescent="0.2">
      <c r="A18" s="579" t="s">
        <v>757</v>
      </c>
      <c r="B18" s="1774">
        <f>SUM('Revenues 9-14'!C11:K11)</f>
        <v>0</v>
      </c>
      <c r="C18" s="1714">
        <v>0</v>
      </c>
      <c r="D18" s="1775">
        <f t="shared" si="0"/>
        <v>0</v>
      </c>
      <c r="E18" s="1714">
        <v>0</v>
      </c>
      <c r="F18" s="1775">
        <f t="shared" si="1"/>
        <v>0</v>
      </c>
    </row>
    <row r="19" spans="1:6" ht="13.7" customHeight="1" thickBot="1" x14ac:dyDescent="0.25">
      <c r="A19" s="1481" t="s">
        <v>1153</v>
      </c>
      <c r="B19" s="1776">
        <f>SUM(B4:B18)</f>
        <v>9966194</v>
      </c>
      <c r="C19" s="1776">
        <f>SUM(C4:C18)</f>
        <v>5307761</v>
      </c>
      <c r="D19" s="1776">
        <f>SUM(D4:D18)</f>
        <v>4658433</v>
      </c>
      <c r="E19" s="1776">
        <f>SUM(E4:E18)</f>
        <v>10377184</v>
      </c>
      <c r="F19" s="1776">
        <f>SUM(F4:F18)</f>
        <v>5069423</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7" t="s">
        <v>625</v>
      </c>
      <c r="B1" s="2368"/>
      <c r="C1" s="585"/>
    </row>
    <row r="2" spans="1:7" ht="33.75" x14ac:dyDescent="0.2">
      <c r="A2" s="2376" t="s">
        <v>1780</v>
      </c>
      <c r="B2" s="237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0" t="s">
        <v>1106</v>
      </c>
      <c r="B3" s="2381"/>
      <c r="C3" s="2369"/>
      <c r="D3" s="2370"/>
      <c r="E3" s="2370"/>
      <c r="F3" s="2371"/>
    </row>
    <row r="4" spans="1:7" ht="12.75" customHeight="1" thickBot="1" x14ac:dyDescent="0.25">
      <c r="A4" s="2378" t="s">
        <v>626</v>
      </c>
      <c r="B4" s="2379"/>
      <c r="C4" s="1706"/>
      <c r="D4" s="1706"/>
      <c r="E4" s="1706"/>
      <c r="F4" s="1782">
        <f>SUM(C4+D4)-E4</f>
        <v>0</v>
      </c>
    </row>
    <row r="5" spans="1:7" ht="15.75" customHeight="1" thickTop="1" x14ac:dyDescent="0.2">
      <c r="A5" s="2363" t="s">
        <v>1103</v>
      </c>
      <c r="B5" s="2364"/>
      <c r="C5" s="2372"/>
      <c r="D5" s="2373"/>
      <c r="E5" s="2373"/>
      <c r="F5" s="237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5" t="s">
        <v>627</v>
      </c>
      <c r="B15" s="2366"/>
      <c r="C15" s="1782">
        <f>SUM(C6:C14)</f>
        <v>0</v>
      </c>
      <c r="D15" s="1782">
        <f>SUM(D6:D14)</f>
        <v>0</v>
      </c>
      <c r="E15" s="1782">
        <f>SUM(E6:E14)</f>
        <v>0</v>
      </c>
      <c r="F15" s="1782">
        <f>SUM(F6:F14)</f>
        <v>0</v>
      </c>
      <c r="G15" s="473"/>
    </row>
    <row r="16" spans="1:7" s="197" customFormat="1" ht="15.75" customHeight="1" thickTop="1" x14ac:dyDescent="0.2">
      <c r="A16" s="2375" t="s">
        <v>1104</v>
      </c>
      <c r="B16" s="2364"/>
      <c r="C16" s="2372"/>
      <c r="D16" s="2373"/>
      <c r="E16" s="2373"/>
      <c r="F16" s="2374"/>
    </row>
    <row r="17" spans="1:11" ht="12.75" customHeight="1" thickBot="1" x14ac:dyDescent="0.25">
      <c r="A17" s="2388" t="s">
        <v>64</v>
      </c>
      <c r="B17" s="2389"/>
      <c r="C17" s="1783"/>
      <c r="D17" s="1714"/>
      <c r="E17" s="1783"/>
      <c r="F17" s="1782">
        <f>SUM(C17+D17)-E17</f>
        <v>0</v>
      </c>
    </row>
    <row r="18" spans="1:11" ht="12.75" customHeight="1" thickTop="1" thickBot="1" x14ac:dyDescent="0.25">
      <c r="A18" s="2388" t="s">
        <v>6</v>
      </c>
      <c r="B18" s="2389"/>
      <c r="C18" s="1783"/>
      <c r="D18" s="1714"/>
      <c r="E18" s="1783"/>
      <c r="F18" s="1782">
        <f>SUM(C18+D18)-E18</f>
        <v>0</v>
      </c>
    </row>
    <row r="19" spans="1:11" ht="12.75" customHeight="1" thickTop="1" thickBot="1" x14ac:dyDescent="0.25">
      <c r="A19" s="2388" t="s">
        <v>385</v>
      </c>
      <c r="B19" s="2389"/>
      <c r="C19" s="1783"/>
      <c r="D19" s="1714"/>
      <c r="E19" s="1783"/>
      <c r="F19" s="1782">
        <f>SUM(C19+D19)-E19</f>
        <v>0</v>
      </c>
    </row>
    <row r="20" spans="1:11" ht="12.75" customHeight="1" thickTop="1" thickBot="1" x14ac:dyDescent="0.25">
      <c r="A20" s="2388" t="s">
        <v>445</v>
      </c>
      <c r="B20" s="2389"/>
      <c r="C20" s="1783"/>
      <c r="D20" s="1714"/>
      <c r="E20" s="1783"/>
      <c r="F20" s="1782">
        <f>SUM(C20+D20)-E20</f>
        <v>0</v>
      </c>
    </row>
    <row r="21" spans="1:11" ht="14.25" thickTop="1" thickBot="1" x14ac:dyDescent="0.25">
      <c r="A21" s="2365" t="s">
        <v>628</v>
      </c>
      <c r="B21" s="2366"/>
      <c r="C21" s="1782">
        <f>SUM(C17:C20)</f>
        <v>0</v>
      </c>
      <c r="D21" s="1782">
        <f>SUM(D17:D20)</f>
        <v>0</v>
      </c>
      <c r="E21" s="1782">
        <f>SUM(E17:E20)</f>
        <v>0</v>
      </c>
      <c r="F21" s="1782">
        <f>SUM(F17:F20)</f>
        <v>0</v>
      </c>
      <c r="G21" s="473"/>
    </row>
    <row r="22" spans="1:11" ht="15.75" customHeight="1" thickTop="1" x14ac:dyDescent="0.2">
      <c r="A22" s="2390" t="s">
        <v>1105</v>
      </c>
      <c r="B22" s="2364"/>
      <c r="C22" s="2372"/>
      <c r="D22" s="2373"/>
      <c r="E22" s="2373"/>
      <c r="F22" s="2374"/>
    </row>
    <row r="23" spans="1:11" ht="13.5" thickBot="1" x14ac:dyDescent="0.25">
      <c r="A23" s="2378" t="s">
        <v>629</v>
      </c>
      <c r="B23" s="2379"/>
      <c r="C23" s="1706"/>
      <c r="D23" s="1706"/>
      <c r="E23" s="1706"/>
      <c r="F23" s="1782">
        <f>SUM(C23+D23)-E23</f>
        <v>0</v>
      </c>
      <c r="G23" s="473"/>
    </row>
    <row r="24" spans="1:11" ht="15.75" customHeight="1" thickTop="1" x14ac:dyDescent="0.2">
      <c r="A24" s="2390" t="s">
        <v>2007</v>
      </c>
      <c r="B24" s="2364"/>
      <c r="C24" s="2372"/>
      <c r="D24" s="2373"/>
      <c r="E24" s="2373"/>
      <c r="F24" s="2374"/>
    </row>
    <row r="25" spans="1:11" ht="13.5" thickBot="1" x14ac:dyDescent="0.25">
      <c r="A25" s="2378" t="s">
        <v>2008</v>
      </c>
      <c r="B25" s="2379"/>
      <c r="C25" s="1706"/>
      <c r="D25" s="1706"/>
      <c r="E25" s="1706"/>
      <c r="F25" s="1782">
        <f>SUM(C25+D25)-E25</f>
        <v>0</v>
      </c>
      <c r="G25" s="473"/>
    </row>
    <row r="26" spans="1:11" ht="15.75" customHeight="1" thickTop="1" x14ac:dyDescent="0.2">
      <c r="A26" s="2363" t="s">
        <v>652</v>
      </c>
      <c r="B26" s="2364"/>
      <c r="C26" s="589"/>
      <c r="D26" s="589"/>
      <c r="E26" s="589"/>
      <c r="F26" s="590"/>
    </row>
    <row r="27" spans="1:11" ht="13.5" thickBot="1" x14ac:dyDescent="0.25">
      <c r="A27" s="2365" t="s">
        <v>1063</v>
      </c>
      <c r="B27" s="2366"/>
      <c r="C27" s="1714"/>
      <c r="D27" s="1714"/>
      <c r="E27" s="1714"/>
      <c r="F27" s="1782">
        <f>SUM(C27+D27)-E27</f>
        <v>0</v>
      </c>
      <c r="G27" s="473"/>
    </row>
    <row r="28" spans="1:11" ht="7.5" customHeight="1" thickTop="1" x14ac:dyDescent="0.2">
      <c r="A28" s="489"/>
    </row>
    <row r="29" spans="1:11" ht="23.25" customHeight="1" x14ac:dyDescent="0.2">
      <c r="A29" s="2391" t="s">
        <v>578</v>
      </c>
      <c r="B29" s="2368"/>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2072</v>
      </c>
      <c r="B31" s="595">
        <v>38048</v>
      </c>
      <c r="C31" s="1784">
        <v>1040193</v>
      </c>
      <c r="D31" s="1785">
        <v>6</v>
      </c>
      <c r="E31" s="1784">
        <v>667123</v>
      </c>
      <c r="F31" s="1784"/>
      <c r="G31" s="1784"/>
      <c r="H31" s="1784">
        <v>346594</v>
      </c>
      <c r="I31" s="1786">
        <f>((E31+F31)-H31)+G31</f>
        <v>320529</v>
      </c>
      <c r="J31" s="1784">
        <v>209817</v>
      </c>
      <c r="K31" s="596"/>
    </row>
    <row r="32" spans="1:11" ht="12" customHeight="1" x14ac:dyDescent="0.2">
      <c r="A32" s="594" t="s">
        <v>2072</v>
      </c>
      <c r="B32" s="595">
        <v>41584</v>
      </c>
      <c r="C32" s="1784">
        <v>3480000</v>
      </c>
      <c r="D32" s="1785">
        <v>3</v>
      </c>
      <c r="E32" s="1784">
        <v>3440000</v>
      </c>
      <c r="F32" s="1784"/>
      <c r="G32" s="1784"/>
      <c r="H32" s="1784">
        <v>15000</v>
      </c>
      <c r="I32" s="1786">
        <f>((E32+F32)-H32)+G32</f>
        <v>3425000</v>
      </c>
      <c r="J32" s="1784">
        <v>2241836</v>
      </c>
      <c r="K32" s="596"/>
    </row>
    <row r="33" spans="1:11" ht="12" customHeight="1" x14ac:dyDescent="0.2">
      <c r="A33" s="594" t="s">
        <v>2072</v>
      </c>
      <c r="B33" s="595">
        <v>42856</v>
      </c>
      <c r="C33" s="1784">
        <v>2070000</v>
      </c>
      <c r="D33" s="1785">
        <v>1</v>
      </c>
      <c r="E33" s="1784">
        <v>1400000</v>
      </c>
      <c r="F33" s="1784"/>
      <c r="G33" s="1784"/>
      <c r="H33" s="1784">
        <v>625000</v>
      </c>
      <c r="I33" s="1786">
        <f t="shared" ref="I33:I48" si="1">((E33+F33)-H33)+G33</f>
        <v>775000</v>
      </c>
      <c r="J33" s="1784">
        <v>507355</v>
      </c>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6590193</v>
      </c>
      <c r="D49" s="1792"/>
      <c r="E49" s="1786">
        <f t="shared" ref="E49:J49" si="2">SUM(E31:E48)</f>
        <v>5507123</v>
      </c>
      <c r="F49" s="1786">
        <f t="shared" si="2"/>
        <v>0</v>
      </c>
      <c r="G49" s="1786">
        <f t="shared" si="2"/>
        <v>0</v>
      </c>
      <c r="H49" s="1786">
        <f t="shared" si="2"/>
        <v>986594</v>
      </c>
      <c r="I49" s="1786">
        <f t="shared" si="2"/>
        <v>4520529</v>
      </c>
      <c r="J49" s="1786">
        <f t="shared" si="2"/>
        <v>2959008</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382" t="s">
        <v>580</v>
      </c>
      <c r="C52" s="2383"/>
      <c r="D52" s="2383"/>
      <c r="E52" s="603" t="s">
        <v>840</v>
      </c>
      <c r="F52" s="2384"/>
      <c r="G52" s="2385"/>
      <c r="H52" s="596"/>
      <c r="I52" s="596"/>
      <c r="J52" s="600"/>
    </row>
    <row r="53" spans="1:11" ht="11.25" customHeight="1" x14ac:dyDescent="0.2">
      <c r="A53" s="604" t="s">
        <v>907</v>
      </c>
      <c r="B53" s="605" t="s">
        <v>945</v>
      </c>
      <c r="C53" s="600"/>
      <c r="D53" s="597"/>
      <c r="E53" s="603" t="s">
        <v>494</v>
      </c>
      <c r="F53" s="2386"/>
      <c r="G53" s="2387"/>
      <c r="H53" s="596"/>
      <c r="I53" s="596"/>
      <c r="J53" s="600"/>
    </row>
    <row r="54" spans="1:11" ht="11.25" customHeight="1" x14ac:dyDescent="0.2">
      <c r="A54" s="606" t="s">
        <v>908</v>
      </c>
      <c r="B54" s="601" t="s">
        <v>946</v>
      </c>
      <c r="C54" s="600"/>
      <c r="D54" s="597"/>
      <c r="E54" s="603" t="s">
        <v>495</v>
      </c>
      <c r="F54" s="2386"/>
      <c r="G54" s="238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8" t="s">
        <v>851</v>
      </c>
      <c r="B1" s="2419"/>
      <c r="C1" s="2419"/>
      <c r="D1" s="2419"/>
      <c r="E1" s="2419"/>
      <c r="F1" s="2419"/>
      <c r="G1" s="2420"/>
      <c r="H1" s="1343"/>
      <c r="I1" s="614"/>
      <c r="J1" s="400"/>
    </row>
    <row r="2" spans="1:11" ht="26.25" x14ac:dyDescent="0.2">
      <c r="A2" s="2395" t="s">
        <v>1661</v>
      </c>
      <c r="B2" s="2396"/>
      <c r="C2" s="2396"/>
      <c r="D2" s="2396"/>
      <c r="E2" s="2397"/>
      <c r="F2" s="615" t="s">
        <v>898</v>
      </c>
      <c r="G2" s="616" t="s">
        <v>1658</v>
      </c>
      <c r="H2" s="616" t="s">
        <v>407</v>
      </c>
      <c r="I2" s="616" t="s">
        <v>1150</v>
      </c>
      <c r="J2" s="616" t="s">
        <v>1790</v>
      </c>
      <c r="K2" s="616" t="s">
        <v>137</v>
      </c>
    </row>
    <row r="3" spans="1:11" x14ac:dyDescent="0.2">
      <c r="A3" s="2398" t="str">
        <f>"Cash Basis Fund Balance as of July 1, "&amp;'AFR20'!E2-1</f>
        <v>Cash Basis Fund Balance as of July 1, 2019</v>
      </c>
      <c r="B3" s="2399"/>
      <c r="C3" s="2399"/>
      <c r="D3" s="2399"/>
      <c r="E3" s="2400"/>
      <c r="F3" s="617"/>
      <c r="G3" s="1794"/>
      <c r="H3" s="1794"/>
      <c r="I3" s="1794"/>
      <c r="J3" s="1795"/>
      <c r="K3" s="1795"/>
    </row>
    <row r="4" spans="1:11" x14ac:dyDescent="0.2">
      <c r="A4" s="2401" t="s">
        <v>366</v>
      </c>
      <c r="B4" s="2402"/>
      <c r="C4" s="2402"/>
      <c r="D4" s="2402"/>
      <c r="E4" s="2383"/>
      <c r="F4" s="620"/>
      <c r="G4" s="1796"/>
      <c r="H4" s="1797"/>
      <c r="I4" s="1796"/>
      <c r="J4" s="1798"/>
      <c r="K4" s="1798"/>
    </row>
    <row r="5" spans="1:11" x14ac:dyDescent="0.2">
      <c r="A5" s="2421" t="s">
        <v>1062</v>
      </c>
      <c r="B5" s="2392"/>
      <c r="C5" s="2392"/>
      <c r="D5" s="2392"/>
      <c r="E5" s="2422"/>
      <c r="F5" s="622" t="s">
        <v>843</v>
      </c>
      <c r="G5" s="1799"/>
      <c r="H5" s="1794">
        <v>2701</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21" t="s">
        <v>1791</v>
      </c>
      <c r="B10" s="2392"/>
      <c r="C10" s="2392"/>
      <c r="D10" s="2392"/>
      <c r="E10" s="2423"/>
      <c r="F10" s="633" t="s">
        <v>857</v>
      </c>
      <c r="G10" s="1803"/>
      <c r="H10" s="1804"/>
      <c r="I10" s="1794"/>
      <c r="J10" s="1795"/>
      <c r="K10" s="1795"/>
    </row>
    <row r="11" spans="1:11" x14ac:dyDescent="0.2">
      <c r="A11" s="2421" t="s">
        <v>159</v>
      </c>
      <c r="B11" s="2392"/>
      <c r="C11" s="2392"/>
      <c r="D11" s="2392"/>
      <c r="E11" s="2422"/>
      <c r="F11" s="622" t="s">
        <v>847</v>
      </c>
      <c r="G11" s="1799"/>
      <c r="H11" s="1794"/>
      <c r="I11" s="1794"/>
      <c r="J11" s="1795"/>
      <c r="K11" s="1801"/>
    </row>
    <row r="12" spans="1:11" ht="13.5" thickBot="1" x14ac:dyDescent="0.25">
      <c r="A12" s="2409" t="s">
        <v>899</v>
      </c>
      <c r="B12" s="2410"/>
      <c r="C12" s="2410"/>
      <c r="D12" s="2410"/>
      <c r="E12" s="2411"/>
      <c r="F12" s="1482"/>
      <c r="G12" s="1805">
        <f>SUM(G5:G11)</f>
        <v>0</v>
      </c>
      <c r="H12" s="1805">
        <f>SUM(H5:H11)</f>
        <v>2701</v>
      </c>
      <c r="I12" s="1805">
        <f>SUM(I5:I11)</f>
        <v>0</v>
      </c>
      <c r="J12" s="1805">
        <f>SUM(J5:J11)</f>
        <v>0</v>
      </c>
      <c r="K12" s="1805">
        <f>SUM(K5:K11)</f>
        <v>0</v>
      </c>
    </row>
    <row r="13" spans="1:11" ht="13.5" thickTop="1" x14ac:dyDescent="0.2">
      <c r="A13" s="2403" t="s">
        <v>367</v>
      </c>
      <c r="B13" s="2404"/>
      <c r="C13" s="2404"/>
      <c r="D13" s="2404"/>
      <c r="E13" s="2405"/>
      <c r="F13" s="634"/>
      <c r="G13" s="1806"/>
      <c r="H13" s="1807"/>
      <c r="I13" s="1808"/>
      <c r="J13" s="1808"/>
      <c r="K13" s="1808"/>
    </row>
    <row r="14" spans="1:11" x14ac:dyDescent="0.2">
      <c r="A14" s="2427" t="s">
        <v>453</v>
      </c>
      <c r="B14" s="2427"/>
      <c r="C14" s="2427"/>
      <c r="D14" s="2427"/>
      <c r="E14" s="2428"/>
      <c r="F14" s="635" t="s">
        <v>849</v>
      </c>
      <c r="G14" s="1803"/>
      <c r="H14" s="1794">
        <v>2701</v>
      </c>
      <c r="I14" s="1799"/>
      <c r="J14" s="1801"/>
      <c r="K14" s="1795"/>
    </row>
    <row r="15" spans="1:11" x14ac:dyDescent="0.2">
      <c r="A15" s="2392" t="s">
        <v>4</v>
      </c>
      <c r="B15" s="2392"/>
      <c r="C15" s="2392"/>
      <c r="D15" s="2392"/>
      <c r="E15" s="2422"/>
      <c r="F15" s="635" t="s">
        <v>850</v>
      </c>
      <c r="G15" s="1799"/>
      <c r="H15" s="1794"/>
      <c r="I15" s="1794"/>
      <c r="J15" s="1795"/>
      <c r="K15" s="1795"/>
    </row>
    <row r="16" spans="1:11" x14ac:dyDescent="0.2">
      <c r="A16" s="2392" t="s">
        <v>295</v>
      </c>
      <c r="B16" s="2392"/>
      <c r="C16" s="2392"/>
      <c r="D16" s="2392"/>
      <c r="E16" s="2422"/>
      <c r="F16" s="635" t="s">
        <v>917</v>
      </c>
      <c r="G16" s="1800"/>
      <c r="H16" s="1796"/>
      <c r="I16" s="1796"/>
      <c r="J16" s="1798"/>
      <c r="K16" s="1798"/>
    </row>
    <row r="17" spans="1:15" x14ac:dyDescent="0.2">
      <c r="A17" s="2416" t="s">
        <v>929</v>
      </c>
      <c r="B17" s="2416"/>
      <c r="C17" s="2416"/>
      <c r="D17" s="2416"/>
      <c r="E17" s="2417"/>
      <c r="F17" s="636"/>
      <c r="G17" s="1809"/>
      <c r="H17" s="1810"/>
      <c r="I17" s="1810"/>
      <c r="J17" s="1811"/>
      <c r="K17" s="1812"/>
    </row>
    <row r="18" spans="1:15" x14ac:dyDescent="0.2">
      <c r="A18" s="2406" t="s">
        <v>365</v>
      </c>
      <c r="B18" s="2407"/>
      <c r="C18" s="2407"/>
      <c r="D18" s="2407"/>
      <c r="E18" s="2408"/>
      <c r="F18" s="635" t="s">
        <v>926</v>
      </c>
      <c r="G18" s="1803"/>
      <c r="H18" s="1803"/>
      <c r="I18" s="1803"/>
      <c r="J18" s="1795"/>
      <c r="K18" s="1813"/>
    </row>
    <row r="19" spans="1:15" ht="21.75" customHeight="1" x14ac:dyDescent="0.2">
      <c r="A19" s="2429" t="s">
        <v>1787</v>
      </c>
      <c r="B19" s="2429"/>
      <c r="C19" s="2429"/>
      <c r="D19" s="2429"/>
      <c r="E19" s="2430"/>
      <c r="F19" s="635" t="s">
        <v>927</v>
      </c>
      <c r="G19" s="1803"/>
      <c r="H19" s="1803"/>
      <c r="I19" s="1803"/>
      <c r="J19" s="1795"/>
      <c r="K19" s="1813"/>
    </row>
    <row r="20" spans="1:15" x14ac:dyDescent="0.2">
      <c r="A20" s="2406" t="s">
        <v>1792</v>
      </c>
      <c r="B20" s="2407"/>
      <c r="C20" s="2407"/>
      <c r="D20" s="2407"/>
      <c r="E20" s="2408"/>
      <c r="F20" s="635" t="s">
        <v>928</v>
      </c>
      <c r="G20" s="1803"/>
      <c r="H20" s="1803"/>
      <c r="I20" s="1803"/>
      <c r="J20" s="1795"/>
      <c r="K20" s="1813"/>
    </row>
    <row r="21" spans="1:15" ht="13.5" thickBot="1" x14ac:dyDescent="0.25">
      <c r="A21" s="2412" t="s">
        <v>633</v>
      </c>
      <c r="B21" s="2412"/>
      <c r="C21" s="2412"/>
      <c r="D21" s="2412"/>
      <c r="E21" s="2412"/>
      <c r="F21" s="1483"/>
      <c r="G21" s="1810"/>
      <c r="H21" s="1814"/>
      <c r="I21" s="1814"/>
      <c r="J21" s="1815">
        <f>SUM(J18:J20)</f>
        <v>0</v>
      </c>
      <c r="K21" s="1811"/>
    </row>
    <row r="22" spans="1:15" ht="13.5" thickTop="1" x14ac:dyDescent="0.2">
      <c r="A22" s="2392" t="s">
        <v>1793</v>
      </c>
      <c r="B22" s="2392"/>
      <c r="C22" s="2392"/>
      <c r="D22" s="2392"/>
      <c r="E22" s="2422"/>
      <c r="F22" s="635" t="s">
        <v>857</v>
      </c>
      <c r="G22" s="1803"/>
      <c r="H22" s="1794"/>
      <c r="I22" s="1794"/>
      <c r="J22" s="1816"/>
      <c r="K22" s="1795"/>
    </row>
    <row r="23" spans="1:15" ht="13.5" thickBot="1" x14ac:dyDescent="0.25">
      <c r="A23" s="2413" t="s">
        <v>900</v>
      </c>
      <c r="B23" s="2412"/>
      <c r="C23" s="2412"/>
      <c r="D23" s="2412"/>
      <c r="E23" s="2412"/>
      <c r="F23" s="1485"/>
      <c r="G23" s="1805">
        <f>SUM(G14:G16,G21,G22)</f>
        <v>0</v>
      </c>
      <c r="H23" s="1805">
        <f>SUM(H14:H16,H21,H22)</f>
        <v>2701</v>
      </c>
      <c r="I23" s="1805">
        <f>SUM(I14:I16,I21,I22)</f>
        <v>0</v>
      </c>
      <c r="J23" s="1805">
        <f>SUM(J14:J16,J21,J22)</f>
        <v>0</v>
      </c>
      <c r="K23" s="1805">
        <f>SUM(K14:K16,K21,K22)</f>
        <v>0</v>
      </c>
      <c r="M23" s="1904"/>
      <c r="N23" s="1904"/>
      <c r="O23" s="1904"/>
    </row>
    <row r="24" spans="1:15" ht="14.25" thickTop="1" thickBot="1" x14ac:dyDescent="0.25">
      <c r="A24" s="2414" t="str">
        <f>"Ending Cash Basis Fund Balance as of June 30, "&amp;'AFR20'!E2</f>
        <v>Ending Cash Basis Fund Balance as of June 30, 2020</v>
      </c>
      <c r="B24" s="2415"/>
      <c r="C24" s="2415"/>
      <c r="D24" s="2415"/>
      <c r="E24" s="2415"/>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4"/>
      <c r="I31" s="2425"/>
      <c r="J31" s="2425"/>
      <c r="K31" s="2425"/>
    </row>
    <row r="32" spans="1:15" x14ac:dyDescent="0.2">
      <c r="A32" s="649"/>
      <c r="B32" s="232"/>
      <c r="C32" s="232"/>
      <c r="D32" s="232"/>
      <c r="E32" s="645"/>
      <c r="F32" s="651" t="s">
        <v>537</v>
      </c>
      <c r="G32" s="618"/>
      <c r="H32" s="2426"/>
      <c r="I32" s="2425"/>
      <c r="J32" s="2425"/>
      <c r="K32" s="2425"/>
    </row>
    <row r="33" spans="1:11" ht="1.5" customHeight="1" x14ac:dyDescent="0.2">
      <c r="A33" s="652" t="s">
        <v>1161</v>
      </c>
      <c r="B33" s="341"/>
      <c r="C33" s="341"/>
      <c r="D33" s="341"/>
      <c r="E33" s="341"/>
      <c r="F33" s="341"/>
      <c r="G33" s="653"/>
      <c r="H33" s="2426"/>
      <c r="I33" s="2425"/>
      <c r="J33" s="2425"/>
      <c r="K33" s="2425"/>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2" t="s">
        <v>538</v>
      </c>
      <c r="B41" s="2393"/>
      <c r="C41" s="2393"/>
      <c r="D41" s="2393"/>
      <c r="E41" s="2393"/>
      <c r="F41" s="239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1788</v>
      </c>
      <c r="B46" s="382" t="s">
        <v>1659</v>
      </c>
    </row>
    <row r="47" spans="1:11" s="663" customFormat="1" ht="12.75" customHeight="1" x14ac:dyDescent="0.2">
      <c r="A47" s="661"/>
      <c r="B47" s="662" t="s">
        <v>1660</v>
      </c>
      <c r="E47" s="662"/>
      <c r="K47" s="664"/>
    </row>
    <row r="48" spans="1:11" ht="12.75" customHeight="1" x14ac:dyDescent="0.2">
      <c r="A48" s="1345"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3" t="s">
        <v>1876</v>
      </c>
      <c r="B1" s="2434"/>
      <c r="C1" s="2435"/>
      <c r="D1" s="666"/>
      <c r="E1" s="667"/>
      <c r="F1" s="667"/>
      <c r="G1" s="668"/>
      <c r="H1" s="669"/>
      <c r="I1" s="670"/>
      <c r="J1" s="2431"/>
      <c r="K1" s="2432"/>
      <c r="L1" s="243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122641</v>
      </c>
      <c r="D5" s="1820"/>
      <c r="E5" s="1820"/>
      <c r="F5" s="1815">
        <f>(C5+D5)-E5</f>
        <v>122641</v>
      </c>
      <c r="G5" s="676"/>
      <c r="H5" s="680"/>
      <c r="I5" s="680"/>
      <c r="J5" s="680"/>
      <c r="K5" s="637"/>
      <c r="L5" s="1491">
        <f>F5-K5</f>
        <v>122641</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27992246</v>
      </c>
      <c r="D8" s="1821"/>
      <c r="E8" s="1821"/>
      <c r="F8" s="1815">
        <f>(C8+D8)-E8</f>
        <v>27992246</v>
      </c>
      <c r="G8" s="681">
        <v>50</v>
      </c>
      <c r="H8" s="619">
        <v>15282399</v>
      </c>
      <c r="I8" s="619">
        <v>575759</v>
      </c>
      <c r="J8" s="619"/>
      <c r="K8" s="1491">
        <f>(H8+I8)-J8</f>
        <v>15858158</v>
      </c>
      <c r="L8" s="1491">
        <f>F8-K8</f>
        <v>12134088</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594124</v>
      </c>
      <c r="D10" s="1822"/>
      <c r="E10" s="1822"/>
      <c r="F10" s="1823">
        <f>(C10+D10)-E10</f>
        <v>594124</v>
      </c>
      <c r="G10" s="681">
        <v>20</v>
      </c>
      <c r="H10" s="683">
        <v>512927</v>
      </c>
      <c r="I10" s="683">
        <v>6006</v>
      </c>
      <c r="J10" s="683"/>
      <c r="K10" s="1491">
        <f>(H10+I10)-J10</f>
        <v>518933</v>
      </c>
      <c r="L10" s="1491">
        <f>F10-K10</f>
        <v>75191</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1926355</v>
      </c>
      <c r="D12" s="1821">
        <v>12212</v>
      </c>
      <c r="E12" s="1821"/>
      <c r="F12" s="1815">
        <f>(C12+D12)-E12</f>
        <v>1938567</v>
      </c>
      <c r="G12" s="681">
        <v>10</v>
      </c>
      <c r="H12" s="619">
        <v>1848388</v>
      </c>
      <c r="I12" s="619">
        <v>69828</v>
      </c>
      <c r="J12" s="619"/>
      <c r="K12" s="1491">
        <f>(H12+I12)-J12</f>
        <v>1918216</v>
      </c>
      <c r="L12" s="1491">
        <f>F12-K12</f>
        <v>20351</v>
      </c>
    </row>
    <row r="13" spans="1:14" ht="14.25" thickTop="1" thickBot="1" x14ac:dyDescent="0.25">
      <c r="A13" s="684" t="s">
        <v>1114</v>
      </c>
      <c r="B13" s="679">
        <v>252</v>
      </c>
      <c r="C13" s="1821">
        <v>445928</v>
      </c>
      <c r="D13" s="1821"/>
      <c r="E13" s="1821"/>
      <c r="F13" s="1815">
        <f>(C13+D13)-E13</f>
        <v>445928</v>
      </c>
      <c r="G13" s="681">
        <v>5</v>
      </c>
      <c r="H13" s="619">
        <v>438471</v>
      </c>
      <c r="I13" s="619">
        <v>699</v>
      </c>
      <c r="J13" s="619"/>
      <c r="K13" s="1491">
        <f>(H13+I13)-J13</f>
        <v>439170</v>
      </c>
      <c r="L13" s="1491">
        <f>F13-K13</f>
        <v>6758</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31081294</v>
      </c>
      <c r="D16" s="1815">
        <f>SUM(D3,D5:D6,D8:D10,D12:D15)</f>
        <v>12212</v>
      </c>
      <c r="E16" s="1815">
        <f>SUM(E3,E5:E6,E8:E10,E12:E15)</f>
        <v>0</v>
      </c>
      <c r="F16" s="1815">
        <f>SUM(F3,F5:F6,F8:F10,F12:F15)</f>
        <v>31093506</v>
      </c>
      <c r="G16" s="681"/>
      <c r="H16" s="1484">
        <f>SUM(H3,H6,H8:H10,H12:H14,)</f>
        <v>18082185</v>
      </c>
      <c r="I16" s="1484">
        <f>SUM(I3,I6,I8:I10,I12:I14,)</f>
        <v>652292</v>
      </c>
      <c r="J16" s="1484">
        <f>SUM(J3,J6,J8:J10,J12:J14,)</f>
        <v>0</v>
      </c>
      <c r="K16" s="1484">
        <f>(H16+I16)-J16</f>
        <v>18734477</v>
      </c>
      <c r="L16" s="1484">
        <f>F16-K16</f>
        <v>12359029</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48359</v>
      </c>
      <c r="G17" s="676">
        <v>10</v>
      </c>
      <c r="H17" s="621"/>
      <c r="I17" s="1491">
        <f>F17/G17</f>
        <v>4835.8999999999996</v>
      </c>
      <c r="J17" s="621"/>
      <c r="K17" s="638"/>
      <c r="L17" s="638"/>
    </row>
    <row r="18" spans="1:12" ht="14.25" thickTop="1" thickBot="1" x14ac:dyDescent="0.25">
      <c r="A18" s="1489" t="s">
        <v>680</v>
      </c>
      <c r="B18" s="1490"/>
      <c r="C18" s="623"/>
      <c r="D18" s="623"/>
      <c r="E18" s="623"/>
      <c r="F18" s="686"/>
      <c r="G18" s="687"/>
      <c r="H18" s="624"/>
      <c r="I18" s="1484">
        <f>SUM(I16,I17)</f>
        <v>657127.9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9" t="str">
        <f>"ESTIMATED OPERATING EXPENSE PER PUPIL (OEPP)/PER CAPITA TUITION CHARGE (PCTC) COMPUTATIONS ("&amp;'AFR20'!E2-1&amp;" - "&amp;'AFR20'!E2&amp;")"</f>
        <v>ESTIMATED OPERATING EXPENSE PER PUPIL (OEPP)/PER CAPITA TUITION CHARGE (PCTC) COMPUTATIONS (2019 - 2020)</v>
      </c>
      <c r="B1" s="2440"/>
      <c r="C1" s="2440"/>
      <c r="D1" s="2440"/>
      <c r="E1" s="2440"/>
      <c r="F1" s="2441"/>
      <c r="G1" s="691"/>
      <c r="I1" s="701"/>
    </row>
    <row r="2" spans="1:9" ht="15" customHeight="1" thickBot="1" x14ac:dyDescent="0.25">
      <c r="A2" s="2442" t="s">
        <v>474</v>
      </c>
      <c r="B2" s="2443"/>
      <c r="C2" s="2443"/>
      <c r="D2" s="2443"/>
      <c r="E2" s="2443"/>
      <c r="F2" s="244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5"/>
      <c r="B5" s="2446"/>
      <c r="C5" s="2446"/>
      <c r="D5" s="2446"/>
      <c r="E5" s="2446"/>
      <c r="F5" s="2446"/>
    </row>
    <row r="6" spans="1:9" ht="13.5" customHeight="1" thickBot="1" x14ac:dyDescent="0.25">
      <c r="A6" s="2436" t="s">
        <v>1097</v>
      </c>
      <c r="B6" s="2437"/>
      <c r="C6" s="2437"/>
      <c r="D6" s="2437"/>
      <c r="E6" s="2437"/>
      <c r="F6" s="243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13131443</v>
      </c>
      <c r="G8" s="701"/>
    </row>
    <row r="9" spans="1:9" x14ac:dyDescent="0.2">
      <c r="A9" s="705" t="s">
        <v>457</v>
      </c>
      <c r="B9" s="706" t="s">
        <v>1849</v>
      </c>
      <c r="C9" s="707"/>
      <c r="D9" s="705" t="s">
        <v>498</v>
      </c>
      <c r="E9" s="704"/>
      <c r="F9" s="1825">
        <f>'Expenditures 15-22'!K151</f>
        <v>987337</v>
      </c>
      <c r="G9" s="708"/>
    </row>
    <row r="10" spans="1:9" x14ac:dyDescent="0.2">
      <c r="A10" s="705" t="s">
        <v>496</v>
      </c>
      <c r="B10" s="706" t="s">
        <v>1850</v>
      </c>
      <c r="C10" s="707"/>
      <c r="D10" s="705" t="s">
        <v>498</v>
      </c>
      <c r="E10" s="704"/>
      <c r="F10" s="1825">
        <f>'Expenditures 15-22'!K174</f>
        <v>1904171</v>
      </c>
      <c r="G10" s="708"/>
    </row>
    <row r="11" spans="1:9" x14ac:dyDescent="0.2">
      <c r="A11" s="705" t="s">
        <v>458</v>
      </c>
      <c r="B11" s="706" t="s">
        <v>1851</v>
      </c>
      <c r="C11" s="707"/>
      <c r="D11" s="705" t="s">
        <v>498</v>
      </c>
      <c r="E11" s="704"/>
      <c r="F11" s="1825">
        <f>'Expenditures 15-22'!K210</f>
        <v>640926</v>
      </c>
      <c r="G11" s="708"/>
    </row>
    <row r="12" spans="1:9" x14ac:dyDescent="0.2">
      <c r="A12" s="705" t="s">
        <v>459</v>
      </c>
      <c r="B12" s="706" t="s">
        <v>1852</v>
      </c>
      <c r="C12" s="707"/>
      <c r="D12" s="705" t="s">
        <v>498</v>
      </c>
      <c r="E12" s="704"/>
      <c r="F12" s="1825">
        <f>'Expenditures 15-22'!K295</f>
        <v>371498</v>
      </c>
      <c r="G12" s="708"/>
    </row>
    <row r="13" spans="1:9" x14ac:dyDescent="0.2">
      <c r="A13" s="705" t="s">
        <v>106</v>
      </c>
      <c r="B13" s="706" t="s">
        <v>1853</v>
      </c>
      <c r="C13" s="707"/>
      <c r="D13" s="705" t="s">
        <v>498</v>
      </c>
      <c r="E13" s="704"/>
      <c r="F13" s="1825">
        <f>'Expenditures 15-22'!K342</f>
        <v>125507</v>
      </c>
      <c r="G13" s="709"/>
    </row>
    <row r="14" spans="1:9" ht="12" customHeight="1" thickBot="1" x14ac:dyDescent="0.25">
      <c r="A14" s="1492"/>
      <c r="B14" s="1493"/>
      <c r="C14" s="1494"/>
      <c r="D14" s="1495" t="s">
        <v>498</v>
      </c>
      <c r="E14" s="1496" t="s">
        <v>952</v>
      </c>
      <c r="F14" s="1826">
        <f>SUM(F8:F13)</f>
        <v>17160882</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83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1910</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118646</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205199</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55686</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238816</v>
      </c>
      <c r="G52" s="701"/>
    </row>
    <row r="53" spans="1:7" x14ac:dyDescent="0.2">
      <c r="A53" s="705" t="s">
        <v>456</v>
      </c>
      <c r="B53" s="705" t="s">
        <v>1461</v>
      </c>
      <c r="C53" s="724">
        <f>'Expenditures 15-22'!B102</f>
        <v>4000</v>
      </c>
      <c r="D53" s="723" t="str">
        <f>'Expenditures 15-22'!A102</f>
        <v>Total Payments to Other Govt Units</v>
      </c>
      <c r="E53" s="704"/>
      <c r="F53" s="1832">
        <f>'Expenditures 15-22'!K102</f>
        <v>1184798</v>
      </c>
      <c r="G53" s="701"/>
    </row>
    <row r="54" spans="1:7" x14ac:dyDescent="0.2">
      <c r="A54" s="705" t="s">
        <v>456</v>
      </c>
      <c r="B54" s="705" t="s">
        <v>1462</v>
      </c>
      <c r="C54" s="724" t="s">
        <v>975</v>
      </c>
      <c r="D54" s="720" t="s">
        <v>1088</v>
      </c>
      <c r="E54" s="704"/>
      <c r="F54" s="1832">
        <f>'Expenditures 15-22'!G114</f>
        <v>12212</v>
      </c>
      <c r="G54" s="701"/>
    </row>
    <row r="55" spans="1:7" x14ac:dyDescent="0.2">
      <c r="A55" s="705" t="s">
        <v>456</v>
      </c>
      <c r="B55" s="705" t="s">
        <v>1463</v>
      </c>
      <c r="C55" s="724" t="s">
        <v>975</v>
      </c>
      <c r="D55" s="720" t="s">
        <v>288</v>
      </c>
      <c r="E55" s="704"/>
      <c r="F55" s="1832">
        <f>'Expenditures 15-22'!I114</f>
        <v>46909</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832">
        <f>'Expenditures 15-22'!K139</f>
        <v>0</v>
      </c>
      <c r="G57" s="701"/>
    </row>
    <row r="58" spans="1:7" x14ac:dyDescent="0.2">
      <c r="A58" s="705" t="s">
        <v>457</v>
      </c>
      <c r="B58" s="705" t="s">
        <v>1855</v>
      </c>
      <c r="C58" s="721" t="s">
        <v>975</v>
      </c>
      <c r="D58" s="720" t="s">
        <v>1088</v>
      </c>
      <c r="E58" s="704"/>
      <c r="F58" s="1834">
        <f>'Expenditures 15-22'!G151</f>
        <v>0</v>
      </c>
      <c r="G58" s="701"/>
    </row>
    <row r="59" spans="1:7" x14ac:dyDescent="0.2">
      <c r="A59" s="728" t="s">
        <v>457</v>
      </c>
      <c r="B59" s="692" t="s">
        <v>1856</v>
      </c>
      <c r="C59" s="729" t="s">
        <v>975</v>
      </c>
      <c r="D59" s="692" t="s">
        <v>288</v>
      </c>
      <c r="F59" s="1835">
        <f>'Expenditures 15-22'!I151</f>
        <v>1450</v>
      </c>
      <c r="G59" s="701"/>
    </row>
    <row r="60" spans="1:7" x14ac:dyDescent="0.2">
      <c r="A60" s="728" t="s">
        <v>496</v>
      </c>
      <c r="B60" s="692" t="s">
        <v>1857</v>
      </c>
      <c r="C60" s="729">
        <v>4000</v>
      </c>
      <c r="D60" s="692" t="s">
        <v>309</v>
      </c>
      <c r="F60" s="1833">
        <f>'Expenditures 15-22'!K160</f>
        <v>0</v>
      </c>
      <c r="G60" s="701"/>
    </row>
    <row r="61" spans="1:7" x14ac:dyDescent="0.2">
      <c r="A61" s="730" t="s">
        <v>496</v>
      </c>
      <c r="B61" s="730" t="s">
        <v>1858</v>
      </c>
      <c r="C61" s="731" t="str">
        <f>'Expenditures 15-22'!B170</f>
        <v>5300</v>
      </c>
      <c r="D61" s="732" t="s">
        <v>308</v>
      </c>
      <c r="E61" s="715"/>
      <c r="F61" s="1832">
        <f>'Expenditures 15-22'!K170</f>
        <v>986594</v>
      </c>
      <c r="G61" s="701"/>
    </row>
    <row r="62" spans="1:7" x14ac:dyDescent="0.2">
      <c r="A62" s="705" t="s">
        <v>458</v>
      </c>
      <c r="B62" s="705" t="s">
        <v>1859</v>
      </c>
      <c r="C62" s="721">
        <f>'Expenditures 15-22'!B185</f>
        <v>3000</v>
      </c>
      <c r="D62" s="712" t="s">
        <v>446</v>
      </c>
      <c r="E62" s="704"/>
      <c r="F62" s="183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1861</v>
      </c>
      <c r="C64" s="731" t="str">
        <f>'Expenditures 15-22'!B206</f>
        <v>5300</v>
      </c>
      <c r="D64" s="727" t="s">
        <v>308</v>
      </c>
      <c r="E64" s="704"/>
      <c r="F64" s="1832">
        <f>'Expenditures 15-22'!K206</f>
        <v>0</v>
      </c>
      <c r="G64" s="701"/>
    </row>
    <row r="65" spans="1:9" x14ac:dyDescent="0.2">
      <c r="A65" s="705" t="s">
        <v>458</v>
      </c>
      <c r="B65" s="705" t="s">
        <v>1862</v>
      </c>
      <c r="C65" s="721" t="s">
        <v>975</v>
      </c>
      <c r="D65" s="720" t="s">
        <v>1088</v>
      </c>
      <c r="E65" s="704"/>
      <c r="F65" s="1832">
        <f>'Expenditures 15-22'!G210</f>
        <v>0</v>
      </c>
      <c r="G65" s="701"/>
    </row>
    <row r="66" spans="1:9" x14ac:dyDescent="0.2">
      <c r="A66" s="705" t="s">
        <v>458</v>
      </c>
      <c r="B66" s="705" t="s">
        <v>1863</v>
      </c>
      <c r="C66" s="721" t="s">
        <v>975</v>
      </c>
      <c r="D66" s="720" t="s">
        <v>288</v>
      </c>
      <c r="E66" s="704"/>
      <c r="F66" s="1832">
        <f>'Expenditures 15-22'!I210</f>
        <v>0</v>
      </c>
      <c r="G66" s="701"/>
    </row>
    <row r="67" spans="1:9" x14ac:dyDescent="0.2">
      <c r="A67" s="705" t="s">
        <v>459</v>
      </c>
      <c r="B67" s="705" t="s">
        <v>1864</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1339</v>
      </c>
      <c r="G68" s="701"/>
    </row>
    <row r="69" spans="1:9" x14ac:dyDescent="0.2">
      <c r="A69" s="705" t="s">
        <v>459</v>
      </c>
      <c r="B69" s="705" t="s">
        <v>1865</v>
      </c>
      <c r="C69" s="721" t="str">
        <f>'Expenditures 15-22'!B220</f>
        <v>1275</v>
      </c>
      <c r="D69" s="727" t="str">
        <f>'Expenditures 15-22'!A220</f>
        <v>Remedial and Supplemental Programs - Pre-K</v>
      </c>
      <c r="E69" s="704"/>
      <c r="F69" s="1832">
        <f>'Expenditures 15-22'!K220</f>
        <v>6905</v>
      </c>
      <c r="G69" s="701"/>
    </row>
    <row r="70" spans="1:9" x14ac:dyDescent="0.2">
      <c r="A70" s="705" t="s">
        <v>459</v>
      </c>
      <c r="B70" s="705" t="s">
        <v>1866</v>
      </c>
      <c r="C70" s="721">
        <f>'Expenditures 15-22'!B221</f>
        <v>1300</v>
      </c>
      <c r="D70" s="722" t="str">
        <f>'Expenditures 15-22'!A221</f>
        <v>Adult/Continuing Education Programs</v>
      </c>
      <c r="E70" s="704"/>
      <c r="F70" s="1832">
        <f>'Expenditures 15-22'!K221</f>
        <v>0</v>
      </c>
      <c r="G70" s="701"/>
    </row>
    <row r="71" spans="1:9" x14ac:dyDescent="0.2">
      <c r="A71" s="705" t="s">
        <v>459</v>
      </c>
      <c r="B71" s="705" t="s">
        <v>1867</v>
      </c>
      <c r="C71" s="721">
        <f>'Expenditures 15-22'!B224</f>
        <v>1600</v>
      </c>
      <c r="D71" s="722" t="str">
        <f>'Expenditures 15-22'!A224</f>
        <v>Summer School Programs</v>
      </c>
      <c r="E71" s="704"/>
      <c r="F71" s="1832">
        <f>'Expenditures 15-22'!K224</f>
        <v>0</v>
      </c>
      <c r="G71" s="701"/>
    </row>
    <row r="72" spans="1:9" x14ac:dyDescent="0.2">
      <c r="A72" s="705" t="s">
        <v>459</v>
      </c>
      <c r="B72" s="705" t="s">
        <v>1868</v>
      </c>
      <c r="C72" s="721">
        <f>'Expenditures 15-22'!B280</f>
        <v>3000</v>
      </c>
      <c r="D72" s="712" t="s">
        <v>446</v>
      </c>
      <c r="E72" s="704"/>
      <c r="F72" s="1832">
        <f>'Expenditures 15-22'!K280</f>
        <v>26314</v>
      </c>
      <c r="G72" s="701"/>
    </row>
    <row r="73" spans="1:9" x14ac:dyDescent="0.2">
      <c r="A73" s="705" t="s">
        <v>459</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1870</v>
      </c>
      <c r="C74" s="721" t="s">
        <v>855</v>
      </c>
      <c r="D74" s="722" t="s">
        <v>1473</v>
      </c>
      <c r="E74" s="704"/>
      <c r="F74" s="1836">
        <f>'Expenditures 15-22'!K334</f>
        <v>0</v>
      </c>
      <c r="G74" s="701"/>
    </row>
    <row r="75" spans="1:9" x14ac:dyDescent="0.2">
      <c r="A75" s="705" t="s">
        <v>2009</v>
      </c>
      <c r="B75" s="705" t="s">
        <v>2010</v>
      </c>
      <c r="C75" s="721" t="s">
        <v>975</v>
      </c>
      <c r="D75" s="722" t="s">
        <v>1088</v>
      </c>
      <c r="E75" s="704"/>
      <c r="F75" s="1836">
        <f>'Expenditures 15-22'!G342</f>
        <v>0</v>
      </c>
      <c r="G75" s="701"/>
    </row>
    <row r="76" spans="1:9" ht="10.5" customHeight="1" x14ac:dyDescent="0.2">
      <c r="A76" s="701" t="s">
        <v>433</v>
      </c>
      <c r="B76" s="705" t="s">
        <v>2011</v>
      </c>
      <c r="C76" s="711" t="s">
        <v>975</v>
      </c>
      <c r="D76" s="701" t="s">
        <v>288</v>
      </c>
      <c r="E76" s="704"/>
      <c r="F76" s="1836">
        <f>'Expenditures 15-22'!I342</f>
        <v>0</v>
      </c>
      <c r="G76" s="703"/>
    </row>
    <row r="77" spans="1:9" ht="12" thickBot="1" x14ac:dyDescent="0.25">
      <c r="A77" s="1492"/>
      <c r="B77" s="1497"/>
      <c r="C77" s="1494"/>
      <c r="D77" s="1498" t="s">
        <v>2012</v>
      </c>
      <c r="E77" s="1496" t="s">
        <v>952</v>
      </c>
      <c r="F77" s="1837">
        <f>SUM(F18:F76)</f>
        <v>2884868</v>
      </c>
      <c r="G77" s="701"/>
    </row>
    <row r="78" spans="1:9" s="728" customFormat="1" ht="12" customHeight="1" thickTop="1" thickBot="1" x14ac:dyDescent="0.25">
      <c r="A78" s="1499"/>
      <c r="B78" s="1497"/>
      <c r="C78" s="1494"/>
      <c r="D78" s="1498" t="s">
        <v>2013</v>
      </c>
      <c r="E78" s="1496"/>
      <c r="F78" s="1838">
        <f>(F14-F77)</f>
        <v>14276014</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1554.7</v>
      </c>
      <c r="G79" s="733"/>
      <c r="H79" s="705"/>
      <c r="I79" s="705"/>
    </row>
    <row r="80" spans="1:9" s="728" customFormat="1" ht="12" customHeight="1" thickBot="1" x14ac:dyDescent="0.25">
      <c r="A80" s="1501"/>
      <c r="B80" s="1497"/>
      <c r="C80" s="1494"/>
      <c r="D80" s="1498" t="s">
        <v>2014</v>
      </c>
      <c r="E80" s="1496" t="s">
        <v>952</v>
      </c>
      <c r="F80" s="1840">
        <f>IF(F79&gt;0,F78/F79," Complete Line 79")</f>
        <v>9182.4879397954592</v>
      </c>
      <c r="G80" s="705"/>
    </row>
    <row r="81" spans="1:7" s="728" customFormat="1" ht="8.25" customHeight="1" thickTop="1" x14ac:dyDescent="0.2">
      <c r="A81" s="734"/>
      <c r="B81" s="705"/>
      <c r="C81" s="707"/>
      <c r="D81" s="735"/>
      <c r="E81" s="704"/>
      <c r="F81" s="1841"/>
      <c r="G81" s="705"/>
    </row>
    <row r="82" spans="1:7" s="728" customFormat="1" ht="12" thickBot="1" x14ac:dyDescent="0.25">
      <c r="A82" s="2436" t="s">
        <v>1098</v>
      </c>
      <c r="B82" s="2437"/>
      <c r="C82" s="2437"/>
      <c r="D82" s="2437"/>
      <c r="E82" s="2437"/>
      <c r="F82" s="243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11874</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125219</v>
      </c>
      <c r="G95" s="745"/>
    </row>
    <row r="96" spans="1:7" x14ac:dyDescent="0.2">
      <c r="A96" s="741" t="s">
        <v>139</v>
      </c>
      <c r="B96" s="741" t="s">
        <v>174</v>
      </c>
      <c r="C96" s="743">
        <v>1700</v>
      </c>
      <c r="D96" s="751" t="str">
        <f>'Revenues 9-14'!A82</f>
        <v>Total District/School Activity Income</v>
      </c>
      <c r="E96" s="739"/>
      <c r="F96" s="1843">
        <f>SUM('Revenues 9-14'!C82,'Revenues 9-14'!D82)</f>
        <v>30118</v>
      </c>
      <c r="G96" s="745"/>
    </row>
    <row r="97" spans="1:7" x14ac:dyDescent="0.2">
      <c r="A97" s="741" t="s">
        <v>456</v>
      </c>
      <c r="B97" s="741" t="s">
        <v>175</v>
      </c>
      <c r="C97" s="743">
        <f>'Revenues 9-14'!B84</f>
        <v>1811</v>
      </c>
      <c r="D97" s="744" t="str">
        <f>'Revenues 9-14'!A84</f>
        <v>Rentals - Regular Textbooks</v>
      </c>
      <c r="E97" s="739"/>
      <c r="F97" s="1843">
        <f>'Revenues 9-14'!C84</f>
        <v>155079</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141522</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1911</v>
      </c>
      <c r="C106" s="746">
        <v>3100</v>
      </c>
      <c r="D106" s="752" t="str">
        <f>'Revenues 9-14'!A132</f>
        <v>Total Special Education</v>
      </c>
      <c r="E106" s="739"/>
      <c r="F106" s="1843">
        <f>SUM('Revenues 9-14'!C132:D132,'Revenues 9-14'!F132)</f>
        <v>15455</v>
      </c>
      <c r="G106" s="745"/>
    </row>
    <row r="107" spans="1:7" x14ac:dyDescent="0.2">
      <c r="A107" s="741" t="s">
        <v>668</v>
      </c>
      <c r="B107" s="741" t="s">
        <v>1912</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1913</v>
      </c>
      <c r="C108" s="753">
        <v>3300</v>
      </c>
      <c r="D108" s="744" t="str">
        <f>'Revenues 9-14'!A145</f>
        <v>Total Bilingual Ed</v>
      </c>
      <c r="E108" s="739"/>
      <c r="F108" s="184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843">
        <f>'Revenues 9-14'!C146</f>
        <v>3197</v>
      </c>
      <c r="G109" s="745"/>
    </row>
    <row r="110" spans="1:7" x14ac:dyDescent="0.2">
      <c r="A110" s="741" t="s">
        <v>668</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0</v>
      </c>
      <c r="G111" s="745"/>
    </row>
    <row r="112" spans="1:7" x14ac:dyDescent="0.2">
      <c r="A112" s="741" t="s">
        <v>663</v>
      </c>
      <c r="B112" s="741" t="s">
        <v>1917</v>
      </c>
      <c r="C112" s="755">
        <v>3500</v>
      </c>
      <c r="D112" s="744" t="str">
        <f>'Revenues 9-14'!A155</f>
        <v>Total Transportation</v>
      </c>
      <c r="E112" s="739"/>
      <c r="F112" s="1843">
        <f>SUM('Revenues 9-14'!C155,'Revenues 9-14'!D155,'Revenues 9-14'!F155,'Revenues 9-14'!G155)</f>
        <v>406289</v>
      </c>
      <c r="G112" s="745"/>
    </row>
    <row r="113" spans="1:7" x14ac:dyDescent="0.2">
      <c r="A113" s="741" t="s">
        <v>456</v>
      </c>
      <c r="B113" s="741" t="s">
        <v>1918</v>
      </c>
      <c r="C113" s="753">
        <f>'Revenues 9-14'!B156</f>
        <v>3610</v>
      </c>
      <c r="D113" s="744" t="str">
        <f>'Revenues 9-14'!A156</f>
        <v>Learning Improvement - Change Grants</v>
      </c>
      <c r="E113" s="739"/>
      <c r="F113" s="1843">
        <f>'Revenues 9-14'!C156</f>
        <v>0</v>
      </c>
      <c r="G113" s="745"/>
    </row>
    <row r="114" spans="1:7" x14ac:dyDescent="0.2">
      <c r="A114" s="741" t="s">
        <v>663</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842">
        <f>SUM('Revenues 9-14'!C163:G163)</f>
        <v>0</v>
      </c>
      <c r="G119" s="745"/>
    </row>
    <row r="120" spans="1:7" x14ac:dyDescent="0.2">
      <c r="A120" s="756" t="s">
        <v>501</v>
      </c>
      <c r="B120" s="756" t="s">
        <v>1925</v>
      </c>
      <c r="C120" s="757">
        <f>'Revenues 9-14'!B164</f>
        <v>3815</v>
      </c>
      <c r="D120" s="758" t="str">
        <f>'Revenues 9-14'!A164</f>
        <v>State Charter Schools</v>
      </c>
      <c r="E120" s="739"/>
      <c r="F120" s="184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843">
        <f>'Revenues 9-14'!D167</f>
        <v>0</v>
      </c>
      <c r="G121" s="763"/>
    </row>
    <row r="122" spans="1:7" x14ac:dyDescent="0.2">
      <c r="A122" s="760" t="s">
        <v>497</v>
      </c>
      <c r="B122" s="760" t="s">
        <v>1927</v>
      </c>
      <c r="C122" s="761">
        <f>'Revenues 9-14'!B168</f>
        <v>3999</v>
      </c>
      <c r="D122" s="762" t="s">
        <v>540</v>
      </c>
      <c r="E122" s="764"/>
      <c r="F122" s="1843">
        <f>SUM('Revenues 9-14'!C168:G168,'Revenues 9-14'!J168)</f>
        <v>0</v>
      </c>
      <c r="G122" s="763"/>
    </row>
    <row r="123" spans="1:7" x14ac:dyDescent="0.2">
      <c r="A123" s="760" t="s">
        <v>456</v>
      </c>
      <c r="B123" s="760" t="s">
        <v>1928</v>
      </c>
      <c r="C123" s="765">
        <f>'Revenues 9-14'!B177</f>
        <v>4045</v>
      </c>
      <c r="D123" s="762" t="str">
        <f>'Revenues 9-14'!A177 &amp; " (Subtract)"</f>
        <v>Head Start (Subtract)</v>
      </c>
      <c r="E123" s="739"/>
      <c r="F123" s="184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1930</v>
      </c>
      <c r="C125" s="765">
        <v>4100</v>
      </c>
      <c r="D125" s="766" t="str">
        <f>'Revenues 9-14'!A188</f>
        <v>Total Title V</v>
      </c>
      <c r="E125" s="739"/>
      <c r="F125" s="184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843">
        <f>SUM('Revenues 9-14'!C198,'Revenues 9-14'!G198)</f>
        <v>207577</v>
      </c>
      <c r="G126" s="763"/>
    </row>
    <row r="127" spans="1:7" x14ac:dyDescent="0.2">
      <c r="A127" s="760" t="s">
        <v>663</v>
      </c>
      <c r="B127" s="760" t="s">
        <v>1932</v>
      </c>
      <c r="C127" s="765">
        <v>4300</v>
      </c>
      <c r="D127" s="766" t="str">
        <f>'Revenues 9-14'!A204</f>
        <v>Total Title I</v>
      </c>
      <c r="E127" s="739"/>
      <c r="F127" s="1843">
        <f>SUM('Revenues 9-14'!C204,'Revenues 9-14'!D204,'Revenues 9-14'!F204,'Revenues 9-14'!G204)</f>
        <v>313449</v>
      </c>
      <c r="G127" s="763"/>
    </row>
    <row r="128" spans="1:7" x14ac:dyDescent="0.2">
      <c r="A128" s="760" t="s">
        <v>663</v>
      </c>
      <c r="B128" s="760" t="s">
        <v>1933</v>
      </c>
      <c r="C128" s="765">
        <v>4400</v>
      </c>
      <c r="D128" s="766" t="str">
        <f>'Revenues 9-14'!A209</f>
        <v>Total Title IV</v>
      </c>
      <c r="E128" s="739"/>
      <c r="F128" s="1843">
        <f>SUM('Revenues 9-14'!C209,'Revenues 9-14'!D209,'Revenues 9-14'!F209,'Revenues 9-14'!G209)</f>
        <v>861</v>
      </c>
      <c r="G128" s="763"/>
    </row>
    <row r="129" spans="1:7" x14ac:dyDescent="0.2">
      <c r="A129" s="760" t="s">
        <v>663</v>
      </c>
      <c r="B129" s="760" t="s">
        <v>1934</v>
      </c>
      <c r="C129" s="765">
        <f>'Revenues 9-14'!B213</f>
        <v>4620</v>
      </c>
      <c r="D129" s="766" t="str">
        <f>'Revenues 9-14'!A213</f>
        <v>Fed - Spec Education - IDEA - Flow Through</v>
      </c>
      <c r="E129" s="739"/>
      <c r="F129" s="1843">
        <f>SUM('Revenues 9-14'!C213:D213,'Revenues 9-14'!F213:G213)</f>
        <v>412802</v>
      </c>
      <c r="G129" s="763"/>
    </row>
    <row r="130" spans="1:7" x14ac:dyDescent="0.2">
      <c r="A130" s="760" t="s">
        <v>663</v>
      </c>
      <c r="B130" s="760" t="s">
        <v>1935</v>
      </c>
      <c r="C130" s="765">
        <f>'Revenues 9-14'!B214</f>
        <v>4625</v>
      </c>
      <c r="D130" s="766" t="str">
        <f>'Revenues 9-14'!A214</f>
        <v>Fed - Spec Education - IDEA - Room &amp; Board</v>
      </c>
      <c r="E130" s="739"/>
      <c r="F130" s="1843">
        <f>SUM('Revenues 9-14'!C214,'Revenues 9-14'!D214,'Revenues 9-14'!F214,'Revenues 9-14'!G214)</f>
        <v>41215</v>
      </c>
      <c r="G130" s="763"/>
    </row>
    <row r="131" spans="1:7" x14ac:dyDescent="0.2">
      <c r="A131" s="760" t="s">
        <v>663</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1937</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1952</v>
      </c>
      <c r="C158" s="773" t="s">
        <v>836</v>
      </c>
      <c r="D158" s="774" t="s">
        <v>772</v>
      </c>
      <c r="E158" s="775"/>
      <c r="F158" s="1843">
        <f>SUM(F134:F157)</f>
        <v>0</v>
      </c>
      <c r="G158" s="738"/>
    </row>
    <row r="159" spans="1:7" s="703" customFormat="1" x14ac:dyDescent="0.2">
      <c r="A159" s="771" t="s">
        <v>456</v>
      </c>
      <c r="B159" s="772" t="s">
        <v>1953</v>
      </c>
      <c r="C159" s="773" t="s">
        <v>1413</v>
      </c>
      <c r="D159" s="774" t="s">
        <v>1414</v>
      </c>
      <c r="E159" s="775"/>
      <c r="F159" s="1843">
        <f>SUM('Revenues 9-14'!C253)</f>
        <v>0</v>
      </c>
      <c r="G159" s="738"/>
    </row>
    <row r="160" spans="1:7" s="703" customFormat="1" x14ac:dyDescent="0.2">
      <c r="A160" s="771" t="s">
        <v>497</v>
      </c>
      <c r="B160" s="772" t="s">
        <v>1954</v>
      </c>
      <c r="C160" s="773" t="s">
        <v>1452</v>
      </c>
      <c r="D160" s="774" t="s">
        <v>1453</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9166</v>
      </c>
      <c r="G162" s="776"/>
    </row>
    <row r="163" spans="1:7" x14ac:dyDescent="0.2">
      <c r="A163" s="760" t="s">
        <v>663</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842">
        <f>SUM('Revenues 9-14'!C259,'Revenues 9-14'!D259,'Revenues 9-14'!F259,'Revenues 9-14'!G259)</f>
        <v>30113</v>
      </c>
      <c r="G165" s="763"/>
    </row>
    <row r="166" spans="1:7" x14ac:dyDescent="0.2">
      <c r="A166" s="760" t="s">
        <v>663</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843">
        <f>SUM('Revenues 9-14'!C263:D263,'Revenues 9-14'!F263:G263)</f>
        <v>70896</v>
      </c>
      <c r="G169" s="780">
        <v>6320</v>
      </c>
    </row>
    <row r="170" spans="1:7" x14ac:dyDescent="0.2">
      <c r="A170" s="760" t="s">
        <v>663</v>
      </c>
      <c r="B170" s="760" t="s">
        <v>1962</v>
      </c>
      <c r="C170" s="765">
        <f>'Revenues 9-14'!B264</f>
        <v>4992</v>
      </c>
      <c r="D170" s="766" t="str">
        <f>'Revenues 9-14'!A264</f>
        <v>Medicaid Matching Funds - Fee-for-Service Program</v>
      </c>
      <c r="E170" s="739"/>
      <c r="F170" s="1843">
        <f>SUM('Revenues 9-14'!C264:D264,'Revenues 9-14'!F264:G264)</f>
        <v>19685</v>
      </c>
      <c r="G170" s="780"/>
    </row>
    <row r="171" spans="1:7" x14ac:dyDescent="0.2">
      <c r="A171" s="781" t="s">
        <v>663</v>
      </c>
      <c r="B171" s="777" t="s">
        <v>1963</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1886</v>
      </c>
      <c r="C172" s="1581">
        <v>3100</v>
      </c>
      <c r="D172" s="1582" t="s">
        <v>1888</v>
      </c>
      <c r="E172" s="739"/>
      <c r="F172" s="1844">
        <v>642348</v>
      </c>
      <c r="G172" s="760"/>
    </row>
    <row r="173" spans="1:7" x14ac:dyDescent="0.2">
      <c r="A173" s="1579" t="s">
        <v>659</v>
      </c>
      <c r="B173" s="1580" t="s">
        <v>1886</v>
      </c>
      <c r="C173" s="1581">
        <v>3300</v>
      </c>
      <c r="D173" s="1582" t="s">
        <v>1889</v>
      </c>
      <c r="E173" s="739"/>
      <c r="F173" s="1844">
        <v>92957</v>
      </c>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952</v>
      </c>
      <c r="F175" s="1846">
        <f>SUM(F85:F133,F158:F173)</f>
        <v>2729822</v>
      </c>
    </row>
    <row r="176" spans="1:7" ht="12" customHeight="1" x14ac:dyDescent="0.2">
      <c r="A176" s="1492"/>
      <c r="B176" s="1502"/>
      <c r="C176" s="1503"/>
      <c r="D176" s="1504" t="s">
        <v>2015</v>
      </c>
      <c r="E176" s="1505"/>
      <c r="F176" s="1843">
        <f>'PCTC-OEPP 27-28'!F78-F175</f>
        <v>11546192</v>
      </c>
    </row>
    <row r="177" spans="1:9" ht="12" customHeight="1" x14ac:dyDescent="0.2">
      <c r="A177" s="1492"/>
      <c r="B177" s="1502"/>
      <c r="C177" s="1503"/>
      <c r="D177" s="1504" t="s">
        <v>1795</v>
      </c>
      <c r="E177" s="1505"/>
      <c r="F177" s="1843">
        <f>'Cap Outlay Deprec 26'!I18</f>
        <v>657127.9</v>
      </c>
    </row>
    <row r="178" spans="1:9" ht="12" customHeight="1" x14ac:dyDescent="0.2">
      <c r="A178" s="1492"/>
      <c r="B178" s="1502"/>
      <c r="C178" s="1503"/>
      <c r="D178" s="1504" t="s">
        <v>2016</v>
      </c>
      <c r="E178" s="1505"/>
      <c r="F178" s="1843">
        <f>F176+F177</f>
        <v>12203319.9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1554.7</v>
      </c>
      <c r="G179" s="763"/>
      <c r="I179" s="701"/>
    </row>
    <row r="180" spans="1:9" ht="12" customHeight="1" thickBot="1" x14ac:dyDescent="0.25">
      <c r="A180" s="1492"/>
      <c r="B180" s="1506"/>
      <c r="C180" s="1503"/>
      <c r="D180" s="1504" t="s">
        <v>2018</v>
      </c>
      <c r="E180" s="1505" t="s">
        <v>1531</v>
      </c>
      <c r="F180" s="1848">
        <f>F178/F179</f>
        <v>7849.3084839518879</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9" sqref="B19"/>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1808</v>
      </c>
      <c r="B1" s="1923"/>
      <c r="C1" s="1924"/>
      <c r="D1" s="1924"/>
      <c r="E1" s="1924"/>
      <c r="F1" s="1924"/>
    </row>
    <row r="2" spans="1:6" x14ac:dyDescent="0.25">
      <c r="A2" s="1926"/>
      <c r="B2" s="1927"/>
      <c r="C2" s="1981" t="s">
        <v>2004</v>
      </c>
      <c r="D2" s="1926"/>
      <c r="E2" s="1926"/>
      <c r="F2" s="1926"/>
    </row>
    <row r="3" spans="1:6" ht="5.25" customHeight="1" x14ac:dyDescent="0.25">
      <c r="A3" s="1928"/>
      <c r="B3" s="1929"/>
      <c r="C3" s="1928"/>
      <c r="D3" s="1928"/>
      <c r="E3" s="1928"/>
      <c r="F3" s="1928"/>
    </row>
    <row r="4" spans="1:6" ht="18.75" customHeight="1" x14ac:dyDescent="0.25">
      <c r="A4" s="2450" t="s">
        <v>1796</v>
      </c>
      <c r="B4" s="2451"/>
      <c r="C4" s="2451"/>
      <c r="D4" s="2451"/>
      <c r="E4" s="2451"/>
      <c r="F4" s="2452"/>
    </row>
    <row r="5" spans="1:6" x14ac:dyDescent="0.25">
      <c r="A5" s="2453"/>
      <c r="B5" s="2454"/>
      <c r="C5" s="2454"/>
      <c r="D5" s="2454"/>
      <c r="E5" s="2454"/>
      <c r="F5" s="2455"/>
    </row>
    <row r="6" spans="1:6" ht="18.75" x14ac:dyDescent="0.25">
      <c r="A6" s="1930" t="s">
        <v>1797</v>
      </c>
      <c r="B6" s="1931"/>
      <c r="C6" s="1932"/>
      <c r="D6" s="1932"/>
      <c r="E6" s="1932"/>
      <c r="F6" s="1933"/>
    </row>
    <row r="7" spans="1:6" ht="47.25" customHeight="1" x14ac:dyDescent="0.25">
      <c r="A7" s="2456" t="s">
        <v>1986</v>
      </c>
      <c r="B7" s="2457"/>
      <c r="C7" s="2457"/>
      <c r="D7" s="2457"/>
      <c r="E7" s="2457"/>
      <c r="F7" s="2458"/>
    </row>
    <row r="8" spans="1:6" ht="20.25" customHeight="1" x14ac:dyDescent="0.25">
      <c r="A8" s="1965" t="s">
        <v>1988</v>
      </c>
      <c r="B8" s="1966"/>
      <c r="C8" s="1966"/>
      <c r="D8" s="1966"/>
      <c r="E8" s="1934"/>
      <c r="F8" s="1935"/>
    </row>
    <row r="9" spans="1:6" ht="18" customHeight="1" x14ac:dyDescent="0.25">
      <c r="A9" s="1936" t="s">
        <v>1985</v>
      </c>
      <c r="B9" s="1938"/>
      <c r="C9" s="1938"/>
      <c r="D9" s="1938"/>
      <c r="E9" s="1934"/>
      <c r="F9" s="1935"/>
    </row>
    <row r="10" spans="1:6" ht="15.75" customHeight="1" x14ac:dyDescent="0.25">
      <c r="A10" s="2459" t="s">
        <v>1982</v>
      </c>
      <c r="B10" s="2460"/>
      <c r="C10" s="2460"/>
      <c r="D10" s="2460"/>
      <c r="E10" s="2460"/>
      <c r="F10" s="2461"/>
    </row>
    <row r="11" spans="1:6" ht="33" customHeight="1" x14ac:dyDescent="0.25">
      <c r="A11" s="2456" t="s">
        <v>1987</v>
      </c>
      <c r="B11" s="2457"/>
      <c r="C11" s="2457"/>
      <c r="D11" s="2457"/>
      <c r="E11" s="2457"/>
      <c r="F11" s="2458"/>
    </row>
    <row r="12" spans="1:6" ht="15" customHeight="1" x14ac:dyDescent="0.25">
      <c r="A12" s="1936" t="s">
        <v>1983</v>
      </c>
      <c r="B12" s="1937"/>
      <c r="C12" s="1938"/>
      <c r="D12" s="1938"/>
      <c r="E12" s="1938"/>
      <c r="F12" s="1939"/>
    </row>
    <row r="13" spans="1:6" ht="17.25" customHeight="1" x14ac:dyDescent="0.25">
      <c r="A13" s="2456" t="s">
        <v>1984</v>
      </c>
      <c r="B13" s="2457"/>
      <c r="C13" s="2457"/>
      <c r="D13" s="2457"/>
      <c r="E13" s="2457"/>
      <c r="F13" s="2458"/>
    </row>
    <row r="14" spans="1:6" ht="15" customHeight="1" x14ac:dyDescent="0.25">
      <c r="A14" s="1936" t="s">
        <v>1801</v>
      </c>
      <c r="B14" s="1937"/>
      <c r="C14" s="1938"/>
      <c r="D14" s="1938"/>
      <c r="E14" s="1938"/>
      <c r="F14" s="1939"/>
    </row>
    <row r="15" spans="1:6" ht="32.25" customHeight="1" x14ac:dyDescent="0.25">
      <c r="A15" s="244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8"/>
      <c r="C15" s="2448"/>
      <c r="D15" s="2448"/>
      <c r="E15" s="2448"/>
      <c r="F15" s="2449"/>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70" t="s">
        <v>1800</v>
      </c>
      <c r="C17" s="1944" t="s">
        <v>1798</v>
      </c>
      <c r="D17" s="1945">
        <v>500000</v>
      </c>
      <c r="E17" s="1945" t="str">
        <f>IF(D17&lt;25000,D17,"25,000")</f>
        <v>25,000</v>
      </c>
      <c r="F17" s="1946">
        <f>IF(D17&gt;=25000,(D17-E17),"0")</f>
        <v>475000</v>
      </c>
    </row>
    <row r="18" spans="1:7" x14ac:dyDescent="0.25">
      <c r="A18" s="2108" t="s">
        <v>2136</v>
      </c>
      <c r="B18" s="1971">
        <v>101000300</v>
      </c>
      <c r="C18" s="2109" t="s">
        <v>2137</v>
      </c>
      <c r="D18" s="1949">
        <v>31250</v>
      </c>
      <c r="E18" s="1969" t="str">
        <f t="shared" ref="E18:E81" si="0">IF(D18&lt;25000,D18,"25,000")</f>
        <v>25,000</v>
      </c>
      <c r="F18" s="1969">
        <f t="shared" ref="F18:F81" si="1">IF(D18&gt;=25000,(D18-E18),"0")</f>
        <v>6250</v>
      </c>
      <c r="G18" s="1950"/>
    </row>
    <row r="19" spans="1:7" x14ac:dyDescent="0.25">
      <c r="A19" s="2108" t="s">
        <v>2139</v>
      </c>
      <c r="B19" s="1971">
        <v>102660300</v>
      </c>
      <c r="C19" s="2109" t="s">
        <v>2138</v>
      </c>
      <c r="D19" s="1949">
        <v>19382</v>
      </c>
      <c r="E19" s="1969">
        <f t="shared" si="0"/>
        <v>19382</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50632</v>
      </c>
      <c r="E142" s="1956">
        <f>SUM(E18:E141)</f>
        <v>19382</v>
      </c>
      <c r="F142" s="1957">
        <f>SUM(F18:F141)</f>
        <v>6250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2" t="s">
        <v>1663</v>
      </c>
      <c r="B5" s="2463"/>
      <c r="C5" s="2463"/>
      <c r="D5" s="2463"/>
      <c r="E5" s="2463"/>
      <c r="F5" s="2463"/>
      <c r="G5" s="246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v>244080</v>
      </c>
      <c r="F10" s="805"/>
      <c r="G10" s="806"/>
      <c r="H10" s="157"/>
      <c r="I10" s="157"/>
    </row>
    <row r="11" spans="1:13" s="542" customFormat="1" ht="22.5" customHeight="1" x14ac:dyDescent="0.2">
      <c r="A11" s="246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8"/>
      <c r="C11" s="2468"/>
      <c r="D11" s="2469"/>
      <c r="E11" s="1851">
        <v>25766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7775512</v>
      </c>
      <c r="F19" s="1852"/>
      <c r="G19" s="1854">
        <f>'Expenditures 15-22'!K33-SUM('Expenditures 15-22'!G33,'Expenditures 15-22'!I33)+'Expenditures 15-22'!D229</f>
        <v>7775512</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1037936</v>
      </c>
      <c r="F21" s="1855"/>
      <c r="G21" s="1858">
        <f>'Expenditures 15-22'!K42-SUM('Expenditures 15-22'!G42,'Expenditures 15-22'!I42)+'Expenditures 15-22'!K120-SUM('Expenditures 15-22'!G120,'Expenditures 15-22'!I120)+'Expenditures 15-22'!K180-SUM('Expenditures 15-22'!G180,'Expenditures 15-22'!I180)+'Expenditures 15-22'!D238</f>
        <v>1037936</v>
      </c>
      <c r="H21" s="817"/>
      <c r="I21" s="157"/>
    </row>
    <row r="22" spans="1:9" s="542" customFormat="1" ht="12" customHeight="1" x14ac:dyDescent="0.2">
      <c r="A22" s="824" t="s">
        <v>560</v>
      </c>
      <c r="B22" s="825"/>
      <c r="C22" s="823">
        <v>2200</v>
      </c>
      <c r="D22" s="1855"/>
      <c r="E22" s="1857">
        <f>'Expenditures 15-22'!K47-SUM('Expenditures 15-22'!G47,'Expenditures 15-22'!I47)+'Expenditures 15-22'!D243</f>
        <v>270828</v>
      </c>
      <c r="F22" s="1855"/>
      <c r="G22" s="1858">
        <f>'Expenditures 15-22'!K47-SUM('Expenditures 15-22'!G47,'Expenditures 15-22'!I47)+'Expenditures 15-22'!D243</f>
        <v>270828</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879318</v>
      </c>
      <c r="F23" s="1855"/>
      <c r="G23" s="1857">
        <f>'Expenditures 15-22'!K53-SUM('Expenditures 15-22'!G53,'Expenditures 15-22'!I53)+'Expenditures 15-22'!D257+'Expenditures 15-22'!K330-SUM('Expenditures 15-22'!G330,'Expenditures 15-22'!I330)</f>
        <v>879318</v>
      </c>
      <c r="H23" s="817"/>
      <c r="I23" s="157"/>
    </row>
    <row r="24" spans="1:9" s="542" customFormat="1" ht="12" customHeight="1" x14ac:dyDescent="0.2">
      <c r="A24" s="824" t="s">
        <v>562</v>
      </c>
      <c r="B24" s="825"/>
      <c r="C24" s="823">
        <v>2400</v>
      </c>
      <c r="D24" s="1855"/>
      <c r="E24" s="1857">
        <f>'Expenditures 15-22'!K57-SUM('Expenditures 15-22'!G57,'Expenditures 15-22'!I57)+'Expenditures 15-22'!D261</f>
        <v>854664</v>
      </c>
      <c r="F24" s="1855"/>
      <c r="G24" s="1858">
        <f>'Expenditures 15-22'!K57-SUM('Expenditures 15-22'!G57,'Expenditures 15-22'!I57)+'Expenditures 15-22'!D261</f>
        <v>854664</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123800</v>
      </c>
      <c r="E26" s="1857">
        <f>'Expenditures 15-22'!K122-SUM('Expenditures 15-22'!G122,'Expenditures 15-22'!I122)+E7</f>
        <v>0</v>
      </c>
      <c r="F26" s="1857">
        <f>'Expenditures 15-22'!K59-SUM('Expenditures 15-22'!G59,'Expenditures 15-22'!I59)+'Expenditures 15-22'!D263-E7</f>
        <v>123800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115049</v>
      </c>
      <c r="E27" s="1857">
        <f>E8</f>
        <v>0</v>
      </c>
      <c r="F27" s="1857">
        <f>'Expenditures 15-22'!K60-SUM('Expenditures 15-22'!G60,'Expenditures 15-22'!I60)+'Expenditures 15-22'!D264-E8</f>
        <v>115049</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1391873</v>
      </c>
      <c r="F28" s="1859">
        <f>'Expenditures 15-22'!K61-SUM('Expenditures 15-22'!G61,'Expenditures 15-22'!I61)+'Expenditures 15-22'!K124-SUM('Expenditures 15-22'!G124,'Expenditures 15-22'!I124)+'Expenditures 15-22'!D266-E9</f>
        <v>1391873</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644302</v>
      </c>
      <c r="F29" s="1855"/>
      <c r="G29" s="1858">
        <f>'Expenditures 15-22'!K62-SUM('Expenditures 15-22'!G62,'Expenditures 15-22'!I62)+'Expenditures 15-22'!K125-SUM('Expenditures 15-22'!G125,'Expenditures 15-22'!I125)+'Expenditures 15-22'!K182-SUM('Expenditures 15-22'!G182,'Expenditures 15-22'!I182)+'Expenditures 15-22'!D267</f>
        <v>644302</v>
      </c>
      <c r="H29" s="815"/>
    </row>
    <row r="30" spans="1:9" ht="12" customHeight="1" x14ac:dyDescent="0.2">
      <c r="A30" s="824" t="s">
        <v>100</v>
      </c>
      <c r="B30" s="827"/>
      <c r="C30" s="823">
        <v>2560</v>
      </c>
      <c r="D30" s="1855"/>
      <c r="E30" s="1857">
        <f>'Expenditures 15-22'!K63-SUM('Expenditures 15-22'!G63,'Expenditures 15-22'!I63)+'Expenditures 15-22'!D268-E10</f>
        <v>24586</v>
      </c>
      <c r="F30" s="1855"/>
      <c r="G30" s="1857">
        <f>'Expenditures 15-22'!K63-SUM('Expenditures 15-22'!G63,'Expenditures 15-22'!I63)+'Expenditures 15-22'!D268-E10</f>
        <v>24586</v>
      </c>
    </row>
    <row r="31" spans="1:9" ht="12" customHeight="1" x14ac:dyDescent="0.2">
      <c r="A31" s="824" t="s">
        <v>101</v>
      </c>
      <c r="B31" s="827"/>
      <c r="C31" s="823">
        <v>2570</v>
      </c>
      <c r="D31" s="1857">
        <f>'Expenditures 15-22'!K64-SUM('Expenditures 15-22'!G64,'Expenditures 15-22'!I64)+'Expenditures 15-22'!D269-E12</f>
        <v>5783</v>
      </c>
      <c r="E31" s="1857">
        <f>E12</f>
        <v>0</v>
      </c>
      <c r="F31" s="1857">
        <f>'Expenditures 15-22'!K64-SUM('Expenditures 15-22'!G64,'Expenditures 15-22'!I64)+'Expenditures 15-22'!D269-E12</f>
        <v>5783</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185</v>
      </c>
      <c r="F35" s="1855"/>
      <c r="G35" s="1857">
        <f>'Expenditures 15-22'!K69-SUM('Expenditures 15-22'!G69,'Expenditures 15-22'!I69)+'Expenditures 15-22'!D274</f>
        <v>185</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377945</v>
      </c>
      <c r="E37" s="1857">
        <f>E14</f>
        <v>0</v>
      </c>
      <c r="F37" s="1857">
        <f>'Expenditures 15-22'!K71-SUM('Expenditures 15-22'!G71,'Expenditures 15-22'!I71)+'Expenditures 15-22'!D276-E14</f>
        <v>377945</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351</v>
      </c>
      <c r="F38" s="1855"/>
      <c r="G38" s="1857">
        <f>'Expenditures 15-22'!K73-SUM('Expenditures 15-22'!G73,'Expenditures 15-22'!I73)+'Expenditures 15-22'!K128-SUM('Expenditures 15-22'!G128,'Expenditures 15-22'!I128)+'Expenditures 15-22'!K183-SUM('Expenditures 15-22'!G183,'Expenditures 15-22'!I183)+'Expenditures 15-22'!D278</f>
        <v>351</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265130</v>
      </c>
      <c r="F39" s="1855"/>
      <c r="G39" s="1857">
        <f>'Expenditures 15-22'!K75-SUM('Expenditures 15-22'!G75,'Expenditures 15-22'!I75)+'Expenditures 15-22'!K130-SUM('Expenditures 15-22'!G130,'Expenditures 15-22'!I130)+'Expenditures 15-22'!K185-SUM('Expenditures 15-22'!G185,'Expenditures 15-22'!I185)+'Expenditures 15-22'!D280</f>
        <v>265130</v>
      </c>
    </row>
    <row r="40" spans="1:7" ht="12" customHeight="1" x14ac:dyDescent="0.2">
      <c r="A40" s="820" t="s">
        <v>1799</v>
      </c>
      <c r="B40" s="821"/>
      <c r="C40" s="823"/>
      <c r="D40" s="1855"/>
      <c r="E40" s="1859">
        <f>-'Contracts Paid in CY 29'!F142</f>
        <v>-6250</v>
      </c>
      <c r="F40" s="1855"/>
      <c r="G40" s="1859">
        <f>-'Contracts Paid in CY 29'!F142</f>
        <v>-6250</v>
      </c>
    </row>
    <row r="41" spans="1:7" ht="12" customHeight="1" x14ac:dyDescent="0.2">
      <c r="A41" s="828" t="s">
        <v>155</v>
      </c>
      <c r="B41" s="829"/>
      <c r="C41" s="830"/>
      <c r="D41" s="1859">
        <f>SUM(D19:D39)</f>
        <v>622577</v>
      </c>
      <c r="E41" s="1859">
        <f>SUM(E19:E40)</f>
        <v>13138435</v>
      </c>
      <c r="F41" s="1859">
        <f>SUM(F19:F39)</f>
        <v>2014450</v>
      </c>
      <c r="G41" s="1859">
        <f>SUM(G19:G40)</f>
        <v>11746562</v>
      </c>
    </row>
    <row r="42" spans="1:7" x14ac:dyDescent="0.2">
      <c r="A42" s="817"/>
      <c r="B42" s="157"/>
      <c r="C42" s="831"/>
      <c r="D42" s="2465" t="s">
        <v>519</v>
      </c>
      <c r="E42" s="2466"/>
      <c r="F42" s="832" t="s">
        <v>520</v>
      </c>
      <c r="G42" s="833"/>
    </row>
    <row r="43" spans="1:7" ht="12" customHeight="1" x14ac:dyDescent="0.2">
      <c r="A43" s="817"/>
      <c r="B43" s="157"/>
      <c r="C43" s="831"/>
      <c r="D43" s="1507" t="s">
        <v>470</v>
      </c>
      <c r="E43" s="1860">
        <f>D41</f>
        <v>622577</v>
      </c>
      <c r="F43" s="1507" t="s">
        <v>470</v>
      </c>
      <c r="G43" s="1860">
        <f>F41</f>
        <v>2014450</v>
      </c>
    </row>
    <row r="44" spans="1:7" ht="12" customHeight="1" x14ac:dyDescent="0.2">
      <c r="A44" s="817"/>
      <c r="B44" s="157"/>
      <c r="C44" s="831"/>
      <c r="D44" s="1507" t="s">
        <v>471</v>
      </c>
      <c r="E44" s="1860">
        <f>E41</f>
        <v>13138435</v>
      </c>
      <c r="F44" s="1507" t="s">
        <v>471</v>
      </c>
      <c r="G44" s="1860">
        <f>G41</f>
        <v>11746562</v>
      </c>
    </row>
    <row r="45" spans="1:7" ht="12" customHeight="1" x14ac:dyDescent="0.2">
      <c r="A45" s="817"/>
      <c r="B45" s="157"/>
      <c r="C45" s="157"/>
      <c r="D45" s="1508" t="s">
        <v>999</v>
      </c>
      <c r="E45" s="1861">
        <f>(E43/E44)</f>
        <v>4.738593295167956E-2</v>
      </c>
      <c r="F45" s="1508" t="s">
        <v>999</v>
      </c>
      <c r="G45" s="1861">
        <f>(G43/G44)</f>
        <v>0.17149273123489239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3" t="s">
        <v>1365</v>
      </c>
      <c r="B1" s="2473"/>
      <c r="C1" s="2473"/>
      <c r="D1" s="2473"/>
      <c r="E1" s="2473"/>
      <c r="F1" s="2473"/>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4" t="s">
        <v>1532</v>
      </c>
      <c r="B5" s="2475"/>
      <c r="C5" s="2476"/>
      <c r="D5" s="2476"/>
      <c r="E5" s="2476"/>
      <c r="F5" s="2476"/>
      <c r="G5" s="1556"/>
      <c r="L5" s="1556"/>
      <c r="M5" s="1913"/>
      <c r="N5" s="1913"/>
      <c r="O5" s="1913"/>
    </row>
    <row r="6" spans="1:15" ht="12" customHeight="1" x14ac:dyDescent="0.25">
      <c r="A6" s="1529"/>
      <c r="B6" s="1530"/>
      <c r="C6" s="2477" t="str">
        <f>COVER!A17</f>
        <v xml:space="preserve">  Forest Ridge SD 142 </v>
      </c>
      <c r="D6" s="2477"/>
      <c r="E6" s="2477"/>
      <c r="F6" s="1531"/>
      <c r="G6" s="1556"/>
      <c r="L6" s="1556"/>
      <c r="M6" s="1913"/>
      <c r="N6" s="1913"/>
      <c r="O6" s="1913"/>
    </row>
    <row r="7" spans="1:15" ht="11.25" customHeight="1" thickBot="1" x14ac:dyDescent="0.3">
      <c r="A7" s="1529"/>
      <c r="B7" s="1530"/>
      <c r="C7" s="2478">
        <f>COVER!A13</f>
        <v>7016142002</v>
      </c>
      <c r="D7" s="2478"/>
      <c r="E7" s="2478"/>
      <c r="F7" s="1531"/>
      <c r="G7" s="1556"/>
      <c r="L7" s="1556"/>
      <c r="M7" s="1913"/>
      <c r="N7" s="1913"/>
      <c r="O7" s="1913"/>
    </row>
    <row r="8" spans="1:15" ht="25.5" customHeight="1" thickBot="1" x14ac:dyDescent="0.25">
      <c r="A8" s="1568" t="s">
        <v>1875</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t="s">
        <v>2026</v>
      </c>
      <c r="D16" s="1544" t="s">
        <v>2026</v>
      </c>
      <c r="E16" s="1547" t="s">
        <v>2026</v>
      </c>
      <c r="F16" s="1546" t="s">
        <v>2076</v>
      </c>
      <c r="G16" s="1556"/>
      <c r="H16" s="1556">
        <f t="shared" si="0"/>
        <v>5</v>
      </c>
      <c r="I16" s="1556">
        <f t="shared" si="1"/>
        <v>5</v>
      </c>
      <c r="J16" s="1556">
        <f t="shared" si="2"/>
        <v>5</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t="s">
        <v>2026</v>
      </c>
      <c r="D19" s="1544" t="s">
        <v>2026</v>
      </c>
      <c r="E19" s="1547" t="s">
        <v>2026</v>
      </c>
      <c r="F19" s="1546" t="s">
        <v>2074</v>
      </c>
      <c r="G19" s="1556"/>
      <c r="H19" s="1556">
        <f t="shared" si="0"/>
        <v>5</v>
      </c>
      <c r="I19" s="1556">
        <f t="shared" si="1"/>
        <v>5</v>
      </c>
      <c r="J19" s="1556">
        <f t="shared" si="2"/>
        <v>5</v>
      </c>
      <c r="L19" s="1556"/>
      <c r="M19" s="1913"/>
      <c r="N19" s="1913"/>
      <c r="O19" s="1913"/>
    </row>
    <row r="20" spans="1:15" ht="12" customHeight="1" x14ac:dyDescent="0.2">
      <c r="A20" s="1542" t="s">
        <v>1514</v>
      </c>
      <c r="B20" s="1543"/>
      <c r="C20" s="1544" t="s">
        <v>2026</v>
      </c>
      <c r="D20" s="1544" t="s">
        <v>2026</v>
      </c>
      <c r="E20" s="1547" t="s">
        <v>2026</v>
      </c>
      <c r="F20" s="1546" t="s">
        <v>2075</v>
      </c>
      <c r="G20" s="1556"/>
      <c r="H20" s="1556">
        <f t="shared" si="0"/>
        <v>5</v>
      </c>
      <c r="I20" s="1556">
        <f t="shared" si="1"/>
        <v>5</v>
      </c>
      <c r="J20" s="1556">
        <f t="shared" si="2"/>
        <v>5</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2026</v>
      </c>
      <c r="D26" s="1544" t="s">
        <v>2026</v>
      </c>
      <c r="E26" s="1547" t="s">
        <v>2026</v>
      </c>
      <c r="F26" s="1546" t="s">
        <v>2073</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20</v>
      </c>
      <c r="I34" s="1556">
        <f>SUM(I11:I32)</f>
        <v>20</v>
      </c>
      <c r="J34" s="1556">
        <f>SUM(J11:J32)</f>
        <v>20</v>
      </c>
      <c r="K34" s="1556">
        <f>SUM(H34:J34)</f>
        <v>60</v>
      </c>
      <c r="L34" s="1556"/>
      <c r="M34" s="1913"/>
      <c r="N34" s="1913"/>
      <c r="O34" s="1913"/>
    </row>
    <row r="35" spans="1:15" ht="12" customHeight="1" x14ac:dyDescent="0.2">
      <c r="A35" s="1549" t="s">
        <v>1378</v>
      </c>
      <c r="B35" s="1550"/>
      <c r="C35" s="2479"/>
      <c r="D35" s="2479"/>
      <c r="E35" s="2479"/>
      <c r="F35" s="2480"/>
    </row>
    <row r="36" spans="1:15" ht="12" customHeight="1" x14ac:dyDescent="0.2">
      <c r="A36" s="2470"/>
      <c r="B36" s="2471"/>
      <c r="C36" s="2471"/>
      <c r="D36" s="2471"/>
      <c r="E36" s="2471"/>
      <c r="F36" s="2472"/>
    </row>
    <row r="37" spans="1:15" ht="12" customHeight="1" x14ac:dyDescent="0.2">
      <c r="A37" s="2470"/>
      <c r="B37" s="2471"/>
      <c r="C37" s="2471"/>
      <c r="D37" s="2471"/>
      <c r="E37" s="2471"/>
      <c r="F37" s="2472"/>
    </row>
    <row r="38" spans="1:15" ht="12" customHeight="1" x14ac:dyDescent="0.2">
      <c r="A38" s="2484"/>
      <c r="B38" s="2485"/>
      <c r="C38" s="2485"/>
      <c r="D38" s="2485"/>
      <c r="E38" s="2485"/>
      <c r="F38" s="2486"/>
    </row>
    <row r="39" spans="1:15" ht="4.5" hidden="1" customHeight="1" x14ac:dyDescent="0.2">
      <c r="A39" s="1551"/>
      <c r="B39" s="1551"/>
      <c r="C39" s="1551"/>
      <c r="D39" s="1551"/>
      <c r="E39" s="1551"/>
      <c r="F39" s="1551"/>
    </row>
    <row r="40" spans="1:15" s="1548" customFormat="1" ht="12" customHeight="1" x14ac:dyDescent="0.25">
      <c r="A40" s="1552" t="s">
        <v>1377</v>
      </c>
      <c r="B40" s="1553"/>
      <c r="C40" s="2487"/>
      <c r="D40" s="2487"/>
      <c r="E40" s="2487"/>
      <c r="F40" s="2488"/>
      <c r="H40" s="1557"/>
      <c r="I40" s="1557"/>
      <c r="J40" s="1557"/>
      <c r="K40" s="1557"/>
    </row>
    <row r="41" spans="1:15" s="1548" customFormat="1" ht="12" customHeight="1" x14ac:dyDescent="0.25">
      <c r="A41" s="2489"/>
      <c r="B41" s="2490"/>
      <c r="C41" s="2490"/>
      <c r="D41" s="2490"/>
      <c r="E41" s="2490"/>
      <c r="F41" s="2491"/>
      <c r="H41" s="1557"/>
      <c r="I41" s="1557"/>
      <c r="J41" s="1557"/>
      <c r="K41" s="1557"/>
    </row>
    <row r="42" spans="1:15" s="1548" customFormat="1" ht="12" customHeight="1" x14ac:dyDescent="0.25">
      <c r="A42" s="2489"/>
      <c r="B42" s="2490"/>
      <c r="C42" s="2490"/>
      <c r="D42" s="2490"/>
      <c r="E42" s="2490"/>
      <c r="F42" s="2491"/>
      <c r="H42" s="1557"/>
      <c r="I42" s="1557"/>
      <c r="J42" s="1557"/>
      <c r="K42" s="1557"/>
    </row>
    <row r="43" spans="1:15" s="1548" customFormat="1" ht="15" x14ac:dyDescent="0.25">
      <c r="A43" s="2481"/>
      <c r="B43" s="2482"/>
      <c r="C43" s="2482"/>
      <c r="D43" s="2482"/>
      <c r="E43" s="2482"/>
      <c r="F43" s="2483"/>
      <c r="H43" s="1557"/>
      <c r="I43" s="1557"/>
      <c r="J43" s="1557"/>
      <c r="K43" s="1557"/>
    </row>
    <row r="44" spans="1:15" s="1548" customFormat="1" ht="12" hidden="1" customHeight="1" x14ac:dyDescent="0.25">
      <c r="A44" s="2481"/>
      <c r="B44" s="2482"/>
      <c r="C44" s="2482"/>
      <c r="D44" s="2482"/>
      <c r="E44" s="2482"/>
      <c r="F44" s="248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6" sqref="H1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2003</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7" t="str">
        <f>COVER!A17</f>
        <v xml:space="preserve">  Forest Ridge SD 142 </v>
      </c>
      <c r="J6" s="2498"/>
      <c r="K6" s="2499"/>
      <c r="R6" s="1427"/>
    </row>
    <row r="7" spans="1:18" x14ac:dyDescent="0.2">
      <c r="A7" s="2500" t="s">
        <v>864</v>
      </c>
      <c r="B7" s="2501"/>
      <c r="C7" s="2501"/>
      <c r="D7" s="2501"/>
      <c r="E7" s="2502"/>
      <c r="F7" s="847"/>
      <c r="G7" s="839"/>
      <c r="H7" s="846" t="s">
        <v>369</v>
      </c>
      <c r="I7" s="2503">
        <f>COVER!A13</f>
        <v>7016142002</v>
      </c>
      <c r="J7" s="2503"/>
      <c r="K7" s="250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4" t="s">
        <v>478</v>
      </c>
      <c r="B11" s="2505"/>
      <c r="C11" s="2506"/>
      <c r="D11" s="861" t="s">
        <v>866</v>
      </c>
      <c r="E11" s="861" t="s">
        <v>64</v>
      </c>
      <c r="F11" s="861" t="s">
        <v>6</v>
      </c>
      <c r="G11" s="862" t="s">
        <v>155</v>
      </c>
      <c r="H11" s="861" t="s">
        <v>64</v>
      </c>
      <c r="I11" s="861" t="s">
        <v>6</v>
      </c>
      <c r="J11" s="1980" t="s">
        <v>2002</v>
      </c>
      <c r="K11" s="862" t="s">
        <v>155</v>
      </c>
    </row>
    <row r="12" spans="1:18" ht="15" customHeight="1" x14ac:dyDescent="0.2">
      <c r="A12" s="863">
        <v>1</v>
      </c>
      <c r="B12" s="864" t="s">
        <v>813</v>
      </c>
      <c r="C12" s="865"/>
      <c r="D12" s="866">
        <v>2320</v>
      </c>
      <c r="E12" s="1863">
        <f>'Expenditures 15-22'!K50</f>
        <v>345848</v>
      </c>
      <c r="F12" s="1864"/>
      <c r="G12" s="1863">
        <f t="shared" ref="G12:G18" si="0">SUM(E12:F12)</f>
        <v>345848</v>
      </c>
      <c r="H12" s="1865">
        <v>358400</v>
      </c>
      <c r="I12" s="1864"/>
      <c r="J12" s="1865"/>
      <c r="K12" s="1863">
        <f t="shared" ref="K12:K18" si="1">SUM(H12:J12)</f>
        <v>358400</v>
      </c>
    </row>
    <row r="13" spans="1:18" ht="15" customHeight="1" x14ac:dyDescent="0.2">
      <c r="A13" s="863">
        <v>2</v>
      </c>
      <c r="B13" s="864" t="s">
        <v>42</v>
      </c>
      <c r="C13" s="865"/>
      <c r="D13" s="866">
        <v>2330</v>
      </c>
      <c r="E13" s="1863">
        <f>'Expenditures 15-22'!K51</f>
        <v>189645</v>
      </c>
      <c r="F13" s="1864"/>
      <c r="G13" s="1863">
        <f t="shared" si="0"/>
        <v>189645</v>
      </c>
      <c r="H13" s="1865">
        <v>200500</v>
      </c>
      <c r="I13" s="1864"/>
      <c r="J13" s="1865"/>
      <c r="K13" s="1863">
        <f t="shared" si="1"/>
        <v>200500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122300</v>
      </c>
      <c r="F15" s="1863">
        <f>'Expenditures 15-22'!K122</f>
        <v>0</v>
      </c>
      <c r="G15" s="1863">
        <f t="shared" si="0"/>
        <v>122300</v>
      </c>
      <c r="H15" s="1865">
        <v>135000</v>
      </c>
      <c r="I15" s="1865"/>
      <c r="J15" s="1865"/>
      <c r="K15" s="1863">
        <f t="shared" si="1"/>
        <v>135000</v>
      </c>
    </row>
    <row r="16" spans="1:18" ht="15" customHeight="1" x14ac:dyDescent="0.2">
      <c r="A16" s="863">
        <v>5</v>
      </c>
      <c r="B16" s="864" t="s">
        <v>101</v>
      </c>
      <c r="C16" s="865"/>
      <c r="D16" s="866">
        <v>2570</v>
      </c>
      <c r="E16" s="1863">
        <f>'Expenditures 15-22'!K64</f>
        <v>5783</v>
      </c>
      <c r="F16" s="1864"/>
      <c r="G16" s="1863">
        <f t="shared" si="0"/>
        <v>5783</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7" t="s">
        <v>7</v>
      </c>
      <c r="C18" s="2508"/>
      <c r="D18" s="2509"/>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663576</v>
      </c>
      <c r="F19" s="1868">
        <f t="shared" si="2"/>
        <v>0</v>
      </c>
      <c r="G19" s="1868">
        <f t="shared" si="2"/>
        <v>663576</v>
      </c>
      <c r="H19" s="1868">
        <f t="shared" si="2"/>
        <v>693900</v>
      </c>
      <c r="I19" s="1868">
        <f t="shared" si="2"/>
        <v>0</v>
      </c>
      <c r="J19" s="1868">
        <f t="shared" si="2"/>
        <v>0</v>
      </c>
      <c r="K19" s="1868">
        <f t="shared" si="2"/>
        <v>693900</v>
      </c>
    </row>
    <row r="20" spans="1:11" ht="13.5" thickTop="1" x14ac:dyDescent="0.2">
      <c r="A20" s="863">
        <v>9</v>
      </c>
      <c r="B20" s="2510" t="str">
        <f>"Percent Increase (Decrease) for FY"&amp;'AFR20'!E2+1&amp;" (Budgeted) over FY"&amp;'AFR20'!E2&amp;" (Actual)"</f>
        <v>Percent Increase (Decrease) for FY2021 (Budgeted) over FY2020 (Actual)</v>
      </c>
      <c r="C20" s="2510"/>
      <c r="D20" s="2511"/>
      <c r="E20" s="1869"/>
      <c r="F20" s="1869"/>
      <c r="G20" s="1869"/>
      <c r="H20" s="1869"/>
      <c r="I20" s="1869"/>
      <c r="J20" s="1978"/>
      <c r="K20" s="1870">
        <f>IF(AND(G19&gt;0,K19&gt;0),(((K19-G19)/G19)),"Enter Budget Data")</f>
        <v>4.5697855256971322E-2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6"/>
      <c r="D26" s="2516"/>
      <c r="E26" s="874"/>
      <c r="F26" s="2515"/>
      <c r="G26" s="2515"/>
    </row>
    <row r="27" spans="1:11" x14ac:dyDescent="0.2">
      <c r="B27" s="871"/>
      <c r="C27" s="875" t="s">
        <v>1026</v>
      </c>
      <c r="D27" s="876"/>
      <c r="E27" s="877"/>
      <c r="F27" s="2512" t="s">
        <v>1495</v>
      </c>
      <c r="G27" s="2512"/>
    </row>
    <row r="28" spans="1:11" ht="28.5" customHeight="1" x14ac:dyDescent="0.2">
      <c r="B28" s="871"/>
      <c r="C28" s="2514"/>
      <c r="D28" s="2514"/>
      <c r="E28" s="878"/>
      <c r="F28" s="2514"/>
      <c r="G28" s="2514"/>
    </row>
    <row r="29" spans="1:11" x14ac:dyDescent="0.2">
      <c r="B29" s="871"/>
      <c r="C29" s="879" t="s">
        <v>1547</v>
      </c>
      <c r="E29" s="880"/>
      <c r="F29" s="2513" t="s">
        <v>1496</v>
      </c>
      <c r="G29" s="251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5"/>
      <c r="E33" s="2495"/>
      <c r="F33" s="2495"/>
      <c r="G33" s="2495"/>
      <c r="H33" s="2495"/>
      <c r="I33" s="2495"/>
      <c r="J33" s="1976"/>
    </row>
    <row r="34" spans="1:11" ht="10.35" customHeight="1" x14ac:dyDescent="0.2">
      <c r="C34" s="2495"/>
      <c r="D34" s="2495"/>
      <c r="E34" s="2495"/>
      <c r="F34" s="2495"/>
      <c r="G34" s="2495"/>
      <c r="H34" s="2495"/>
      <c r="I34" s="2495"/>
      <c r="J34" s="1976"/>
    </row>
    <row r="35" spans="1:11" ht="7.5" customHeight="1" x14ac:dyDescent="0.2">
      <c r="C35" s="886"/>
    </row>
    <row r="36" spans="1:11" ht="13.5" customHeight="1" x14ac:dyDescent="0.2">
      <c r="B36" s="885"/>
      <c r="C36" s="249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5"/>
      <c r="E36" s="2495"/>
      <c r="F36" s="2495"/>
      <c r="G36" s="2495"/>
      <c r="H36" s="2495"/>
      <c r="I36" s="2495"/>
      <c r="J36" s="1976"/>
      <c r="K36" s="887"/>
    </row>
    <row r="37" spans="1:11" ht="22.5" customHeight="1" x14ac:dyDescent="0.2">
      <c r="C37" s="2495"/>
      <c r="D37" s="2495"/>
      <c r="E37" s="2495"/>
      <c r="F37" s="2495"/>
      <c r="G37" s="2495"/>
      <c r="H37" s="2495"/>
      <c r="I37" s="2495"/>
      <c r="J37" s="1976"/>
      <c r="K37" s="887"/>
    </row>
    <row r="38" spans="1:11" ht="7.5" customHeight="1" x14ac:dyDescent="0.2">
      <c r="C38" s="886"/>
      <c r="D38" s="888"/>
      <c r="E38" s="889"/>
      <c r="F38" s="890"/>
      <c r="G38" s="889"/>
    </row>
    <row r="39" spans="1:11" ht="13.5" customHeight="1" x14ac:dyDescent="0.2">
      <c r="B39" s="885"/>
      <c r="C39" s="2492" t="str">
        <f>"The district will amend their budget to become in compliance with the limitation."</f>
        <v>The district will amend their budget to become in compliance with the limitation.</v>
      </c>
      <c r="D39" s="2493"/>
      <c r="E39" s="2493"/>
      <c r="F39" s="2493"/>
      <c r="G39" s="2493"/>
      <c r="H39" s="2493"/>
      <c r="I39" s="249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D2E5-8894-4784-88EB-482BDFC0D8B1}">
  <sheetPr>
    <pageSetUpPr fitToPage="1"/>
  </sheetPr>
  <dimension ref="A1:N72"/>
  <sheetViews>
    <sheetView showGridLines="0" topLeftCell="A49"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2003</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58" t="str">
        <f>COVER!A17</f>
        <v xml:space="preserve">  Forest Ridge SD 142 </v>
      </c>
      <c r="K6" s="2558"/>
      <c r="L6" s="2559"/>
      <c r="M6" s="899"/>
      <c r="N6" s="1997"/>
    </row>
    <row r="7" spans="1:14" x14ac:dyDescent="0.25">
      <c r="A7" s="2560" t="s">
        <v>864</v>
      </c>
      <c r="B7" s="2561"/>
      <c r="C7" s="2561"/>
      <c r="D7" s="2561"/>
      <c r="E7" s="2562"/>
      <c r="F7" s="2001"/>
      <c r="G7" s="899"/>
      <c r="H7" s="899"/>
      <c r="I7" s="2000" t="s">
        <v>369</v>
      </c>
      <c r="J7" s="2563">
        <f>COVER!A13</f>
        <v>7016142002</v>
      </c>
      <c r="K7" s="2563"/>
      <c r="L7" s="2563"/>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2033</v>
      </c>
      <c r="F9" s="2011"/>
      <c r="G9" s="2011"/>
      <c r="H9" s="2011"/>
      <c r="I9" s="2012" t="s">
        <v>2034</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64" t="s">
        <v>478</v>
      </c>
      <c r="B11" s="2565"/>
      <c r="C11" s="2566"/>
      <c r="D11" s="2019" t="s">
        <v>866</v>
      </c>
      <c r="E11" s="2019" t="s">
        <v>64</v>
      </c>
      <c r="F11" s="2019" t="s">
        <v>6</v>
      </c>
      <c r="G11" s="2020" t="s">
        <v>2035</v>
      </c>
      <c r="H11" s="2021" t="s">
        <v>155</v>
      </c>
      <c r="I11" s="2019" t="s">
        <v>64</v>
      </c>
      <c r="J11" s="2019" t="s">
        <v>6</v>
      </c>
      <c r="K11" s="2020" t="s">
        <v>2002</v>
      </c>
      <c r="L11" s="2021" t="s">
        <v>155</v>
      </c>
      <c r="M11" s="899"/>
      <c r="N11" s="1997"/>
    </row>
    <row r="12" spans="1:14" x14ac:dyDescent="0.25">
      <c r="A12" s="2022">
        <v>1</v>
      </c>
      <c r="B12" s="2023" t="s">
        <v>813</v>
      </c>
      <c r="C12" s="2024"/>
      <c r="D12" s="2025">
        <v>2320</v>
      </c>
      <c r="E12" s="2026">
        <f>'Expenditures 15-22'!K50</f>
        <v>345848</v>
      </c>
      <c r="F12" s="2027"/>
      <c r="G12" s="2028">
        <f>G68</f>
        <v>0</v>
      </c>
      <c r="H12" s="2029">
        <f t="shared" ref="H12:H18" si="0">SUM(E12:G12)</f>
        <v>345848</v>
      </c>
      <c r="I12" s="2030">
        <v>358400</v>
      </c>
      <c r="J12" s="2027"/>
      <c r="K12" s="2030"/>
      <c r="L12" s="2029">
        <f t="shared" ref="L12:L18" si="1">SUM(I12:K12)</f>
        <v>358400</v>
      </c>
      <c r="M12" s="899"/>
      <c r="N12" s="1997"/>
    </row>
    <row r="13" spans="1:14" x14ac:dyDescent="0.25">
      <c r="A13" s="2022">
        <v>2</v>
      </c>
      <c r="B13" s="2023" t="s">
        <v>42</v>
      </c>
      <c r="C13" s="2024"/>
      <c r="D13" s="2025">
        <v>2330</v>
      </c>
      <c r="E13" s="2026">
        <f>'Expenditures 15-22'!K51</f>
        <v>189645</v>
      </c>
      <c r="F13" s="2027"/>
      <c r="G13" s="2028">
        <f>H68</f>
        <v>0</v>
      </c>
      <c r="H13" s="2029">
        <f t="shared" si="0"/>
        <v>189645</v>
      </c>
      <c r="I13" s="2030">
        <v>200500</v>
      </c>
      <c r="J13" s="2027"/>
      <c r="K13" s="2030"/>
      <c r="L13" s="2029">
        <f t="shared" si="1"/>
        <v>200500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122300</v>
      </c>
      <c r="F15" s="2026">
        <f>'Expenditures 15-22'!K122</f>
        <v>0</v>
      </c>
      <c r="G15" s="2028">
        <f>J68</f>
        <v>0</v>
      </c>
      <c r="H15" s="2029">
        <f t="shared" si="0"/>
        <v>122300</v>
      </c>
      <c r="I15" s="2030">
        <v>135000</v>
      </c>
      <c r="J15" s="2030"/>
      <c r="K15" s="2030"/>
      <c r="L15" s="2029">
        <f t="shared" si="1"/>
        <v>135000</v>
      </c>
      <c r="M15" s="899"/>
      <c r="N15" s="1997"/>
    </row>
    <row r="16" spans="1:14" x14ac:dyDescent="0.25">
      <c r="A16" s="2022">
        <v>5</v>
      </c>
      <c r="B16" s="2023" t="s">
        <v>101</v>
      </c>
      <c r="C16" s="2024"/>
      <c r="D16" s="2025">
        <v>2570</v>
      </c>
      <c r="E16" s="2026">
        <f>'Expenditures 15-22'!K64</f>
        <v>5783</v>
      </c>
      <c r="F16" s="2027"/>
      <c r="G16" s="2028">
        <f>K68</f>
        <v>0</v>
      </c>
      <c r="H16" s="2029">
        <f t="shared" si="0"/>
        <v>5783</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8" t="s">
        <v>7</v>
      </c>
      <c r="C18" s="2508"/>
      <c r="D18" s="2509"/>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663576</v>
      </c>
      <c r="F19" s="2035">
        <f t="shared" si="2"/>
        <v>0</v>
      </c>
      <c r="G19" s="2035">
        <f t="shared" ref="G19" si="3">SUM(G12:G17)-G18</f>
        <v>0</v>
      </c>
      <c r="H19" s="2035">
        <f t="shared" si="2"/>
        <v>663576</v>
      </c>
      <c r="I19" s="2035">
        <f t="shared" si="2"/>
        <v>693900</v>
      </c>
      <c r="J19" s="2035">
        <f t="shared" si="2"/>
        <v>0</v>
      </c>
      <c r="K19" s="2035">
        <f t="shared" si="2"/>
        <v>0</v>
      </c>
      <c r="L19" s="2035">
        <f t="shared" si="2"/>
        <v>693900</v>
      </c>
      <c r="M19" s="899"/>
      <c r="N19" s="1997"/>
    </row>
    <row r="20" spans="1:14" ht="15.75" thickTop="1" x14ac:dyDescent="0.25">
      <c r="A20" s="2022">
        <v>9</v>
      </c>
      <c r="B20" s="2556" t="s">
        <v>2036</v>
      </c>
      <c r="C20" s="2556"/>
      <c r="D20" s="2557"/>
      <c r="E20" s="2036"/>
      <c r="F20" s="2036"/>
      <c r="G20" s="2036"/>
      <c r="H20" s="2036"/>
      <c r="I20" s="2036"/>
      <c r="J20" s="2036"/>
      <c r="K20" s="2036"/>
      <c r="L20" s="2037">
        <f>IF(AND(H19&gt;0,L19&gt;0),(((L19-H19)/H19)),"Enter Budget Data")</f>
        <v>4.5697855256971322E-2</v>
      </c>
      <c r="M20" s="899"/>
      <c r="N20" s="1997"/>
    </row>
    <row r="21" spans="1:14" x14ac:dyDescent="0.25">
      <c r="A21" s="2038" t="s">
        <v>194</v>
      </c>
      <c r="B21" s="294" t="s">
        <v>2037</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2038</v>
      </c>
      <c r="B24" s="2046"/>
      <c r="C24" s="2047"/>
      <c r="D24" s="2047"/>
      <c r="E24" s="2047"/>
      <c r="F24" s="2047"/>
      <c r="G24" s="2047"/>
      <c r="H24" s="2047"/>
      <c r="I24" s="2047"/>
      <c r="J24" s="2047"/>
      <c r="K24" s="2047"/>
      <c r="L24" s="899"/>
      <c r="M24" s="899"/>
      <c r="N24" s="1997"/>
    </row>
    <row r="25" spans="1:14" x14ac:dyDescent="0.25">
      <c r="A25" s="2045" t="s">
        <v>2039</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43"/>
      <c r="D27" s="2543"/>
      <c r="E27" s="2049"/>
      <c r="F27" s="2515"/>
      <c r="G27" s="2515"/>
      <c r="H27" s="2515"/>
      <c r="I27" s="899"/>
      <c r="J27" s="899"/>
      <c r="K27" s="899"/>
      <c r="L27" s="899"/>
      <c r="M27" s="899"/>
      <c r="N27" s="1997"/>
    </row>
    <row r="28" spans="1:14" x14ac:dyDescent="0.25">
      <c r="A28" s="1995"/>
      <c r="B28" s="2043"/>
      <c r="C28" s="2050" t="s">
        <v>1026</v>
      </c>
      <c r="D28" s="2051"/>
      <c r="E28" s="2052"/>
      <c r="F28" s="2544" t="s">
        <v>1495</v>
      </c>
      <c r="G28" s="2544"/>
      <c r="H28" s="2544"/>
      <c r="I28" s="899"/>
      <c r="J28" s="899"/>
      <c r="K28" s="899"/>
      <c r="L28" s="899"/>
      <c r="M28" s="899"/>
      <c r="N28" s="1997"/>
    </row>
    <row r="29" spans="1:14" x14ac:dyDescent="0.25">
      <c r="A29" s="1995"/>
      <c r="B29" s="2043"/>
      <c r="C29" s="2545"/>
      <c r="D29" s="2545"/>
      <c r="E29" s="898"/>
      <c r="F29" s="2545"/>
      <c r="G29" s="2545"/>
      <c r="H29" s="2545"/>
      <c r="I29" s="899"/>
      <c r="J29" s="899"/>
      <c r="K29" s="899"/>
      <c r="L29" s="899"/>
      <c r="M29" s="899"/>
      <c r="N29" s="1997"/>
    </row>
    <row r="30" spans="1:14" x14ac:dyDescent="0.25">
      <c r="A30" s="1995"/>
      <c r="B30" s="2043"/>
      <c r="C30" s="2053" t="s">
        <v>1547</v>
      </c>
      <c r="D30" s="899"/>
      <c r="E30" s="2054"/>
      <c r="F30" s="2546" t="s">
        <v>1496</v>
      </c>
      <c r="G30" s="2546"/>
      <c r="H30" s="2546"/>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47" t="s">
        <v>2040</v>
      </c>
      <c r="D34" s="2547"/>
      <c r="E34" s="2547"/>
      <c r="F34" s="2547"/>
      <c r="G34" s="2547"/>
      <c r="H34" s="2547"/>
      <c r="I34" s="2547"/>
      <c r="J34" s="2547"/>
      <c r="K34" s="2059"/>
      <c r="L34" s="899"/>
      <c r="M34" s="899"/>
      <c r="N34" s="1997"/>
    </row>
    <row r="35" spans="1:14" x14ac:dyDescent="0.25">
      <c r="A35" s="1995"/>
      <c r="B35" s="899"/>
      <c r="C35" s="2547"/>
      <c r="D35" s="2547"/>
      <c r="E35" s="2547"/>
      <c r="F35" s="2547"/>
      <c r="G35" s="2547"/>
      <c r="H35" s="2547"/>
      <c r="I35" s="2547"/>
      <c r="J35" s="2547"/>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47" t="s">
        <v>2041</v>
      </c>
      <c r="D37" s="2547"/>
      <c r="E37" s="2547"/>
      <c r="F37" s="2547"/>
      <c r="G37" s="2547"/>
      <c r="H37" s="2547"/>
      <c r="I37" s="2547"/>
      <c r="J37" s="2547"/>
      <c r="K37" s="2059"/>
      <c r="L37" s="887"/>
      <c r="M37" s="899"/>
      <c r="N37" s="1997"/>
    </row>
    <row r="38" spans="1:14" x14ac:dyDescent="0.25">
      <c r="A38" s="1995"/>
      <c r="B38" s="899"/>
      <c r="C38" s="2547"/>
      <c r="D38" s="2547"/>
      <c r="E38" s="2547"/>
      <c r="F38" s="2547"/>
      <c r="G38" s="2547"/>
      <c r="H38" s="2547"/>
      <c r="I38" s="2547"/>
      <c r="J38" s="2547"/>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8" t="s">
        <v>2042</v>
      </c>
      <c r="D40" s="2549"/>
      <c r="E40" s="2549"/>
      <c r="F40" s="2549"/>
      <c r="G40" s="2549"/>
      <c r="H40" s="2549"/>
      <c r="I40" s="2549"/>
      <c r="J40" s="2549"/>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50" t="s">
        <v>2043</v>
      </c>
      <c r="B43" s="2551"/>
      <c r="C43" s="2551"/>
      <c r="D43" s="2551"/>
      <c r="E43" s="2551"/>
      <c r="F43" s="2551"/>
      <c r="G43" s="2551"/>
      <c r="H43" s="2551"/>
      <c r="I43" s="2551"/>
      <c r="J43" s="2551"/>
      <c r="K43" s="2551"/>
      <c r="L43" s="2551"/>
      <c r="M43" s="2551"/>
      <c r="N43" s="2552"/>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2044</v>
      </c>
      <c r="B45" s="2068"/>
      <c r="C45" s="2068"/>
      <c r="D45" s="2068"/>
      <c r="E45" s="2068"/>
      <c r="F45" s="2068"/>
      <c r="G45" s="2068"/>
      <c r="H45" s="2068"/>
      <c r="I45" s="2068"/>
      <c r="J45" s="2068"/>
      <c r="K45" s="2068"/>
      <c r="L45" s="2068"/>
      <c r="M45" s="2068"/>
      <c r="N45" s="2069"/>
    </row>
    <row r="46" spans="1:14" x14ac:dyDescent="0.25">
      <c r="A46" s="2553" t="s">
        <v>2045</v>
      </c>
      <c r="B46" s="2554"/>
      <c r="C46" s="2554"/>
      <c r="D46" s="2554"/>
      <c r="E46" s="2554"/>
      <c r="F46" s="2554"/>
      <c r="G46" s="2554"/>
      <c r="H46" s="2554"/>
      <c r="I46" s="2554"/>
      <c r="J46" s="2554"/>
      <c r="K46" s="2554"/>
      <c r="L46" s="2554"/>
      <c r="M46" s="2554"/>
      <c r="N46" s="2555"/>
    </row>
    <row r="47" spans="1:14" x14ac:dyDescent="0.25">
      <c r="A47" s="2553"/>
      <c r="B47" s="2554"/>
      <c r="C47" s="2554"/>
      <c r="D47" s="2554"/>
      <c r="E47" s="2554"/>
      <c r="F47" s="2554"/>
      <c r="G47" s="2554"/>
      <c r="H47" s="2554"/>
      <c r="I47" s="2554"/>
      <c r="J47" s="2554"/>
      <c r="K47" s="2554"/>
      <c r="L47" s="2554"/>
      <c r="M47" s="2554"/>
      <c r="N47" s="2555"/>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2046</v>
      </c>
      <c r="B49" s="2074"/>
      <c r="C49" s="2074"/>
      <c r="D49" s="2075"/>
      <c r="E49" s="2075"/>
      <c r="F49" s="2075"/>
      <c r="G49" s="2075"/>
      <c r="H49" s="2075"/>
      <c r="I49" s="2075"/>
      <c r="J49" s="2075"/>
      <c r="K49" s="2075"/>
      <c r="L49" s="2075"/>
      <c r="M49" s="2075"/>
      <c r="N49" s="2076"/>
    </row>
    <row r="50" spans="1:14" x14ac:dyDescent="0.25">
      <c r="A50" s="2073" t="s">
        <v>2047</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41" t="str">
        <f>J6</f>
        <v xml:space="preserve">  Forest Ridge SD 142 </v>
      </c>
      <c r="M52" s="2541"/>
      <c r="N52" s="2542"/>
    </row>
    <row r="53" spans="1:14" x14ac:dyDescent="0.25">
      <c r="A53" s="2067"/>
      <c r="B53" s="2068"/>
      <c r="C53" s="2068"/>
      <c r="D53" s="2068"/>
      <c r="E53" s="2068"/>
      <c r="F53" s="2068"/>
      <c r="G53" s="2068"/>
      <c r="H53" s="2068"/>
      <c r="I53" s="2068"/>
      <c r="J53" s="2068"/>
      <c r="K53" s="2000" t="s">
        <v>369</v>
      </c>
      <c r="L53" s="2528">
        <f>J7</f>
        <v>7016142002</v>
      </c>
      <c r="M53" s="2528"/>
      <c r="N53" s="2529"/>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30"/>
      <c r="B55" s="2531"/>
      <c r="C55" s="2531"/>
      <c r="D55" s="2077"/>
      <c r="E55" s="2077"/>
      <c r="F55" s="2077"/>
      <c r="G55" s="2532" t="s">
        <v>2048</v>
      </c>
      <c r="H55" s="2532"/>
      <c r="I55" s="2532"/>
      <c r="J55" s="2532"/>
      <c r="K55" s="2532"/>
      <c r="L55" s="2532"/>
      <c r="M55" s="2532"/>
      <c r="N55" s="2533"/>
    </row>
    <row r="56" spans="1:14" ht="64.5" x14ac:dyDescent="0.25">
      <c r="A56" s="2534" t="s">
        <v>2049</v>
      </c>
      <c r="B56" s="2535"/>
      <c r="C56" s="2536"/>
      <c r="D56" s="2078" t="s">
        <v>2050</v>
      </c>
      <c r="E56" s="2078" t="s">
        <v>2051</v>
      </c>
      <c r="F56" s="2079"/>
      <c r="G56" s="2078" t="s">
        <v>2052</v>
      </c>
      <c r="H56" s="2078" t="s">
        <v>2053</v>
      </c>
      <c r="I56" s="2078" t="s">
        <v>2054</v>
      </c>
      <c r="J56" s="2078" t="s">
        <v>2055</v>
      </c>
      <c r="K56" s="2078" t="s">
        <v>2056</v>
      </c>
      <c r="L56" s="2078" t="s">
        <v>2057</v>
      </c>
      <c r="M56" s="2078" t="s">
        <v>2058</v>
      </c>
      <c r="N56" s="2080" t="s">
        <v>2059</v>
      </c>
    </row>
    <row r="57" spans="1:14" ht="24" customHeight="1" x14ac:dyDescent="0.25">
      <c r="A57" s="2537" t="s">
        <v>296</v>
      </c>
      <c r="B57" s="2538"/>
      <c r="C57" s="2538"/>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9" t="s">
        <v>2060</v>
      </c>
      <c r="B58" s="2540"/>
      <c r="C58" s="2540"/>
      <c r="D58" s="2087">
        <v>2362</v>
      </c>
      <c r="E58" s="2082">
        <f>'Expenditures 15-22'!K320</f>
        <v>47238</v>
      </c>
      <c r="F58" s="2083"/>
      <c r="G58" s="2088"/>
      <c r="H58" s="2089"/>
      <c r="I58" s="2089"/>
      <c r="J58" s="2089"/>
      <c r="K58" s="2089"/>
      <c r="L58" s="2089"/>
      <c r="M58" s="2089">
        <v>47238</v>
      </c>
      <c r="N58" s="2086">
        <f>IF((SUM(G58:M58))=E58,SUM(G58:M58),"Column N does not agree with Column E")</f>
        <v>47238</v>
      </c>
    </row>
    <row r="59" spans="1:14" ht="24.75" customHeight="1" x14ac:dyDescent="0.25">
      <c r="A59" s="2521" t="s">
        <v>297</v>
      </c>
      <c r="B59" s="2522"/>
      <c r="C59" s="2522"/>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21" t="s">
        <v>236</v>
      </c>
      <c r="B60" s="2522"/>
      <c r="C60" s="2522"/>
      <c r="D60" s="2087">
        <v>2364</v>
      </c>
      <c r="E60" s="2082">
        <f>'Expenditures 15-22'!K322</f>
        <v>23722</v>
      </c>
      <c r="F60" s="2083"/>
      <c r="G60" s="2088"/>
      <c r="H60" s="2089"/>
      <c r="I60" s="2089"/>
      <c r="J60" s="2089"/>
      <c r="K60" s="2089"/>
      <c r="L60" s="2089"/>
      <c r="M60" s="2089">
        <v>23722</v>
      </c>
      <c r="N60" s="2086">
        <f t="shared" si="4"/>
        <v>23722</v>
      </c>
    </row>
    <row r="61" spans="1:14" ht="24.75" customHeight="1" x14ac:dyDescent="0.25">
      <c r="A61" s="2521" t="s">
        <v>697</v>
      </c>
      <c r="B61" s="2522"/>
      <c r="C61" s="2522"/>
      <c r="D61" s="2087">
        <v>2365</v>
      </c>
      <c r="E61" s="2082">
        <f>'Expenditures 15-22'!K323</f>
        <v>14060</v>
      </c>
      <c r="F61" s="2083"/>
      <c r="G61" s="2088"/>
      <c r="H61" s="2089"/>
      <c r="I61" s="2089"/>
      <c r="J61" s="2089"/>
      <c r="K61" s="2089"/>
      <c r="L61" s="2089"/>
      <c r="M61" s="2089">
        <v>14060</v>
      </c>
      <c r="N61" s="2086">
        <f t="shared" si="4"/>
        <v>14060</v>
      </c>
    </row>
    <row r="62" spans="1:14" ht="24.75" customHeight="1" x14ac:dyDescent="0.25">
      <c r="A62" s="2521" t="s">
        <v>237</v>
      </c>
      <c r="B62" s="2522"/>
      <c r="C62" s="2522"/>
      <c r="D62" s="2087">
        <v>2366</v>
      </c>
      <c r="E62" s="2082">
        <f>'Expenditures 15-22'!K324</f>
        <v>0</v>
      </c>
      <c r="F62" s="2083"/>
      <c r="G62" s="2088"/>
      <c r="H62" s="2089"/>
      <c r="I62" s="2089"/>
      <c r="J62" s="2089"/>
      <c r="K62" s="2089"/>
      <c r="L62" s="2089"/>
      <c r="M62" s="2089"/>
      <c r="N62" s="2086">
        <f t="shared" si="4"/>
        <v>0</v>
      </c>
    </row>
    <row r="63" spans="1:14" ht="24.75" customHeight="1" x14ac:dyDescent="0.25">
      <c r="A63" s="2539" t="s">
        <v>1022</v>
      </c>
      <c r="B63" s="2540"/>
      <c r="C63" s="2540"/>
      <c r="D63" s="2087">
        <v>2367</v>
      </c>
      <c r="E63" s="2082">
        <f>'Expenditures 15-22'!K325</f>
        <v>0</v>
      </c>
      <c r="F63" s="2083"/>
      <c r="G63" s="2088"/>
      <c r="H63" s="2089"/>
      <c r="I63" s="2089"/>
      <c r="J63" s="2089"/>
      <c r="K63" s="2089"/>
      <c r="L63" s="2089"/>
      <c r="M63" s="2089"/>
      <c r="N63" s="2086">
        <f t="shared" si="4"/>
        <v>0</v>
      </c>
    </row>
    <row r="64" spans="1:14" ht="24.75" customHeight="1" x14ac:dyDescent="0.25">
      <c r="A64" s="2521" t="s">
        <v>1023</v>
      </c>
      <c r="B64" s="2522"/>
      <c r="C64" s="2522"/>
      <c r="D64" s="2087">
        <v>2368</v>
      </c>
      <c r="E64" s="2082">
        <f>'Expenditures 15-22'!K326</f>
        <v>0</v>
      </c>
      <c r="F64" s="2083"/>
      <c r="G64" s="2088"/>
      <c r="H64" s="2089"/>
      <c r="I64" s="2089"/>
      <c r="J64" s="2089"/>
      <c r="K64" s="2089"/>
      <c r="L64" s="2089"/>
      <c r="M64" s="2089"/>
      <c r="N64" s="2086">
        <f t="shared" si="4"/>
        <v>0</v>
      </c>
    </row>
    <row r="65" spans="1:14" ht="24" customHeight="1" x14ac:dyDescent="0.25">
      <c r="A65" s="2521" t="s">
        <v>965</v>
      </c>
      <c r="B65" s="2522"/>
      <c r="C65" s="2522"/>
      <c r="D65" s="2087">
        <v>2369</v>
      </c>
      <c r="E65" s="2082">
        <f>'Expenditures 15-22'!K327</f>
        <v>40487</v>
      </c>
      <c r="F65" s="2083"/>
      <c r="G65" s="2088"/>
      <c r="H65" s="2089"/>
      <c r="I65" s="2089"/>
      <c r="J65" s="2089"/>
      <c r="K65" s="2089"/>
      <c r="L65" s="2089"/>
      <c r="M65" s="2089">
        <v>40487</v>
      </c>
      <c r="N65" s="2086">
        <f t="shared" si="4"/>
        <v>40487</v>
      </c>
    </row>
    <row r="66" spans="1:14" ht="24.75" customHeight="1" x14ac:dyDescent="0.25">
      <c r="A66" s="2521" t="s">
        <v>469</v>
      </c>
      <c r="B66" s="2522"/>
      <c r="C66" s="2522"/>
      <c r="D66" s="2087">
        <v>2371</v>
      </c>
      <c r="E66" s="2082">
        <f>'Expenditures 15-22'!K328</f>
        <v>0</v>
      </c>
      <c r="F66" s="2083"/>
      <c r="G66" s="2088"/>
      <c r="H66" s="2089"/>
      <c r="I66" s="2089"/>
      <c r="J66" s="2089"/>
      <c r="K66" s="2089"/>
      <c r="L66" s="2089"/>
      <c r="M66" s="2089"/>
      <c r="N66" s="2086">
        <f t="shared" si="4"/>
        <v>0</v>
      </c>
    </row>
    <row r="67" spans="1:14" ht="24.75" customHeight="1" x14ac:dyDescent="0.25">
      <c r="A67" s="2523" t="s">
        <v>2061</v>
      </c>
      <c r="B67" s="2524"/>
      <c r="C67" s="2524"/>
      <c r="D67" s="2090">
        <v>2372</v>
      </c>
      <c r="E67" s="2082">
        <f>'Expenditures 15-22'!K329</f>
        <v>0</v>
      </c>
      <c r="F67" s="2083"/>
      <c r="G67" s="2091"/>
      <c r="H67" s="2092"/>
      <c r="I67" s="2092"/>
      <c r="J67" s="2092"/>
      <c r="K67" s="2092"/>
      <c r="L67" s="2092"/>
      <c r="M67" s="2092"/>
      <c r="N67" s="2086">
        <f t="shared" si="4"/>
        <v>0</v>
      </c>
    </row>
    <row r="68" spans="1:14" x14ac:dyDescent="0.25">
      <c r="A68" s="2525" t="s">
        <v>1153</v>
      </c>
      <c r="B68" s="2526"/>
      <c r="C68" s="2526"/>
      <c r="D68" s="2077"/>
      <c r="E68" s="2093">
        <f>SUM(E57:E67)</f>
        <v>125507</v>
      </c>
      <c r="F68" s="2094"/>
      <c r="G68" s="2093">
        <f t="shared" ref="G68:N68" si="5">SUM(G57:G67)</f>
        <v>0</v>
      </c>
      <c r="H68" s="2093">
        <f t="shared" si="5"/>
        <v>0</v>
      </c>
      <c r="I68" s="2093">
        <f t="shared" si="5"/>
        <v>0</v>
      </c>
      <c r="J68" s="2093">
        <f t="shared" si="5"/>
        <v>0</v>
      </c>
      <c r="K68" s="2093">
        <f t="shared" si="5"/>
        <v>0</v>
      </c>
      <c r="L68" s="2093">
        <f t="shared" si="5"/>
        <v>0</v>
      </c>
      <c r="M68" s="2093">
        <f t="shared" si="5"/>
        <v>125507</v>
      </c>
      <c r="N68" s="2095">
        <f t="shared" si="5"/>
        <v>125507</v>
      </c>
    </row>
    <row r="69" spans="1:14" x14ac:dyDescent="0.25">
      <c r="A69" s="2096"/>
      <c r="B69" s="2097"/>
      <c r="C69" s="2097"/>
      <c r="D69" s="2097"/>
      <c r="E69" s="2097"/>
      <c r="F69" s="2097"/>
      <c r="G69" s="2097"/>
      <c r="H69" s="2098" t="s">
        <v>2062</v>
      </c>
      <c r="I69" s="2097"/>
      <c r="J69" s="2097"/>
      <c r="K69" s="2097"/>
      <c r="L69" s="2098" t="s">
        <v>2063</v>
      </c>
      <c r="M69" s="2097"/>
      <c r="N69" s="2099"/>
    </row>
    <row r="70" spans="1:14" ht="46.5" customHeight="1" x14ac:dyDescent="0.25">
      <c r="A70" s="2100" t="s">
        <v>2064</v>
      </c>
      <c r="B70" s="2097"/>
      <c r="C70" s="2097"/>
      <c r="D70" s="2097"/>
      <c r="E70" s="2097"/>
      <c r="F70" s="2097"/>
      <c r="G70" s="2097"/>
      <c r="H70" s="2517" t="s">
        <v>2065</v>
      </c>
      <c r="I70" s="2517"/>
      <c r="J70" s="2517"/>
      <c r="K70" s="2097"/>
      <c r="L70" s="2517" t="s">
        <v>2066</v>
      </c>
      <c r="M70" s="2517"/>
      <c r="N70" s="2527"/>
    </row>
    <row r="71" spans="1:14" ht="42.75" customHeight="1" x14ac:dyDescent="0.25">
      <c r="A71" s="2096"/>
      <c r="B71" s="2097"/>
      <c r="C71" s="2097"/>
      <c r="D71" s="2097"/>
      <c r="E71" s="2097"/>
      <c r="F71" s="2097"/>
      <c r="G71" s="2097"/>
      <c r="H71" s="2517" t="s">
        <v>2067</v>
      </c>
      <c r="I71" s="2517"/>
      <c r="J71" s="2517"/>
      <c r="K71" s="2097"/>
      <c r="L71" s="2518" t="s">
        <v>2068</v>
      </c>
      <c r="M71" s="2518"/>
      <c r="N71" s="2519"/>
    </row>
    <row r="72" spans="1:14" ht="52.5" customHeight="1" thickBot="1" x14ac:dyDescent="0.3">
      <c r="A72" s="2101"/>
      <c r="B72" s="2102"/>
      <c r="C72" s="2102"/>
      <c r="D72" s="2102"/>
      <c r="E72" s="2102"/>
      <c r="F72" s="2102"/>
      <c r="G72" s="2102"/>
      <c r="H72" s="2520" t="s">
        <v>2069</v>
      </c>
      <c r="I72" s="2520"/>
      <c r="J72" s="2520"/>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2851E2ED-1061-471A-B35E-FF758C74B8F9}"/>
    <dataValidation allowBlank="1" showInputMessage="1" showErrorMessage="1" prompt="Link cell K328 from &quot;Expenditures 15-22&quot; tab" sqref="E66" xr:uid="{2513E44D-BE22-4DC1-84CF-9FB84C2C03A9}"/>
    <dataValidation allowBlank="1" showInputMessage="1" showErrorMessage="1" prompt="Link cell K327 from &quot;Expenditures 15-22&quot; tab" sqref="E65" xr:uid="{964FD653-BA40-4C4B-85EA-FEBDC9A578C3}"/>
    <dataValidation allowBlank="1" showInputMessage="1" showErrorMessage="1" prompt="Link cell K326 from &quot;Expenditures 15-22&quot; tab" sqref="E64" xr:uid="{24EA2205-2EAA-4CD4-95C5-5C1209AC9C89}"/>
    <dataValidation allowBlank="1" showInputMessage="1" showErrorMessage="1" prompt="Link cell K325 from &quot;Expenditures 15-22&quot; tab" sqref="E63" xr:uid="{046DA8F3-8838-434B-BD2F-4C59589EED79}"/>
    <dataValidation allowBlank="1" showInputMessage="1" showErrorMessage="1" prompt="Link cell K324 from &quot;Expenditures 15-22&quot; tab" sqref="E62" xr:uid="{66F8C483-A251-4058-8710-D07DE67A0A4F}"/>
    <dataValidation allowBlank="1" showInputMessage="1" showErrorMessage="1" prompt="Link cell K323 from &quot;Expenditures 15-22&quot; tab" sqref="E61" xr:uid="{551FD11E-4B64-46D9-9292-67806FA38E7B}"/>
    <dataValidation allowBlank="1" showInputMessage="1" showErrorMessage="1" prompt="Link cell K322 from &quot;Expenditures 15-22&quot; tab" sqref="E60" xr:uid="{F60F0FB2-381C-4C05-A140-9169433FE603}"/>
    <dataValidation allowBlank="1" showInputMessage="1" showErrorMessage="1" prompt="Link cell K321 from &quot;Expenditures 15-22&quot; tab" sqref="E59" xr:uid="{46D913C4-5183-43B0-AE0A-532F9B3500D7}"/>
    <dataValidation allowBlank="1" showInputMessage="1" showErrorMessage="1" prompt="Link cell K320 from &quot;Expenditures 15-22&quot; tab" sqref="E58" xr:uid="{EA532141-D353-4E94-A7C3-535013C855C5}"/>
    <dataValidation allowBlank="1" showInputMessage="1" showErrorMessage="1" prompt="Link cell K319 from &quot;Expenditures 15-22&quot; tab" sqref="E57" xr:uid="{5C47EA22-327D-4519-8167-2EC255FB6B4E}"/>
    <dataValidation allowBlank="1" showInputMessage="1" showErrorMessage="1" prompt="Link cell K122 from &quot;Expenditures 15-22&quot; tab" sqref="F15" xr:uid="{94ECB1AE-5BD8-4B89-A2C2-C523CE7D6D8D}"/>
    <dataValidation allowBlank="1" showInputMessage="1" showErrorMessage="1" prompt="Link cell K67 from &quot;Expenditures 15-22&quot; tab" sqref="E17" xr:uid="{081C25E9-C7C5-4A3B-9BE8-337B01348240}"/>
    <dataValidation allowBlank="1" showInputMessage="1" showErrorMessage="1" prompt="Link cell K64 from &quot;Expenditures 15-22&quot; tab" sqref="E16" xr:uid="{44E9F11B-7B98-400A-86FC-279DACF93B41}"/>
    <dataValidation allowBlank="1" showInputMessage="1" showErrorMessage="1" prompt="Link cell K59 from &quot;Expenditures 15-22&quot; tab" sqref="E15" xr:uid="{8F105AD8-5DF7-48A6-A5E0-29B5811481B6}"/>
    <dataValidation allowBlank="1" showInputMessage="1" showErrorMessage="1" prompt="Link cell K56 from &quot;Expenditures 15-22&quot; tab" sqref="E14" xr:uid="{28936099-82BE-4172-A200-3D34EFC83174}"/>
    <dataValidation allowBlank="1" showInputMessage="1" showErrorMessage="1" prompt="Link cell K51 from &quot;Expenditures 15-22&quot; tab" sqref="E13" xr:uid="{8C655D96-BC9F-44CC-9614-5F727BFB5854}"/>
    <dataValidation allowBlank="1" showInputMessage="1" showErrorMessage="1" prompt="Link cell K50 from &quot;Expenditures 15-22&quot; tab " sqref="E12" xr:uid="{C035628E-685D-4F51-86B0-D709B8132983}"/>
    <dataValidation allowBlank="1" showInputMessage="1" showErrorMessage="1" prompt="Link cell A13 from &quot;Cover&quot; tab" sqref="J7:L7" xr:uid="{7A766BE6-5129-4A1B-A054-B2528CE7B550}"/>
    <dataValidation allowBlank="1" showInputMessage="1" showErrorMessage="1" prompt="Link cell A17 from &quot;Cover&quot; tab" sqref="J6:L6" xr:uid="{FD7E5107-8B64-4A55-BEF0-9C59DC325B30}"/>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519" t="s">
        <v>1597</v>
      </c>
    </row>
    <row r="23" spans="1:5" x14ac:dyDescent="0.2">
      <c r="A23" s="163"/>
      <c r="B23" s="157" t="s">
        <v>1829</v>
      </c>
      <c r="D23" s="162" t="s">
        <v>632</v>
      </c>
      <c r="E23" s="1519"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6" t="s">
        <v>1058</v>
      </c>
      <c r="B35" s="2226"/>
      <c r="C35" s="2226"/>
      <c r="D35" s="2226"/>
      <c r="E35" s="222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3" t="s">
        <v>686</v>
      </c>
      <c r="B40" s="2223"/>
      <c r="C40" s="2223"/>
      <c r="D40" s="2223"/>
      <c r="E40" s="2223"/>
    </row>
    <row r="41" spans="1:5" x14ac:dyDescent="0.2">
      <c r="A41" s="2224" t="s">
        <v>1594</v>
      </c>
      <c r="B41" s="2224"/>
      <c r="C41" s="2224"/>
      <c r="D41" s="2224"/>
      <c r="E41" s="2224"/>
    </row>
    <row r="42" spans="1:5" ht="12.75" customHeight="1" x14ac:dyDescent="0.2">
      <c r="A42" s="2225" t="s">
        <v>1015</v>
      </c>
      <c r="B42" s="2225"/>
      <c r="C42" s="2225"/>
      <c r="D42" s="2225"/>
      <c r="E42" s="2225"/>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Forest Ridge SD 142 </v>
      </c>
    </row>
    <row r="65" spans="2:2" x14ac:dyDescent="0.2">
      <c r="B65" s="894">
        <f>COVER!A13</f>
        <v>7016142002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1974</v>
      </c>
    </row>
    <row r="17" spans="1:2" ht="6" customHeight="1" x14ac:dyDescent="0.2"/>
    <row r="18" spans="1:2" ht="24.75" customHeight="1" x14ac:dyDescent="0.2">
      <c r="A18" s="2567" t="s">
        <v>1668</v>
      </c>
      <c r="B18" s="25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933450</xdr:colOff>
                <xdr:row>6</xdr:row>
                <xdr:rowOff>142875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1514475</xdr:colOff>
                <xdr:row>2</xdr:row>
                <xdr:rowOff>66675</xdr:rowOff>
              </from>
              <to>
                <xdr:col>1</xdr:col>
                <xdr:colOff>2447925</xdr:colOff>
                <xdr:row>7</xdr:row>
                <xdr:rowOff>47625</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8" t="s">
        <v>1672</v>
      </c>
      <c r="B1" s="2569"/>
      <c r="C1" s="2569"/>
      <c r="D1" s="2569"/>
      <c r="E1" s="2569"/>
      <c r="F1" s="2570"/>
    </row>
    <row r="2" spans="1:8" ht="45" customHeight="1" x14ac:dyDescent="0.2">
      <c r="A2" s="25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9"/>
      <c r="C2" s="2579"/>
      <c r="D2" s="2579"/>
      <c r="E2" s="2579"/>
      <c r="F2" s="2580"/>
      <c r="G2" s="898"/>
      <c r="H2" s="898"/>
    </row>
    <row r="3" spans="1:8" ht="57" customHeight="1" x14ac:dyDescent="0.2">
      <c r="A3" s="2581" t="s">
        <v>1973</v>
      </c>
      <c r="B3" s="2582"/>
      <c r="C3" s="2582"/>
      <c r="D3" s="2582"/>
      <c r="E3" s="2582"/>
      <c r="F3" s="2583"/>
      <c r="G3" s="898"/>
      <c r="H3" s="898"/>
    </row>
    <row r="4" spans="1:8" ht="14.25" customHeight="1" x14ac:dyDescent="0.2">
      <c r="A4" s="25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8"/>
      <c r="C4" s="2588"/>
      <c r="D4" s="2588"/>
      <c r="E4" s="2588"/>
      <c r="F4" s="2589"/>
      <c r="G4" s="898"/>
      <c r="H4" s="898"/>
    </row>
    <row r="5" spans="1:8" ht="14.25" customHeight="1" x14ac:dyDescent="0.2">
      <c r="A5" s="25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1"/>
      <c r="C5" s="2591"/>
      <c r="D5" s="2591"/>
      <c r="E5" s="2591"/>
      <c r="F5" s="2592"/>
      <c r="G5" s="898"/>
      <c r="H5" s="898"/>
    </row>
    <row r="6" spans="1:8" s="899" customFormat="1" ht="41.25" customHeight="1" x14ac:dyDescent="0.2">
      <c r="A6" s="2584" t="s">
        <v>1673</v>
      </c>
      <c r="B6" s="2585"/>
      <c r="C6" s="2585"/>
      <c r="D6" s="2585"/>
      <c r="E6" s="2585"/>
      <c r="F6" s="258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14823535</v>
      </c>
      <c r="C8" s="1871">
        <f>'Acct Summary 7-8'!D8</f>
        <v>1008078</v>
      </c>
      <c r="D8" s="1871">
        <f>'Acct Summary 7-8'!F8</f>
        <v>845076</v>
      </c>
      <c r="E8" s="1871">
        <f>'Acct Summary 7-8'!I8</f>
        <v>143448</v>
      </c>
      <c r="F8" s="1871">
        <f>SUM(B8:E8)</f>
        <v>16820137</v>
      </c>
    </row>
    <row r="9" spans="1:8" s="903" customFormat="1" ht="14.25" customHeight="1" thickBot="1" x14ac:dyDescent="0.25">
      <c r="A9" s="902" t="s">
        <v>1355</v>
      </c>
      <c r="B9" s="1872">
        <f>'Acct Summary 7-8'!C17</f>
        <v>13131443</v>
      </c>
      <c r="C9" s="1872">
        <f>'Acct Summary 7-8'!D17</f>
        <v>987337</v>
      </c>
      <c r="D9" s="1872">
        <f>'Acct Summary 7-8'!F17</f>
        <v>640926</v>
      </c>
      <c r="E9" s="1871"/>
      <c r="F9" s="1871">
        <f>SUM(B9:E9)</f>
        <v>14759706</v>
      </c>
    </row>
    <row r="10" spans="1:8" s="903" customFormat="1" ht="14.25" thickTop="1" thickBot="1" x14ac:dyDescent="0.25">
      <c r="A10" s="904" t="s">
        <v>1356</v>
      </c>
      <c r="B10" s="1873">
        <f>(B8-B9)</f>
        <v>1692092</v>
      </c>
      <c r="C10" s="1873">
        <f>(C8-C9)</f>
        <v>20741</v>
      </c>
      <c r="D10" s="1873">
        <f>(D8-D9)</f>
        <v>204150</v>
      </c>
      <c r="E10" s="1872">
        <f>(E8-E9)</f>
        <v>143448</v>
      </c>
      <c r="F10" s="1874">
        <f>SUM(F8-F9)</f>
        <v>2060431</v>
      </c>
    </row>
    <row r="11" spans="1:8" s="903" customFormat="1" ht="14.25" thickTop="1" thickBot="1" x14ac:dyDescent="0.25">
      <c r="A11" s="905" t="s">
        <v>1904</v>
      </c>
      <c r="B11" s="1875">
        <f>'Acct Summary 7-8'!C81</f>
        <v>7545280</v>
      </c>
      <c r="C11" s="1875">
        <f>'Acct Summary 7-8'!D81</f>
        <v>365547</v>
      </c>
      <c r="D11" s="1875">
        <f>'Acct Summary 7-8'!F81</f>
        <v>583726</v>
      </c>
      <c r="E11" s="1875">
        <f>'Acct Summary 7-8'!I81</f>
        <v>4435931</v>
      </c>
      <c r="F11" s="1876">
        <f>SUM(B11:E11)</f>
        <v>12930484</v>
      </c>
    </row>
    <row r="12" spans="1:8" ht="16.5" customHeight="1" thickTop="1" x14ac:dyDescent="0.2">
      <c r="A12" s="906"/>
      <c r="B12" s="907"/>
      <c r="C12" s="2572" t="str">
        <f>IF(AND(F10&lt;0,F11&gt;=0,ABS(F10*3)&gt;ABS(F11)),A16,IF(AND(F10&lt;0,F11&gt;0,ABS(F10*3)&lt;=ABS(F11)),A17,IF(AND(F10&lt;0,F11&lt;0),A16,IF(F11=0,A19,A18))))</f>
        <v>Balanced - no deficit reduction plan is required.</v>
      </c>
      <c r="D12" s="2573"/>
      <c r="E12" s="2573"/>
      <c r="F12" s="2574"/>
    </row>
    <row r="13" spans="1:8" ht="19.5" customHeight="1" x14ac:dyDescent="0.2">
      <c r="A13" s="908"/>
      <c r="B13" s="909"/>
      <c r="C13" s="2572"/>
      <c r="D13" s="2573"/>
      <c r="E13" s="2573"/>
      <c r="F13" s="2574"/>
      <c r="H13" s="898"/>
    </row>
    <row r="14" spans="1:8" ht="19.5" customHeight="1" x14ac:dyDescent="0.2">
      <c r="A14" s="908"/>
      <c r="B14" s="909"/>
      <c r="C14" s="2572"/>
      <c r="D14" s="2573"/>
      <c r="E14" s="2573"/>
      <c r="F14" s="2574"/>
      <c r="H14" s="898"/>
    </row>
    <row r="15" spans="1:8" ht="17.25" customHeight="1" x14ac:dyDescent="0.2">
      <c r="A15" s="908"/>
      <c r="B15" s="909"/>
      <c r="C15" s="2575"/>
      <c r="D15" s="2576"/>
      <c r="E15" s="2576"/>
      <c r="F15" s="2577"/>
      <c r="H15" s="898"/>
    </row>
    <row r="16" spans="1:8" s="288" customFormat="1" ht="51.75" hidden="1" customHeight="1" x14ac:dyDescent="0.2">
      <c r="A16" s="2571" t="s">
        <v>1669</v>
      </c>
      <c r="B16" s="2571"/>
      <c r="C16" s="2571"/>
      <c r="D16" s="2571"/>
      <c r="E16" s="257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75" sqref="D75"/>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3" t="s">
        <v>660</v>
      </c>
      <c r="B3" s="2594"/>
      <c r="C3" s="2594"/>
      <c r="D3" s="2595"/>
    </row>
    <row r="4" spans="1:4" x14ac:dyDescent="0.2">
      <c r="A4" s="976" t="s">
        <v>1674</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4" t="s">
        <v>1490</v>
      </c>
      <c r="D7" s="2605"/>
    </row>
    <row r="8" spans="1:4" s="542" customFormat="1" ht="12.75" x14ac:dyDescent="0.2">
      <c r="A8" s="962"/>
      <c r="B8" s="917"/>
      <c r="C8" s="920" t="s">
        <v>1489</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6" t="s">
        <v>1001</v>
      </c>
      <c r="B15" s="2597"/>
      <c r="C15" s="2597"/>
      <c r="D15" s="2598"/>
    </row>
    <row r="16" spans="1:4" s="542" customFormat="1" ht="24" customHeight="1" x14ac:dyDescent="0.2">
      <c r="A16" s="2599" t="s">
        <v>658</v>
      </c>
      <c r="B16" s="2600"/>
      <c r="C16" s="2600"/>
      <c r="D16" s="2601"/>
    </row>
    <row r="17" spans="1:10" s="542" customFormat="1" ht="12.75" customHeight="1" x14ac:dyDescent="0.2">
      <c r="A17" s="980" t="s">
        <v>1675</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8" t="s">
        <v>311</v>
      </c>
      <c r="D21" s="2609"/>
    </row>
    <row r="22" spans="1:10" ht="12.75" x14ac:dyDescent="0.2">
      <c r="A22" s="963"/>
      <c r="B22" s="964">
        <v>2</v>
      </c>
      <c r="C22" s="2606" t="s">
        <v>1510</v>
      </c>
      <c r="D22" s="260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10" t="s">
        <v>533</v>
      </c>
      <c r="D43" s="261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2" t="s">
        <v>779</v>
      </c>
      <c r="D56" s="260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1014</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602" t="s">
        <v>1677</v>
      </c>
      <c r="D70" s="260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1968</v>
      </c>
      <c r="F1" s="1593" t="s">
        <v>1969</v>
      </c>
      <c r="G1" s="1963" t="s">
        <v>1979</v>
      </c>
    </row>
    <row r="2" spans="1:7" ht="15.75" x14ac:dyDescent="0.25">
      <c r="A2" t="s">
        <v>260</v>
      </c>
      <c r="B2" s="135">
        <f>COVER!A13</f>
        <v>7016142002</v>
      </c>
      <c r="E2" s="1592">
        <v>2020</v>
      </c>
      <c r="F2" s="1592">
        <v>1</v>
      </c>
      <c r="G2" s="1962">
        <v>101000300</v>
      </c>
    </row>
    <row r="3" spans="1:7" ht="15" x14ac:dyDescent="0.25">
      <c r="A3" t="s">
        <v>950</v>
      </c>
      <c r="B3" s="135" t="str">
        <f>COVER!A15</f>
        <v>COOK</v>
      </c>
      <c r="E3" s="1888" t="s">
        <v>1972</v>
      </c>
      <c r="F3" s="1888" t="s">
        <v>1971</v>
      </c>
      <c r="G3" s="1962">
        <v>101000400</v>
      </c>
    </row>
    <row r="4" spans="1:7" ht="15" x14ac:dyDescent="0.25">
      <c r="A4" t="s">
        <v>1000</v>
      </c>
      <c r="B4" s="135" t="str">
        <f>COVER!A17</f>
        <v xml:space="preserve">  Forest Ridge SD 142 </v>
      </c>
      <c r="E4" s="1886">
        <v>44119</v>
      </c>
      <c r="F4" s="1887">
        <v>44151</v>
      </c>
      <c r="G4" s="1962">
        <v>101000600</v>
      </c>
    </row>
    <row r="5" spans="1:7" ht="15" x14ac:dyDescent="0.25">
      <c r="A5" t="s">
        <v>699</v>
      </c>
      <c r="B5" s="135" t="str">
        <f>COVER!A38</f>
        <v>PAUL McDERMOTT</v>
      </c>
      <c r="G5" s="1962">
        <v>101000800</v>
      </c>
    </row>
    <row r="6" spans="1:7" ht="15" x14ac:dyDescent="0.25">
      <c r="A6" t="s">
        <v>704</v>
      </c>
      <c r="B6" s="135">
        <f>COVER!P35</f>
        <v>0</v>
      </c>
      <c r="G6" s="1962">
        <v>102100300</v>
      </c>
    </row>
    <row r="7" spans="1:7" ht="15" x14ac:dyDescent="0.25">
      <c r="A7" t="s">
        <v>700</v>
      </c>
      <c r="B7" s="135" t="str">
        <f>COVER!I38</f>
        <v>BREMEN TOWNSHIP TREASURER'S OFFICE - JOSEPH McDONNELL</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Yes</v>
      </c>
      <c r="G12" s="1962">
        <v>202100600</v>
      </c>
    </row>
    <row r="13" spans="1:7" ht="15" x14ac:dyDescent="0.25">
      <c r="A13" s="1" t="s">
        <v>1530</v>
      </c>
      <c r="B13" s="135" t="str">
        <f>IF(COVER!J30="x","Yes",IF(COVER!L30="x","No",0))</f>
        <v>Yes</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JILL GASSENSMITH</v>
      </c>
      <c r="G17" s="1962">
        <v>402100800</v>
      </c>
    </row>
    <row r="18" spans="1:7" ht="15" x14ac:dyDescent="0.25">
      <c r="A18" t="s">
        <v>1142</v>
      </c>
      <c r="B18" s="135" t="str">
        <f>COVER!T17</f>
        <v>323 SPRINGFIELD AVE</v>
      </c>
      <c r="G18" s="1962">
        <v>102200300</v>
      </c>
    </row>
    <row r="19" spans="1:7" ht="15" x14ac:dyDescent="0.25">
      <c r="A19" t="s">
        <v>880</v>
      </c>
      <c r="B19" s="135" t="str">
        <f>COVER!T25</f>
        <v>JILLE@GASSENSMITH.COM</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34700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7545280</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7545280</v>
      </c>
      <c r="D92" s="2" t="str">
        <f t="shared" si="0"/>
        <v>Error?</v>
      </c>
      <c r="G92" s="1962">
        <v>102640600</v>
      </c>
    </row>
    <row r="93" spans="1:7" ht="15" x14ac:dyDescent="0.25">
      <c r="A93" s="5">
        <v>32</v>
      </c>
      <c r="B93" s="1890">
        <f>'Assets-Liab 5-6'!C41</f>
        <v>7545280</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365547</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365547</v>
      </c>
      <c r="D123" s="2" t="str">
        <f t="shared" si="0"/>
        <v>Error?</v>
      </c>
      <c r="G123" s="1962">
        <v>203000400</v>
      </c>
    </row>
    <row r="124" spans="1:7" ht="15" x14ac:dyDescent="0.25">
      <c r="A124" s="5">
        <v>63</v>
      </c>
      <c r="B124" s="1890">
        <f>'Assets-Liab 5-6'!D41</f>
        <v>365547</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1561521</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1561521</v>
      </c>
      <c r="D140" s="2" t="str">
        <f t="shared" si="1"/>
        <v>Error?</v>
      </c>
    </row>
    <row r="141" spans="1:7" x14ac:dyDescent="0.2">
      <c r="A141" s="5">
        <v>80</v>
      </c>
      <c r="B141" s="1890">
        <f>'Assets-Liab 5-6'!E41</f>
        <v>1561521</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583726</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583726</v>
      </c>
      <c r="D170" s="2" t="str">
        <f t="shared" si="1"/>
        <v>Error?</v>
      </c>
    </row>
    <row r="171" spans="1:4" x14ac:dyDescent="0.2">
      <c r="A171" s="5">
        <v>110</v>
      </c>
      <c r="B171" s="1890">
        <f>'Assets-Liab 5-6'!F41</f>
        <v>583726</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883245</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883245</v>
      </c>
      <c r="D189" s="2" t="str">
        <f t="shared" si="1"/>
        <v>Error?</v>
      </c>
    </row>
    <row r="190" spans="1:4" x14ac:dyDescent="0.2">
      <c r="A190" s="5">
        <v>129</v>
      </c>
      <c r="B190" s="1890">
        <f>'Assets-Liab 5-6'!G41</f>
        <v>883245</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938632</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938632</v>
      </c>
      <c r="D212" s="2" t="str">
        <f t="shared" si="2"/>
        <v>Error?</v>
      </c>
    </row>
    <row r="213" spans="1:4" x14ac:dyDescent="0.2">
      <c r="A213" s="12">
        <v>152</v>
      </c>
      <c r="B213" s="1890">
        <f>'Assets-Liab 5-6'!H41</f>
        <v>938632</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122641</v>
      </c>
      <c r="D273" s="2" t="str">
        <f t="shared" si="3"/>
        <v>Error?</v>
      </c>
    </row>
    <row r="274" spans="1:4" x14ac:dyDescent="0.2">
      <c r="A274" s="5">
        <v>213</v>
      </c>
      <c r="B274" s="1890">
        <f>'Assets-Liab 5-6'!M17</f>
        <v>27992246</v>
      </c>
      <c r="D274" s="2" t="str">
        <f t="shared" si="3"/>
        <v>Error?</v>
      </c>
    </row>
    <row r="275" spans="1:4" x14ac:dyDescent="0.2">
      <c r="A275" s="5">
        <v>214</v>
      </c>
      <c r="B275" s="1890">
        <f>'Assets-Liab 5-6'!M18</f>
        <v>594124</v>
      </c>
      <c r="D275" s="2" t="str">
        <f t="shared" si="3"/>
        <v>Error?</v>
      </c>
    </row>
    <row r="276" spans="1:4" x14ac:dyDescent="0.2">
      <c r="A276" s="5">
        <v>215</v>
      </c>
      <c r="B276" s="1890">
        <f>'Assets-Liab 5-6'!M19</f>
        <v>2384495</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31093506</v>
      </c>
      <c r="C279" s="2" t="s">
        <v>569</v>
      </c>
      <c r="D279" s="2" t="str">
        <f t="shared" si="3"/>
        <v>Error?</v>
      </c>
    </row>
    <row r="280" spans="1:4" x14ac:dyDescent="0.2">
      <c r="A280" s="5">
        <v>219</v>
      </c>
      <c r="B280" s="1890">
        <f>'Assets-Liab 5-6'!M40</f>
        <v>31093506</v>
      </c>
      <c r="D280" s="2" t="str">
        <f t="shared" si="3"/>
        <v>Error?</v>
      </c>
    </row>
    <row r="281" spans="1:4" x14ac:dyDescent="0.2">
      <c r="A281" s="5">
        <v>220</v>
      </c>
      <c r="B281" s="1890">
        <f>'Assets-Liab 5-6'!M41</f>
        <v>31093506</v>
      </c>
      <c r="C281" s="2" t="s">
        <v>569</v>
      </c>
      <c r="D281" s="2" t="str">
        <f t="shared" si="3"/>
        <v>Error?</v>
      </c>
    </row>
    <row r="282" spans="1:4" x14ac:dyDescent="0.2">
      <c r="A282" s="5">
        <v>221</v>
      </c>
      <c r="B282" s="1890">
        <f>'Assets-Liab 5-6'!N21</f>
        <v>1561521</v>
      </c>
      <c r="D282" s="2" t="str">
        <f t="shared" si="3"/>
        <v>Error?</v>
      </c>
    </row>
    <row r="283" spans="1:4" x14ac:dyDescent="0.2">
      <c r="A283" s="5">
        <v>222</v>
      </c>
      <c r="B283" s="1890">
        <f>'Assets-Liab 5-6'!N22</f>
        <v>2959008</v>
      </c>
      <c r="D283" s="2" t="str">
        <f t="shared" si="3"/>
        <v>Error?</v>
      </c>
    </row>
    <row r="284" spans="1:4" x14ac:dyDescent="0.2">
      <c r="A284" s="5">
        <v>223</v>
      </c>
      <c r="B284" s="1890">
        <f>'Assets-Liab 5-6'!N23</f>
        <v>4520529</v>
      </c>
      <c r="C284" s="2" t="s">
        <v>569</v>
      </c>
      <c r="D284" s="2" t="str">
        <f t="shared" si="3"/>
        <v>Error?</v>
      </c>
    </row>
    <row r="285" spans="1:4" x14ac:dyDescent="0.2">
      <c r="A285" s="5">
        <v>224</v>
      </c>
      <c r="B285" s="1890">
        <f>'Assets-Liab 5-6'!N36</f>
        <v>4520529</v>
      </c>
      <c r="D285" s="2" t="str">
        <f t="shared" si="3"/>
        <v>Error?</v>
      </c>
    </row>
    <row r="286" spans="1:4" x14ac:dyDescent="0.2">
      <c r="A286" s="10">
        <v>225</v>
      </c>
      <c r="B286" s="1890"/>
      <c r="D286" s="2" t="str">
        <f t="shared" si="3"/>
        <v>OK</v>
      </c>
    </row>
    <row r="287" spans="1:4" x14ac:dyDescent="0.2">
      <c r="A287" s="5">
        <v>226</v>
      </c>
      <c r="B287" s="1890">
        <f>'Assets-Liab 5-6'!N37</f>
        <v>4520529</v>
      </c>
      <c r="C287" s="2" t="s">
        <v>569</v>
      </c>
      <c r="D287" s="2" t="str">
        <f t="shared" si="3"/>
        <v>Error?</v>
      </c>
    </row>
    <row r="288" spans="1:4" x14ac:dyDescent="0.2">
      <c r="A288" s="5">
        <v>227</v>
      </c>
      <c r="B288" s="1890">
        <f>'Assets-Liab 5-6'!N41</f>
        <v>4520529</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4416248</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106142</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40744</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5800439</v>
      </c>
      <c r="C720" s="2" t="s">
        <v>569</v>
      </c>
      <c r="D720" s="2" t="str">
        <f t="shared" si="10"/>
        <v>Error?</v>
      </c>
    </row>
    <row r="721" spans="1:4" x14ac:dyDescent="0.2">
      <c r="A721" s="5">
        <v>660</v>
      </c>
      <c r="B721" s="1890">
        <f>'Expenditures 15-22'!C36</f>
        <v>183653</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169796</v>
      </c>
      <c r="D723" s="2" t="str">
        <f t="shared" si="10"/>
        <v>Error?</v>
      </c>
    </row>
    <row r="724" spans="1:4" x14ac:dyDescent="0.2">
      <c r="A724" s="5">
        <v>663</v>
      </c>
      <c r="B724" s="1890">
        <f>'Expenditures 15-22'!C39</f>
        <v>120919</v>
      </c>
      <c r="D724" s="2" t="str">
        <f t="shared" si="10"/>
        <v>Error?</v>
      </c>
    </row>
    <row r="725" spans="1:4" x14ac:dyDescent="0.2">
      <c r="A725" s="5">
        <v>664</v>
      </c>
      <c r="B725" s="1890">
        <f>'Expenditures 15-22'!C40</f>
        <v>217751</v>
      </c>
      <c r="D725" s="2" t="str">
        <f t="shared" si="10"/>
        <v>Error?</v>
      </c>
    </row>
    <row r="726" spans="1:4" x14ac:dyDescent="0.2">
      <c r="A726" s="5">
        <v>665</v>
      </c>
      <c r="B726" s="1890">
        <f>'Expenditures 15-22'!C41</f>
        <v>122942</v>
      </c>
      <c r="D726" s="2" t="str">
        <f t="shared" si="10"/>
        <v>Error?</v>
      </c>
    </row>
    <row r="727" spans="1:4" x14ac:dyDescent="0.2">
      <c r="A727" s="5">
        <v>666</v>
      </c>
      <c r="B727" s="1890">
        <f>'Expenditures 15-22'!C42</f>
        <v>815061</v>
      </c>
      <c r="C727" s="2" t="s">
        <v>569</v>
      </c>
      <c r="D727" s="2" t="str">
        <f t="shared" si="10"/>
        <v>Error?</v>
      </c>
    </row>
    <row r="728" spans="1:4" x14ac:dyDescent="0.2">
      <c r="A728" s="5">
        <v>667</v>
      </c>
      <c r="B728" s="1890">
        <f>'Expenditures 15-22'!C44</f>
        <v>47513</v>
      </c>
      <c r="D728" s="2" t="str">
        <f t="shared" si="10"/>
        <v>Error?</v>
      </c>
    </row>
    <row r="729" spans="1:4" x14ac:dyDescent="0.2">
      <c r="A729" s="5">
        <v>668</v>
      </c>
      <c r="B729" s="1890">
        <f>'Expenditures 15-22'!C45</f>
        <v>103633</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151146</v>
      </c>
      <c r="C731" s="2" t="s">
        <v>569</v>
      </c>
      <c r="D731" s="2" t="str">
        <f t="shared" si="10"/>
        <v>Error?</v>
      </c>
    </row>
    <row r="732" spans="1:4" x14ac:dyDescent="0.2">
      <c r="A732" s="5">
        <v>671</v>
      </c>
      <c r="B732" s="1890">
        <f>'Expenditures 15-22'!C49</f>
        <v>55883</v>
      </c>
      <c r="D732" s="2" t="str">
        <f t="shared" si="10"/>
        <v>Error?</v>
      </c>
    </row>
    <row r="733" spans="1:4" x14ac:dyDescent="0.2">
      <c r="A733" s="5">
        <v>672</v>
      </c>
      <c r="B733" s="1890">
        <f>'Expenditures 15-22'!C50</f>
        <v>260846</v>
      </c>
      <c r="D733" s="2" t="str">
        <f t="shared" si="10"/>
        <v>Error?</v>
      </c>
    </row>
    <row r="734" spans="1:4" x14ac:dyDescent="0.2">
      <c r="A734" s="5">
        <v>673</v>
      </c>
      <c r="B734" s="1890">
        <f>'Expenditures 15-22'!C53</f>
        <v>474499</v>
      </c>
      <c r="C734" s="2" t="s">
        <v>569</v>
      </c>
      <c r="D734" s="2" t="str">
        <f t="shared" si="10"/>
        <v>Error?</v>
      </c>
    </row>
    <row r="735" spans="1:4" x14ac:dyDescent="0.2">
      <c r="A735" s="5">
        <v>674</v>
      </c>
      <c r="B735" s="1890">
        <f>'Expenditures 15-22'!C55</f>
        <v>615481</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615481</v>
      </c>
      <c r="C737" s="2" t="s">
        <v>569</v>
      </c>
      <c r="D737" s="2" t="str">
        <f t="shared" si="10"/>
        <v>Error?</v>
      </c>
    </row>
    <row r="738" spans="1:4" x14ac:dyDescent="0.2">
      <c r="A738" s="5">
        <v>677</v>
      </c>
      <c r="B738" s="1890">
        <f>'Expenditures 15-22'!C59</f>
        <v>96000</v>
      </c>
      <c r="D738" s="2" t="str">
        <f t="shared" si="10"/>
        <v>Error?</v>
      </c>
    </row>
    <row r="739" spans="1:4" x14ac:dyDescent="0.2">
      <c r="A739" s="5">
        <v>678</v>
      </c>
      <c r="B739" s="1890">
        <f>'Expenditures 15-22'!C60</f>
        <v>74857</v>
      </c>
      <c r="D739" s="2" t="str">
        <f t="shared" si="10"/>
        <v>Error?</v>
      </c>
    </row>
    <row r="740" spans="1:4" x14ac:dyDescent="0.2">
      <c r="A740" s="5">
        <v>679</v>
      </c>
      <c r="B740" s="1890">
        <f>'Expenditures 15-22'!C61</f>
        <v>266721</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17982</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455560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107381</v>
      </c>
      <c r="D751" s="2" t="str">
        <f t="shared" si="10"/>
        <v>Error?</v>
      </c>
    </row>
    <row r="752" spans="1:4" x14ac:dyDescent="0.2">
      <c r="A752" s="10">
        <v>691</v>
      </c>
      <c r="B752" s="1890"/>
      <c r="D752" s="2" t="str">
        <f t="shared" si="10"/>
        <v>OK</v>
      </c>
    </row>
    <row r="753" spans="1:4" x14ac:dyDescent="0.2">
      <c r="A753" s="5">
        <v>692</v>
      </c>
      <c r="B753" s="1890">
        <f>'Expenditures 15-22'!C72</f>
        <v>107381</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2619128</v>
      </c>
      <c r="C755" s="2" t="s">
        <v>569</v>
      </c>
      <c r="D755" s="2" t="str">
        <f t="shared" si="10"/>
        <v>Error?</v>
      </c>
    </row>
    <row r="756" spans="1:4" x14ac:dyDescent="0.2">
      <c r="A756" s="5">
        <v>695</v>
      </c>
      <c r="B756" s="1890">
        <f>'Expenditures 15-22'!C75</f>
        <v>165365</v>
      </c>
      <c r="D756" s="2" t="str">
        <f t="shared" si="10"/>
        <v>Error?</v>
      </c>
    </row>
    <row r="757" spans="1:4" x14ac:dyDescent="0.2">
      <c r="A757" s="5">
        <v>696</v>
      </c>
      <c r="B757" s="1890">
        <f>'Expenditures 15-22'!C114</f>
        <v>8584932</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686028</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7190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610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941715</v>
      </c>
      <c r="C778" s="2" t="s">
        <v>569</v>
      </c>
      <c r="D778" s="2" t="str">
        <f t="shared" si="11"/>
        <v>Error?</v>
      </c>
    </row>
    <row r="779" spans="1:4" x14ac:dyDescent="0.2">
      <c r="A779" s="5">
        <v>718</v>
      </c>
      <c r="B779" s="1890">
        <f>'Expenditures 15-22'!D36</f>
        <v>30443</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38469</v>
      </c>
      <c r="D781" s="2" t="str">
        <f t="shared" si="11"/>
        <v>Error?</v>
      </c>
    </row>
    <row r="782" spans="1:4" x14ac:dyDescent="0.2">
      <c r="A782" s="5">
        <v>721</v>
      </c>
      <c r="B782" s="1890">
        <f>'Expenditures 15-22'!D39</f>
        <v>9524</v>
      </c>
      <c r="D782" s="2" t="str">
        <f t="shared" si="11"/>
        <v>Error?</v>
      </c>
    </row>
    <row r="783" spans="1:4" x14ac:dyDescent="0.2">
      <c r="A783" s="5">
        <v>722</v>
      </c>
      <c r="B783" s="1890">
        <f>'Expenditures 15-22'!D40</f>
        <v>12996</v>
      </c>
      <c r="D783" s="2" t="str">
        <f t="shared" si="11"/>
        <v>Error?</v>
      </c>
    </row>
    <row r="784" spans="1:4" x14ac:dyDescent="0.2">
      <c r="A784" s="5">
        <v>723</v>
      </c>
      <c r="B784" s="1890">
        <f>'Expenditures 15-22'!D41</f>
        <v>10168</v>
      </c>
      <c r="D784" s="2" t="str">
        <f t="shared" si="11"/>
        <v>Error?</v>
      </c>
    </row>
    <row r="785" spans="1:4" x14ac:dyDescent="0.2">
      <c r="A785" s="5">
        <v>724</v>
      </c>
      <c r="B785" s="1890">
        <f>'Expenditures 15-22'!D42</f>
        <v>101600</v>
      </c>
      <c r="C785" s="2" t="s">
        <v>569</v>
      </c>
      <c r="D785" s="2" t="str">
        <f t="shared" si="11"/>
        <v>Error?</v>
      </c>
    </row>
    <row r="786" spans="1:4" x14ac:dyDescent="0.2">
      <c r="A786" s="5">
        <v>725</v>
      </c>
      <c r="B786" s="1890">
        <f>'Expenditures 15-22'!D44</f>
        <v>1345</v>
      </c>
      <c r="D786" s="2" t="str">
        <f t="shared" si="11"/>
        <v>Error?</v>
      </c>
    </row>
    <row r="787" spans="1:4" x14ac:dyDescent="0.2">
      <c r="A787" s="5">
        <v>726</v>
      </c>
      <c r="B787" s="1890">
        <f>'Expenditures 15-22'!D45</f>
        <v>37991</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39336</v>
      </c>
      <c r="C789" s="2" t="s">
        <v>569</v>
      </c>
      <c r="D789" s="2" t="str">
        <f t="shared" si="11"/>
        <v>Error?</v>
      </c>
    </row>
    <row r="790" spans="1:4" x14ac:dyDescent="0.2">
      <c r="A790" s="5">
        <v>729</v>
      </c>
      <c r="B790" s="1890">
        <f>'Expenditures 15-22'!D49</f>
        <v>12653</v>
      </c>
      <c r="D790" s="2" t="str">
        <f t="shared" si="11"/>
        <v>Error?</v>
      </c>
    </row>
    <row r="791" spans="1:4" x14ac:dyDescent="0.2">
      <c r="A791" s="5">
        <v>730</v>
      </c>
      <c r="B791" s="1890">
        <f>'Expenditures 15-22'!D50</f>
        <v>69159</v>
      </c>
      <c r="D791" s="2" t="str">
        <f t="shared" si="11"/>
        <v>Error?</v>
      </c>
    </row>
    <row r="792" spans="1:4" x14ac:dyDescent="0.2">
      <c r="A792" s="5">
        <v>731</v>
      </c>
      <c r="B792" s="1890">
        <f>'Expenditures 15-22'!D53</f>
        <v>111550</v>
      </c>
      <c r="C792" s="2" t="s">
        <v>569</v>
      </c>
      <c r="D792" s="2" t="str">
        <f t="shared" si="11"/>
        <v>Error?</v>
      </c>
    </row>
    <row r="793" spans="1:4" x14ac:dyDescent="0.2">
      <c r="A793" s="5">
        <v>732</v>
      </c>
      <c r="B793" s="1890">
        <f>'Expenditures 15-22'!D55</f>
        <v>197055</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197055</v>
      </c>
      <c r="C795" s="2" t="s">
        <v>569</v>
      </c>
      <c r="D795" s="2" t="str">
        <f t="shared" si="11"/>
        <v>Error?</v>
      </c>
    </row>
    <row r="796" spans="1:4" x14ac:dyDescent="0.2">
      <c r="A796" s="5">
        <v>735</v>
      </c>
      <c r="B796" s="1890">
        <f>'Expenditures 15-22'!D59</f>
        <v>25929</v>
      </c>
      <c r="D796" s="2" t="str">
        <f t="shared" si="11"/>
        <v>Error?</v>
      </c>
    </row>
    <row r="797" spans="1:4" x14ac:dyDescent="0.2">
      <c r="A797" s="5">
        <v>736</v>
      </c>
      <c r="B797" s="1890">
        <f>'Expenditures 15-22'!D60</f>
        <v>3903</v>
      </c>
      <c r="D797" s="2" t="str">
        <f t="shared" si="11"/>
        <v>Error?</v>
      </c>
    </row>
    <row r="798" spans="1:4" x14ac:dyDescent="0.2">
      <c r="A798" s="5">
        <v>737</v>
      </c>
      <c r="B798" s="1890">
        <f>'Expenditures 15-22'!D61</f>
        <v>54624</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513</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84969</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22352</v>
      </c>
      <c r="D809" s="2" t="str">
        <f t="shared" si="11"/>
        <v>Error?</v>
      </c>
    </row>
    <row r="810" spans="1:4" x14ac:dyDescent="0.2">
      <c r="A810" s="10">
        <v>749</v>
      </c>
      <c r="B810" s="1890"/>
      <c r="D810" s="2" t="str">
        <f t="shared" si="11"/>
        <v>OK</v>
      </c>
    </row>
    <row r="811" spans="1:4" x14ac:dyDescent="0.2">
      <c r="A811" s="5">
        <v>750</v>
      </c>
      <c r="B811" s="1890">
        <f>'Expenditures 15-22'!D72</f>
        <v>22352</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556862</v>
      </c>
      <c r="C813" s="2" t="s">
        <v>569</v>
      </c>
      <c r="D813" s="2" t="str">
        <f t="shared" si="11"/>
        <v>Error?</v>
      </c>
    </row>
    <row r="814" spans="1:4" x14ac:dyDescent="0.2">
      <c r="A814" s="5">
        <v>753</v>
      </c>
      <c r="B814" s="1890">
        <f>'Expenditures 15-22'!D75</f>
        <v>21960</v>
      </c>
      <c r="D814" s="2" t="str">
        <f t="shared" si="11"/>
        <v>Error?</v>
      </c>
    </row>
    <row r="815" spans="1:4" x14ac:dyDescent="0.2">
      <c r="A815" s="5">
        <v>754</v>
      </c>
      <c r="B815" s="1890">
        <f>'Expenditures 15-22'!D114</f>
        <v>1520537</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267794</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1050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311605</v>
      </c>
      <c r="C836" s="2" t="s">
        <v>569</v>
      </c>
      <c r="D836" s="2" t="str">
        <f t="shared" si="12"/>
        <v>Error?</v>
      </c>
    </row>
    <row r="837" spans="1:4" x14ac:dyDescent="0.2">
      <c r="A837" s="5">
        <v>776</v>
      </c>
      <c r="B837" s="1890">
        <f>'Expenditures 15-22'!E36</f>
        <v>26198</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100</v>
      </c>
      <c r="D839" s="2" t="str">
        <f t="shared" si="12"/>
        <v>Error?</v>
      </c>
    </row>
    <row r="840" spans="1:4" x14ac:dyDescent="0.2">
      <c r="A840" s="5">
        <v>779</v>
      </c>
      <c r="B840" s="1890">
        <f>'Expenditures 15-22'!E39</f>
        <v>680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33179</v>
      </c>
      <c r="D842" s="2" t="str">
        <f t="shared" si="12"/>
        <v>Error?</v>
      </c>
    </row>
    <row r="843" spans="1:4" x14ac:dyDescent="0.2">
      <c r="A843" s="5">
        <v>782</v>
      </c>
      <c r="B843" s="1890">
        <f>'Expenditures 15-22'!E42</f>
        <v>60157</v>
      </c>
      <c r="C843" s="2" t="s">
        <v>569</v>
      </c>
      <c r="D843" s="2" t="str">
        <f t="shared" si="12"/>
        <v>Error?</v>
      </c>
    </row>
    <row r="844" spans="1:4" x14ac:dyDescent="0.2">
      <c r="A844" s="5">
        <v>783</v>
      </c>
      <c r="B844" s="1890">
        <f>'Expenditures 15-22'!E44</f>
        <v>54701</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54701</v>
      </c>
      <c r="C847" s="2" t="s">
        <v>569</v>
      </c>
      <c r="D847" s="2" t="str">
        <f t="shared" si="12"/>
        <v>Error?</v>
      </c>
    </row>
    <row r="848" spans="1:4" x14ac:dyDescent="0.2">
      <c r="A848" s="5">
        <v>787</v>
      </c>
      <c r="B848" s="1890">
        <f>'Expenditures 15-22'!E49</f>
        <v>124703</v>
      </c>
      <c r="D848" s="2" t="str">
        <f t="shared" si="12"/>
        <v>Error?</v>
      </c>
    </row>
    <row r="849" spans="1:4" x14ac:dyDescent="0.2">
      <c r="A849" s="5">
        <v>788</v>
      </c>
      <c r="B849" s="1890">
        <f>'Expenditures 15-22'!E50</f>
        <v>14529</v>
      </c>
      <c r="D849" s="2" t="str">
        <f t="shared" si="12"/>
        <v>Error?</v>
      </c>
    </row>
    <row r="850" spans="1:4" x14ac:dyDescent="0.2">
      <c r="A850" s="5">
        <v>789</v>
      </c>
      <c r="B850" s="1890">
        <f>'Expenditures 15-22'!E53</f>
        <v>139232</v>
      </c>
      <c r="C850" s="2" t="s">
        <v>569</v>
      </c>
      <c r="D850" s="2" t="str">
        <f t="shared" si="12"/>
        <v>Error?</v>
      </c>
    </row>
    <row r="851" spans="1:4" x14ac:dyDescent="0.2">
      <c r="A851" s="5">
        <v>790</v>
      </c>
      <c r="B851" s="1890">
        <f>'Expenditures 15-22'!E55</f>
        <v>7183</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7183</v>
      </c>
      <c r="C853" s="2" t="s">
        <v>569</v>
      </c>
      <c r="D853" s="2" t="str">
        <f t="shared" si="12"/>
        <v>Error?</v>
      </c>
    </row>
    <row r="854" spans="1:4" x14ac:dyDescent="0.2">
      <c r="A854" s="5">
        <v>793</v>
      </c>
      <c r="B854" s="1890">
        <f>'Expenditures 15-22'!E59</f>
        <v>171</v>
      </c>
      <c r="D854" s="2" t="str">
        <f t="shared" si="12"/>
        <v>Error?</v>
      </c>
    </row>
    <row r="855" spans="1:4" x14ac:dyDescent="0.2">
      <c r="A855" s="5">
        <v>794</v>
      </c>
      <c r="B855" s="1890">
        <f>'Expenditures 15-22'!E60</f>
        <v>23366</v>
      </c>
      <c r="D855" s="2" t="str">
        <f t="shared" si="12"/>
        <v>Error?</v>
      </c>
    </row>
    <row r="856" spans="1:4" x14ac:dyDescent="0.2">
      <c r="A856" s="5">
        <v>795</v>
      </c>
      <c r="B856" s="1890">
        <f>'Expenditures 15-22'!E61</f>
        <v>29425</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244080</v>
      </c>
      <c r="D858" s="2" t="str">
        <f t="shared" si="12"/>
        <v>Error?</v>
      </c>
    </row>
    <row r="859" spans="1:4" x14ac:dyDescent="0.2">
      <c r="A859" s="5">
        <v>798</v>
      </c>
      <c r="B859" s="1890">
        <f>'Expenditures 15-22'!E64</f>
        <v>5783</v>
      </c>
      <c r="D859" s="2" t="str">
        <f t="shared" si="12"/>
        <v>Error?</v>
      </c>
    </row>
    <row r="860" spans="1:4" x14ac:dyDescent="0.2">
      <c r="A860" s="10">
        <v>799</v>
      </c>
      <c r="B860" s="1890"/>
      <c r="D860" s="2" t="str">
        <f t="shared" si="12"/>
        <v>OK</v>
      </c>
    </row>
    <row r="861" spans="1:4" x14ac:dyDescent="0.2">
      <c r="A861" s="5">
        <v>800</v>
      </c>
      <c r="B861" s="1890">
        <f>'Expenditures 15-22'!E65</f>
        <v>302825</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185</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178974</v>
      </c>
      <c r="D867" s="2" t="str">
        <f t="shared" si="12"/>
        <v>Error?</v>
      </c>
    </row>
    <row r="868" spans="1:4" x14ac:dyDescent="0.2">
      <c r="A868" s="10">
        <v>807</v>
      </c>
      <c r="B868" s="1890"/>
      <c r="D868" s="2" t="str">
        <f t="shared" si="12"/>
        <v>OK</v>
      </c>
    </row>
    <row r="869" spans="1:4" x14ac:dyDescent="0.2">
      <c r="A869" s="5">
        <v>808</v>
      </c>
      <c r="B869" s="1890">
        <f>'Expenditures 15-22'!E72</f>
        <v>179159</v>
      </c>
      <c r="C869" s="2" t="s">
        <v>569</v>
      </c>
      <c r="D869" s="2" t="str">
        <f t="shared" si="12"/>
        <v>Error?</v>
      </c>
    </row>
    <row r="870" spans="1:4" x14ac:dyDescent="0.2">
      <c r="A870" s="5">
        <v>809</v>
      </c>
      <c r="B870" s="1890">
        <f>'Expenditures 15-22'!E73</f>
        <v>40</v>
      </c>
      <c r="D870" s="2" t="str">
        <f t="shared" si="12"/>
        <v>Error?</v>
      </c>
    </row>
    <row r="871" spans="1:4" x14ac:dyDescent="0.2">
      <c r="A871" s="5">
        <v>810</v>
      </c>
      <c r="B871" s="1890">
        <f>'Expenditures 15-22'!E74</f>
        <v>743297</v>
      </c>
      <c r="C871" s="2" t="s">
        <v>569</v>
      </c>
      <c r="D871" s="2" t="str">
        <f t="shared" si="12"/>
        <v>Error?</v>
      </c>
    </row>
    <row r="872" spans="1:4" x14ac:dyDescent="0.2">
      <c r="A872" s="5">
        <v>811</v>
      </c>
      <c r="B872" s="1890">
        <f>'Expenditures 15-22'!E75</f>
        <v>5066</v>
      </c>
      <c r="D872" s="2" t="str">
        <f t="shared" si="12"/>
        <v>Error?</v>
      </c>
    </row>
    <row r="873" spans="1:4" x14ac:dyDescent="0.2">
      <c r="A873" s="5">
        <v>812</v>
      </c>
      <c r="B873" s="1890">
        <f>'Expenditures 15-22'!E114</f>
        <v>1108375</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289228</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10665</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530835</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4039</v>
      </c>
      <c r="D897" s="2" t="str">
        <f t="shared" si="13"/>
        <v>Error?</v>
      </c>
    </row>
    <row r="898" spans="1:4" x14ac:dyDescent="0.2">
      <c r="A898" s="5">
        <v>837</v>
      </c>
      <c r="B898" s="1890">
        <f>'Expenditures 15-22'!F39</f>
        <v>810</v>
      </c>
      <c r="D898" s="2" t="str">
        <f t="shared" si="13"/>
        <v>Error?</v>
      </c>
    </row>
    <row r="899" spans="1:4" x14ac:dyDescent="0.2">
      <c r="A899" s="5">
        <v>838</v>
      </c>
      <c r="B899" s="1890">
        <f>'Expenditures 15-22'!F40</f>
        <v>4034</v>
      </c>
      <c r="D899" s="2" t="str">
        <f t="shared" si="13"/>
        <v>Error?</v>
      </c>
    </row>
    <row r="900" spans="1:4" x14ac:dyDescent="0.2">
      <c r="A900" s="5">
        <v>839</v>
      </c>
      <c r="B900" s="1890">
        <f>'Expenditures 15-22'!F41</f>
        <v>2368</v>
      </c>
      <c r="D900" s="2" t="str">
        <f t="shared" si="13"/>
        <v>Error?</v>
      </c>
    </row>
    <row r="901" spans="1:4" x14ac:dyDescent="0.2">
      <c r="A901" s="5">
        <v>840</v>
      </c>
      <c r="B901" s="1890">
        <f>'Expenditures 15-22'!F42</f>
        <v>11251</v>
      </c>
      <c r="C901" s="2" t="s">
        <v>569</v>
      </c>
      <c r="D901" s="2" t="str">
        <f t="shared" si="13"/>
        <v>Error?</v>
      </c>
    </row>
    <row r="902" spans="1:4" x14ac:dyDescent="0.2">
      <c r="A902" s="5">
        <v>841</v>
      </c>
      <c r="B902" s="1890">
        <f>'Expenditures 15-22'!F44</f>
        <v>11614</v>
      </c>
      <c r="D902" s="2" t="str">
        <f t="shared" si="13"/>
        <v>Error?</v>
      </c>
    </row>
    <row r="903" spans="1:4" x14ac:dyDescent="0.2">
      <c r="A903" s="5">
        <v>842</v>
      </c>
      <c r="B903" s="1890">
        <f>'Expenditures 15-22'!F45</f>
        <v>5424</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17038</v>
      </c>
      <c r="C905" s="2" t="s">
        <v>569</v>
      </c>
      <c r="D905" s="2" t="str">
        <f t="shared" si="13"/>
        <v>Error?</v>
      </c>
    </row>
    <row r="906" spans="1:4" x14ac:dyDescent="0.2">
      <c r="A906" s="5">
        <v>845</v>
      </c>
      <c r="B906" s="1890">
        <f>'Expenditures 15-22'!F49</f>
        <v>1808</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2213</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219</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2715</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2934</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43721</v>
      </c>
      <c r="D925" s="2" t="str">
        <f t="shared" si="13"/>
        <v>Error?</v>
      </c>
    </row>
    <row r="926" spans="1:4" x14ac:dyDescent="0.2">
      <c r="A926" s="10">
        <v>865</v>
      </c>
      <c r="B926" s="1890"/>
      <c r="D926" s="2" t="str">
        <f t="shared" si="13"/>
        <v>OK</v>
      </c>
    </row>
    <row r="927" spans="1:4" x14ac:dyDescent="0.2">
      <c r="A927" s="5">
        <v>866</v>
      </c>
      <c r="B927" s="1890">
        <f>'Expenditures 15-22'!F72</f>
        <v>43721</v>
      </c>
      <c r="C927" s="2" t="s">
        <v>569</v>
      </c>
      <c r="D927" s="2" t="str">
        <f t="shared" si="13"/>
        <v>Error?</v>
      </c>
    </row>
    <row r="928" spans="1:4" x14ac:dyDescent="0.2">
      <c r="A928" s="5">
        <v>867</v>
      </c>
      <c r="B928" s="1890">
        <f>'Expenditures 15-22'!F73</f>
        <v>311</v>
      </c>
      <c r="D928" s="2" t="str">
        <f t="shared" si="13"/>
        <v>Error?</v>
      </c>
    </row>
    <row r="929" spans="1:4" x14ac:dyDescent="0.2">
      <c r="A929" s="5">
        <v>868</v>
      </c>
      <c r="B929" s="1890">
        <f>'Expenditures 15-22'!F74</f>
        <v>77468</v>
      </c>
      <c r="C929" s="2" t="s">
        <v>569</v>
      </c>
      <c r="D929" s="2" t="str">
        <f t="shared" si="13"/>
        <v>Error?</v>
      </c>
    </row>
    <row r="930" spans="1:4" x14ac:dyDescent="0.2">
      <c r="A930" s="5">
        <v>869</v>
      </c>
      <c r="B930" s="1890">
        <f>'Expenditures 15-22'!F75</f>
        <v>46425</v>
      </c>
      <c r="D930" s="2" t="str">
        <f t="shared" si="13"/>
        <v>Error?</v>
      </c>
    </row>
    <row r="931" spans="1:4" x14ac:dyDescent="0.2">
      <c r="A931" s="5">
        <v>870</v>
      </c>
      <c r="B931" s="1890">
        <f>'Expenditures 15-22'!F114</f>
        <v>654728</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12212</v>
      </c>
      <c r="D983" s="2" t="str">
        <f t="shared" si="14"/>
        <v>Error?</v>
      </c>
    </row>
    <row r="984" spans="1:4" x14ac:dyDescent="0.2">
      <c r="A984" s="10">
        <v>923</v>
      </c>
      <c r="B984" s="1890"/>
      <c r="D984" s="2" t="str">
        <f t="shared" si="14"/>
        <v>OK</v>
      </c>
    </row>
    <row r="985" spans="1:4" x14ac:dyDescent="0.2">
      <c r="A985" s="5">
        <v>924</v>
      </c>
      <c r="B985" s="1890">
        <f>'Expenditures 15-22'!G72</f>
        <v>12212</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12212</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12212</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480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5051</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61217</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1314</v>
      </c>
      <c r="D1023" s="2" t="str">
        <f t="shared" ref="D1023:D1086" si="15">IF(ISBLANK(B1023),"OK",IF(A1023-B1023=0,"OK","Error?"))</f>
        <v>Error?</v>
      </c>
    </row>
    <row r="1024" spans="1:4" x14ac:dyDescent="0.2">
      <c r="A1024" s="5">
        <v>963</v>
      </c>
      <c r="B1024" s="1890">
        <f>'Expenditures 15-22'!H53</f>
        <v>3046</v>
      </c>
      <c r="C1024" s="2" t="s">
        <v>569</v>
      </c>
      <c r="D1024" s="2" t="str">
        <f t="shared" si="15"/>
        <v>Error?</v>
      </c>
    </row>
    <row r="1025" spans="1:4" x14ac:dyDescent="0.2">
      <c r="A1025" s="5">
        <v>964</v>
      </c>
      <c r="B1025" s="1890">
        <f>'Expenditures 15-22'!H55</f>
        <v>2866</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2866</v>
      </c>
      <c r="C1027" s="2" t="s">
        <v>569</v>
      </c>
      <c r="D1027" s="2" t="str">
        <f t="shared" si="15"/>
        <v>Error?</v>
      </c>
    </row>
    <row r="1028" spans="1:4" x14ac:dyDescent="0.2">
      <c r="A1028" s="5">
        <v>967</v>
      </c>
      <c r="B1028" s="1890">
        <f>'Expenditures 15-22'!H59</f>
        <v>200</v>
      </c>
      <c r="D1028" s="2" t="str">
        <f t="shared" si="15"/>
        <v>Error?</v>
      </c>
    </row>
    <row r="1029" spans="1:4" x14ac:dyDescent="0.2">
      <c r="A1029" s="5">
        <v>968</v>
      </c>
      <c r="B1029" s="1890">
        <f>'Expenditures 15-22'!H60</f>
        <v>30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230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6142</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1136391</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1203750</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1998</v>
      </c>
      <c r="E1056" s="4" t="s">
        <v>1997</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5659778</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125047</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46405</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7650412</v>
      </c>
      <c r="C1108" s="2" t="s">
        <v>569</v>
      </c>
      <c r="D1108" s="2" t="str">
        <f t="shared" si="16"/>
        <v>Error?</v>
      </c>
    </row>
    <row r="1109" spans="1:4" x14ac:dyDescent="0.2">
      <c r="A1109" s="5">
        <v>1048</v>
      </c>
      <c r="B1109" s="1890">
        <f>'Expenditures 15-22'!K36</f>
        <v>240294</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212404</v>
      </c>
      <c r="C1111" s="2" t="s">
        <v>569</v>
      </c>
      <c r="D1111" s="2" t="str">
        <f t="shared" si="16"/>
        <v>Error?</v>
      </c>
    </row>
    <row r="1112" spans="1:4" x14ac:dyDescent="0.2">
      <c r="A1112" s="5">
        <v>1051</v>
      </c>
      <c r="B1112" s="1890">
        <f>'Expenditures 15-22'!K39</f>
        <v>131933</v>
      </c>
      <c r="C1112" s="2" t="s">
        <v>569</v>
      </c>
      <c r="D1112" s="2" t="str">
        <f t="shared" si="16"/>
        <v>Error?</v>
      </c>
    </row>
    <row r="1113" spans="1:4" x14ac:dyDescent="0.2">
      <c r="A1113" s="5">
        <v>1052</v>
      </c>
      <c r="B1113" s="1890">
        <f>'Expenditures 15-22'!K40</f>
        <v>234781</v>
      </c>
      <c r="C1113" s="2" t="s">
        <v>569</v>
      </c>
      <c r="D1113" s="2" t="str">
        <f t="shared" si="16"/>
        <v>Error?</v>
      </c>
    </row>
    <row r="1114" spans="1:4" x14ac:dyDescent="0.2">
      <c r="A1114" s="5">
        <v>1053</v>
      </c>
      <c r="B1114" s="1890">
        <f>'Expenditures 15-22'!K41</f>
        <v>168657</v>
      </c>
      <c r="C1114" s="2" t="s">
        <v>569</v>
      </c>
      <c r="D1114" s="2" t="str">
        <f t="shared" si="16"/>
        <v>Error?</v>
      </c>
    </row>
    <row r="1115" spans="1:4" x14ac:dyDescent="0.2">
      <c r="A1115" s="5">
        <v>1054</v>
      </c>
      <c r="B1115" s="1890">
        <f>'Expenditures 15-22'!K42</f>
        <v>988069</v>
      </c>
      <c r="C1115" s="2" t="s">
        <v>569</v>
      </c>
      <c r="D1115" s="2" t="str">
        <f t="shared" si="16"/>
        <v>Error?</v>
      </c>
    </row>
    <row r="1116" spans="1:4" x14ac:dyDescent="0.2">
      <c r="A1116" s="5">
        <v>1055</v>
      </c>
      <c r="B1116" s="1890">
        <f>'Expenditures 15-22'!K44</f>
        <v>115173</v>
      </c>
      <c r="C1116" s="2" t="s">
        <v>569</v>
      </c>
      <c r="D1116" s="2" t="str">
        <f t="shared" si="16"/>
        <v>Error?</v>
      </c>
    </row>
    <row r="1117" spans="1:4" x14ac:dyDescent="0.2">
      <c r="A1117" s="5">
        <v>1056</v>
      </c>
      <c r="B1117" s="1890">
        <f>'Expenditures 15-22'!K45</f>
        <v>160611</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275784</v>
      </c>
      <c r="C1119" s="2" t="s">
        <v>569</v>
      </c>
      <c r="D1119" s="2" t="str">
        <f t="shared" si="16"/>
        <v>Error?</v>
      </c>
    </row>
    <row r="1120" spans="1:4" x14ac:dyDescent="0.2">
      <c r="A1120" s="5">
        <v>1059</v>
      </c>
      <c r="B1120" s="1890">
        <f>'Expenditures 15-22'!K49</f>
        <v>195047</v>
      </c>
      <c r="C1120" s="2" t="s">
        <v>569</v>
      </c>
      <c r="D1120" s="2" t="str">
        <f t="shared" si="16"/>
        <v>Error?</v>
      </c>
    </row>
    <row r="1121" spans="1:4" x14ac:dyDescent="0.2">
      <c r="A1121" s="5">
        <v>1060</v>
      </c>
      <c r="B1121" s="1890">
        <f>'Expenditures 15-22'!K50</f>
        <v>345848</v>
      </c>
      <c r="C1121" s="2" t="s">
        <v>569</v>
      </c>
      <c r="D1121" s="2" t="str">
        <f t="shared" si="16"/>
        <v>Error?</v>
      </c>
    </row>
    <row r="1122" spans="1:4" x14ac:dyDescent="0.2">
      <c r="A1122" s="5">
        <v>1061</v>
      </c>
      <c r="B1122" s="1890">
        <f>'Expenditures 15-22'!K53</f>
        <v>730540</v>
      </c>
      <c r="C1122" s="2" t="s">
        <v>569</v>
      </c>
      <c r="D1122" s="2" t="str">
        <f t="shared" si="16"/>
        <v>Error?</v>
      </c>
    </row>
    <row r="1123" spans="1:4" x14ac:dyDescent="0.2">
      <c r="A1123" s="5">
        <v>1062</v>
      </c>
      <c r="B1123" s="1890">
        <f>'Expenditures 15-22'!K55</f>
        <v>822585</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822585</v>
      </c>
      <c r="C1125" s="2" t="s">
        <v>569</v>
      </c>
      <c r="D1125" s="2" t="str">
        <f t="shared" si="16"/>
        <v>Error?</v>
      </c>
    </row>
    <row r="1126" spans="1:4" x14ac:dyDescent="0.2">
      <c r="A1126" s="5">
        <v>1065</v>
      </c>
      <c r="B1126" s="1890">
        <f>'Expenditures 15-22'!K59</f>
        <v>122300</v>
      </c>
      <c r="C1126" s="2" t="s">
        <v>569</v>
      </c>
      <c r="D1126" s="2" t="str">
        <f t="shared" si="16"/>
        <v>Error?</v>
      </c>
    </row>
    <row r="1127" spans="1:4" x14ac:dyDescent="0.2">
      <c r="A1127" s="5">
        <v>1066</v>
      </c>
      <c r="B1127" s="1890">
        <f>'Expenditures 15-22'!K60</f>
        <v>102375</v>
      </c>
      <c r="C1127" s="2" t="s">
        <v>569</v>
      </c>
      <c r="D1127" s="2" t="str">
        <f t="shared" si="16"/>
        <v>Error?</v>
      </c>
    </row>
    <row r="1128" spans="1:4" x14ac:dyDescent="0.2">
      <c r="A1128" s="5">
        <v>1067</v>
      </c>
      <c r="B1128" s="1890">
        <f>'Expenditures 15-22'!K61</f>
        <v>350770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265290</v>
      </c>
      <c r="C1130" s="2" t="s">
        <v>569</v>
      </c>
      <c r="D1130" s="2" t="str">
        <f t="shared" si="16"/>
        <v>Error?</v>
      </c>
    </row>
    <row r="1131" spans="1:4" x14ac:dyDescent="0.2">
      <c r="A1131" s="5">
        <v>1070</v>
      </c>
      <c r="B1131" s="1890">
        <f>'Expenditures 15-22'!K64</f>
        <v>5783</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846518</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185</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392187</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392372</v>
      </c>
      <c r="C1141" s="2" t="s">
        <v>569</v>
      </c>
      <c r="D1141" s="2" t="str">
        <f t="shared" si="16"/>
        <v>Error?</v>
      </c>
    </row>
    <row r="1142" spans="1:4" x14ac:dyDescent="0.2">
      <c r="A1142" s="5">
        <v>1081</v>
      </c>
      <c r="B1142" s="1890">
        <f>'Expenditures 15-22'!K73</f>
        <v>351</v>
      </c>
      <c r="C1142" s="2" t="s">
        <v>569</v>
      </c>
      <c r="D1142" s="2" t="str">
        <f t="shared" si="16"/>
        <v>Error?</v>
      </c>
    </row>
    <row r="1143" spans="1:4" x14ac:dyDescent="0.2">
      <c r="A1143" s="5">
        <v>1082</v>
      </c>
      <c r="B1143" s="1890">
        <f>'Expenditures 15-22'!K74</f>
        <v>4056219</v>
      </c>
      <c r="C1143" s="2" t="s">
        <v>569</v>
      </c>
      <c r="D1143" s="2" t="str">
        <f t="shared" si="16"/>
        <v>Error?</v>
      </c>
    </row>
    <row r="1144" spans="1:4" x14ac:dyDescent="0.2">
      <c r="A1144" s="5">
        <v>1083</v>
      </c>
      <c r="B1144" s="1890">
        <f>'Expenditures 15-22'!K75</f>
        <v>240014</v>
      </c>
      <c r="C1144" s="2" t="s">
        <v>569</v>
      </c>
      <c r="D1144" s="2" t="str">
        <f t="shared" si="16"/>
        <v>Error?</v>
      </c>
    </row>
    <row r="1145" spans="1:4" x14ac:dyDescent="0.2">
      <c r="A1145" s="5">
        <v>1084</v>
      </c>
      <c r="B1145" s="1890">
        <f>'Expenditures 15-22'!K102</f>
        <v>1184798</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13131443</v>
      </c>
      <c r="C1152" s="2" t="s">
        <v>569</v>
      </c>
      <c r="D1152" s="2" t="str">
        <f t="shared" si="17"/>
        <v>Error?</v>
      </c>
    </row>
    <row r="1153" spans="1:4" x14ac:dyDescent="0.2">
      <c r="A1153" s="5">
        <v>1092</v>
      </c>
      <c r="B1153" s="1890">
        <f>'Expenditures 15-22'!K115</f>
        <v>1692092</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21999</v>
      </c>
      <c r="D1221" s="2" t="str">
        <f t="shared" si="18"/>
        <v>Error?</v>
      </c>
    </row>
    <row r="1222" spans="1:4" x14ac:dyDescent="0.2">
      <c r="A1222" s="10">
        <v>1161</v>
      </c>
      <c r="B1222" s="1890"/>
      <c r="D1222" s="2" t="str">
        <f t="shared" si="18"/>
        <v>OK</v>
      </c>
    </row>
    <row r="1223" spans="1:4" x14ac:dyDescent="0.2">
      <c r="A1223" s="5">
        <v>1162</v>
      </c>
      <c r="B1223" s="1890">
        <f>'Expenditures 15-22'!C127</f>
        <v>21999</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21999</v>
      </c>
      <c r="C1225" s="2" t="s">
        <v>569</v>
      </c>
      <c r="D1225" s="2" t="str">
        <f t="shared" si="18"/>
        <v>Error?</v>
      </c>
    </row>
    <row r="1226" spans="1:4" x14ac:dyDescent="0.2">
      <c r="A1226" s="5">
        <v>1165</v>
      </c>
      <c r="B1226" s="1890">
        <f>'Expenditures 15-22'!C151</f>
        <v>21999</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1000</v>
      </c>
      <c r="D1229" s="2" t="str">
        <f t="shared" si="18"/>
        <v>Error?</v>
      </c>
    </row>
    <row r="1230" spans="1:4" x14ac:dyDescent="0.2">
      <c r="A1230" s="10">
        <v>1169</v>
      </c>
      <c r="B1230" s="1890"/>
      <c r="D1230" s="2" t="str">
        <f t="shared" si="18"/>
        <v>OK</v>
      </c>
    </row>
    <row r="1231" spans="1:4" x14ac:dyDescent="0.2">
      <c r="A1231" s="5">
        <v>1170</v>
      </c>
      <c r="B1231" s="1890">
        <f>'Expenditures 15-22'!D127</f>
        <v>1000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1000</v>
      </c>
      <c r="C1233" s="2" t="s">
        <v>569</v>
      </c>
      <c r="D1233" s="2" t="str">
        <f t="shared" si="18"/>
        <v>Error?</v>
      </c>
    </row>
    <row r="1234" spans="1:4" x14ac:dyDescent="0.2">
      <c r="A1234" s="5">
        <v>1173</v>
      </c>
      <c r="B1234" s="1890">
        <f>'Expenditures 15-22'!D151</f>
        <v>1000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549498</v>
      </c>
      <c r="D1237" s="2" t="str">
        <f t="shared" si="18"/>
        <v>Error?</v>
      </c>
    </row>
    <row r="1238" spans="1:4" x14ac:dyDescent="0.2">
      <c r="A1238" s="10">
        <v>1177</v>
      </c>
      <c r="B1238" s="1890"/>
      <c r="D1238" s="2" t="str">
        <f t="shared" si="18"/>
        <v>OK</v>
      </c>
    </row>
    <row r="1239" spans="1:4" x14ac:dyDescent="0.2">
      <c r="A1239" s="5">
        <v>1178</v>
      </c>
      <c r="B1239" s="1890">
        <f>'Expenditures 15-22'!E127</f>
        <v>549498</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549498</v>
      </c>
      <c r="C1241" s="2" t="s">
        <v>569</v>
      </c>
      <c r="D1241" s="2" t="str">
        <f t="shared" si="18"/>
        <v>Error?</v>
      </c>
    </row>
    <row r="1242" spans="1:4" x14ac:dyDescent="0.2">
      <c r="A1242" s="5">
        <v>1181</v>
      </c>
      <c r="B1242" s="1890">
        <f>'Expenditures 15-22'!E151</f>
        <v>549498</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413390</v>
      </c>
      <c r="D1245" s="2" t="str">
        <f t="shared" si="18"/>
        <v>Error?</v>
      </c>
    </row>
    <row r="1246" spans="1:4" x14ac:dyDescent="0.2">
      <c r="A1246" s="10">
        <v>1185</v>
      </c>
      <c r="B1246" s="1890"/>
      <c r="D1246" s="2" t="str">
        <f t="shared" si="18"/>
        <v>OK</v>
      </c>
    </row>
    <row r="1247" spans="1:4" x14ac:dyDescent="0.2">
      <c r="A1247" s="5">
        <v>1186</v>
      </c>
      <c r="B1247" s="1890">
        <f>'Expenditures 15-22'!F127</f>
        <v>413390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413390</v>
      </c>
      <c r="C1249" s="2" t="s">
        <v>569</v>
      </c>
      <c r="D1249" s="2" t="str">
        <f t="shared" si="18"/>
        <v>Error?</v>
      </c>
    </row>
    <row r="1250" spans="1:4" x14ac:dyDescent="0.2">
      <c r="A1250" s="5">
        <v>1189</v>
      </c>
      <c r="B1250" s="1890">
        <f>'Expenditures 15-22'!F151</f>
        <v>413390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987337</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987337</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987337</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987337</v>
      </c>
      <c r="C1288" s="2" t="s">
        <v>569</v>
      </c>
      <c r="D1288" s="2" t="str">
        <f t="shared" si="19"/>
        <v>Error?</v>
      </c>
    </row>
    <row r="1289" spans="1:4" x14ac:dyDescent="0.2">
      <c r="A1289" s="5">
        <v>1228</v>
      </c>
      <c r="B1289" s="1890">
        <f>'Expenditures 15-22'!K152</f>
        <v>20741</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916477</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986594</v>
      </c>
      <c r="D1315" s="2" t="str">
        <f t="shared" si="19"/>
        <v>Error?</v>
      </c>
    </row>
    <row r="1316" spans="1:4" x14ac:dyDescent="0.2">
      <c r="A1316" s="5">
        <v>1255</v>
      </c>
      <c r="B1316" s="1890">
        <f>'Expenditures 15-22'!H171</f>
        <v>1100</v>
      </c>
      <c r="D1316" s="2" t="str">
        <f t="shared" si="19"/>
        <v>Error?</v>
      </c>
    </row>
    <row r="1317" spans="1:4" x14ac:dyDescent="0.2">
      <c r="A1317" s="5">
        <v>1256</v>
      </c>
      <c r="B1317" s="1890">
        <f>'Expenditures 15-22'!H172</f>
        <v>1904171</v>
      </c>
      <c r="C1317" s="2" t="s">
        <v>569</v>
      </c>
      <c r="D1317" s="2" t="str">
        <f t="shared" si="19"/>
        <v>Error?</v>
      </c>
    </row>
    <row r="1318" spans="1:4" x14ac:dyDescent="0.2">
      <c r="A1318" s="5">
        <v>1257</v>
      </c>
      <c r="B1318" s="1890">
        <f>'Expenditures 15-22'!H174</f>
        <v>1904171</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916477</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986594</v>
      </c>
      <c r="C1329" s="2" t="s">
        <v>569</v>
      </c>
      <c r="D1329" s="2" t="str">
        <f t="shared" si="19"/>
        <v>Error?</v>
      </c>
    </row>
    <row r="1330" spans="1:4" x14ac:dyDescent="0.2">
      <c r="A1330" s="5">
        <v>1269</v>
      </c>
      <c r="B1330" s="1890">
        <f>'Expenditures 15-22'!K171</f>
        <v>1100</v>
      </c>
      <c r="C1330" s="2" t="s">
        <v>569</v>
      </c>
      <c r="D1330" s="2" t="str">
        <f t="shared" si="19"/>
        <v>Error?</v>
      </c>
    </row>
    <row r="1331" spans="1:4" x14ac:dyDescent="0.2">
      <c r="A1331" s="5">
        <v>1270</v>
      </c>
      <c r="B1331" s="1890">
        <f>'Expenditures 15-22'!K172</f>
        <v>1904171</v>
      </c>
      <c r="C1331" s="2" t="s">
        <v>569</v>
      </c>
      <c r="D1331" s="2" t="str">
        <f t="shared" si="19"/>
        <v>Error?</v>
      </c>
    </row>
    <row r="1332" spans="1:4" x14ac:dyDescent="0.2">
      <c r="A1332" s="5">
        <v>1271</v>
      </c>
      <c r="B1332" s="1890">
        <f>'Expenditures 15-22'!K174</f>
        <v>1904171</v>
      </c>
      <c r="C1332" s="2" t="s">
        <v>569</v>
      </c>
      <c r="D1332" s="2" t="str">
        <f t="shared" si="19"/>
        <v>Error?</v>
      </c>
    </row>
    <row r="1333" spans="1:4" x14ac:dyDescent="0.2">
      <c r="A1333" s="5">
        <v>1272</v>
      </c>
      <c r="B1333" s="1890">
        <f>'Expenditures 15-22'!K175</f>
        <v>31842</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17980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17980</v>
      </c>
      <c r="C1339" s="2" t="s">
        <v>569</v>
      </c>
      <c r="D1339" s="2" t="str">
        <f t="shared" si="19"/>
        <v>Error?</v>
      </c>
    </row>
    <row r="1340" spans="1:4" x14ac:dyDescent="0.2">
      <c r="A1340" s="5">
        <v>1279</v>
      </c>
      <c r="B1340" s="1890">
        <f>'Expenditures 15-22'!C210</f>
        <v>17980</v>
      </c>
      <c r="C1340" s="2" t="s">
        <v>569</v>
      </c>
      <c r="D1340" s="2" t="str">
        <f t="shared" si="19"/>
        <v>Error?</v>
      </c>
    </row>
    <row r="1341" spans="1:4" x14ac:dyDescent="0.2">
      <c r="A1341" s="5">
        <v>1280</v>
      </c>
      <c r="B1341" s="1890">
        <f>'Expenditures 15-22'!D182</f>
        <v>513</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513</v>
      </c>
      <c r="C1345" s="2" t="s">
        <v>569</v>
      </c>
      <c r="D1345" s="2" t="str">
        <f t="shared" si="20"/>
        <v>Error?</v>
      </c>
    </row>
    <row r="1346" spans="1:4" x14ac:dyDescent="0.2">
      <c r="A1346" s="5">
        <v>1285</v>
      </c>
      <c r="B1346" s="1890">
        <f>'Expenditures 15-22'!D210</f>
        <v>513</v>
      </c>
      <c r="C1346" s="2" t="s">
        <v>569</v>
      </c>
      <c r="D1346" s="2" t="str">
        <f t="shared" si="20"/>
        <v>Error?</v>
      </c>
    </row>
    <row r="1347" spans="1:4" x14ac:dyDescent="0.2">
      <c r="A1347" s="5">
        <v>1286</v>
      </c>
      <c r="B1347" s="1890">
        <f>'Expenditures 15-22'!E182</f>
        <v>622433</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622433</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622433</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640926</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640926</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640926</v>
      </c>
      <c r="C1388" s="2" t="s">
        <v>569</v>
      </c>
      <c r="D1388" s="2" t="str">
        <f t="shared" si="20"/>
        <v>Error?</v>
      </c>
    </row>
    <row r="1389" spans="1:4" x14ac:dyDescent="0.2">
      <c r="A1389" s="5">
        <v>1328</v>
      </c>
      <c r="B1389" s="1890">
        <f>'Expenditures 15-22'!K211</f>
        <v>204150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1525</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590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129701</v>
      </c>
      <c r="C1410" s="2" t="s">
        <v>569</v>
      </c>
      <c r="D1410" s="2" t="str">
        <f t="shared" si="21"/>
        <v>Error?</v>
      </c>
    </row>
    <row r="1411" spans="1:4" x14ac:dyDescent="0.2">
      <c r="A1411" s="5">
        <v>1350</v>
      </c>
      <c r="B1411" s="1890">
        <f>'Expenditures 15-22'!D232</f>
        <v>2517</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29345</v>
      </c>
      <c r="D1413" s="2" t="str">
        <f t="shared" si="21"/>
        <v>Error?</v>
      </c>
    </row>
    <row r="1414" spans="1:4" x14ac:dyDescent="0.2">
      <c r="A1414" s="5">
        <v>1353</v>
      </c>
      <c r="B1414" s="1890">
        <f>'Expenditures 15-22'!D235</f>
        <v>1713</v>
      </c>
      <c r="D1414" s="2" t="str">
        <f t="shared" si="21"/>
        <v>Error?</v>
      </c>
    </row>
    <row r="1415" spans="1:4" x14ac:dyDescent="0.2">
      <c r="A1415" s="5">
        <v>1354</v>
      </c>
      <c r="B1415" s="1890">
        <f>'Expenditures 15-22'!D236</f>
        <v>3115</v>
      </c>
      <c r="D1415" s="2" t="str">
        <f t="shared" si="21"/>
        <v>Error?</v>
      </c>
    </row>
    <row r="1416" spans="1:4" x14ac:dyDescent="0.2">
      <c r="A1416" s="5">
        <v>1355</v>
      </c>
      <c r="B1416" s="1890">
        <f>'Expenditures 15-22'!D237</f>
        <v>13177</v>
      </c>
      <c r="D1416" s="2" t="str">
        <f t="shared" si="21"/>
        <v>Error?</v>
      </c>
    </row>
    <row r="1417" spans="1:4" x14ac:dyDescent="0.2">
      <c r="A1417" s="5">
        <v>1356</v>
      </c>
      <c r="B1417" s="1890">
        <f>'Expenditures 15-22'!D238</f>
        <v>49867</v>
      </c>
      <c r="C1417" s="2" t="s">
        <v>569</v>
      </c>
      <c r="D1417" s="2" t="str">
        <f t="shared" si="21"/>
        <v>Error?</v>
      </c>
    </row>
    <row r="1418" spans="1:4" x14ac:dyDescent="0.2">
      <c r="A1418" s="5">
        <v>1357</v>
      </c>
      <c r="B1418" s="1890">
        <f>'Expenditures 15-22'!D240</f>
        <v>2222</v>
      </c>
      <c r="D1418" s="2" t="str">
        <f t="shared" si="21"/>
        <v>Error?</v>
      </c>
    </row>
    <row r="1419" spans="1:4" x14ac:dyDescent="0.2">
      <c r="A1419" s="5">
        <v>1358</v>
      </c>
      <c r="B1419" s="1890">
        <f>'Expenditures 15-22'!D241</f>
        <v>6385</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8607</v>
      </c>
      <c r="C1421" s="2" t="s">
        <v>569</v>
      </c>
      <c r="D1421" s="2" t="str">
        <f t="shared" si="21"/>
        <v>Error?</v>
      </c>
    </row>
    <row r="1422" spans="1:4" x14ac:dyDescent="0.2">
      <c r="A1422" s="5">
        <v>1361</v>
      </c>
      <c r="B1422" s="1890">
        <f>'Expenditures 15-22'!D245</f>
        <v>9921</v>
      </c>
      <c r="D1422" s="2" t="str">
        <f t="shared" si="21"/>
        <v>Error?</v>
      </c>
    </row>
    <row r="1423" spans="1:4" x14ac:dyDescent="0.2">
      <c r="A1423" s="5">
        <v>1362</v>
      </c>
      <c r="B1423" s="1890">
        <f>'Expenditures 15-22'!D246</f>
        <v>4137</v>
      </c>
      <c r="D1423" s="2" t="str">
        <f t="shared" si="21"/>
        <v>Error?</v>
      </c>
    </row>
    <row r="1424" spans="1:4" x14ac:dyDescent="0.2">
      <c r="A1424" s="5">
        <v>1363</v>
      </c>
      <c r="B1424" s="1890">
        <f>'Expenditures 15-22'!D257</f>
        <v>23271</v>
      </c>
      <c r="C1424" s="2" t="s">
        <v>569</v>
      </c>
      <c r="D1424" s="2" t="str">
        <f t="shared" si="21"/>
        <v>Error?</v>
      </c>
    </row>
    <row r="1425" spans="1:4" x14ac:dyDescent="0.2">
      <c r="A1425" s="5">
        <v>1364</v>
      </c>
      <c r="B1425" s="1890">
        <f>'Expenditures 15-22'!D259</f>
        <v>32079</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32079</v>
      </c>
      <c r="C1427" s="2" t="s">
        <v>569</v>
      </c>
      <c r="D1427" s="2" t="str">
        <f t="shared" si="21"/>
        <v>Error?</v>
      </c>
    </row>
    <row r="1428" spans="1:4" x14ac:dyDescent="0.2">
      <c r="A1428" s="5">
        <v>1367</v>
      </c>
      <c r="B1428" s="1890">
        <f>'Expenditures 15-22'!D263</f>
        <v>1500</v>
      </c>
      <c r="D1428" s="2" t="str">
        <f t="shared" si="21"/>
        <v>Error?</v>
      </c>
    </row>
    <row r="1429" spans="1:4" x14ac:dyDescent="0.2">
      <c r="A1429" s="5">
        <v>1368</v>
      </c>
      <c r="B1429" s="1890">
        <f>'Expenditures 15-22'!D264</f>
        <v>12674</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55216</v>
      </c>
      <c r="D1431" s="2" t="str">
        <f t="shared" si="21"/>
        <v>Error?</v>
      </c>
    </row>
    <row r="1432" spans="1:4" x14ac:dyDescent="0.2">
      <c r="A1432" s="5">
        <v>1371</v>
      </c>
      <c r="B1432" s="1890">
        <f>'Expenditures 15-22'!D267</f>
        <v>3376</v>
      </c>
      <c r="D1432" s="2" t="str">
        <f t="shared" si="21"/>
        <v>Error?</v>
      </c>
    </row>
    <row r="1433" spans="1:4" x14ac:dyDescent="0.2">
      <c r="A1433" s="5">
        <v>1372</v>
      </c>
      <c r="B1433" s="1890">
        <f>'Expenditures 15-22'!D268</f>
        <v>3376</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76142</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25517</v>
      </c>
      <c r="D1442" s="2" t="str">
        <f t="shared" si="21"/>
        <v>Error?</v>
      </c>
    </row>
    <row r="1443" spans="1:4" x14ac:dyDescent="0.2">
      <c r="A1443" s="10">
        <v>1382</v>
      </c>
      <c r="B1443" s="1890"/>
      <c r="D1443" s="2" t="str">
        <f t="shared" si="21"/>
        <v>OK</v>
      </c>
    </row>
    <row r="1444" spans="1:4" x14ac:dyDescent="0.2">
      <c r="A1444" s="5">
        <v>1383</v>
      </c>
      <c r="B1444" s="1890">
        <f>'Expenditures 15-22'!D277</f>
        <v>25517</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215483</v>
      </c>
      <c r="C1446" s="2" t="s">
        <v>569</v>
      </c>
      <c r="D1446" s="2" t="str">
        <f t="shared" si="21"/>
        <v>Error?</v>
      </c>
    </row>
    <row r="1447" spans="1:4" x14ac:dyDescent="0.2">
      <c r="A1447" s="5">
        <v>1386</v>
      </c>
      <c r="B1447" s="1890">
        <f>'Expenditures 15-22'!D280</f>
        <v>26314</v>
      </c>
      <c r="D1447" s="2" t="str">
        <f t="shared" si="21"/>
        <v>Error?</v>
      </c>
    </row>
    <row r="1448" spans="1:4" x14ac:dyDescent="0.2">
      <c r="A1448" s="5">
        <v>1387</v>
      </c>
      <c r="B1448" s="1890">
        <f>'Expenditures 15-22'!D295</f>
        <v>371498</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1525</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590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129701</v>
      </c>
      <c r="C1474" s="2" t="s">
        <v>569</v>
      </c>
      <c r="D1474" s="2" t="str">
        <f t="shared" si="22"/>
        <v>Error?</v>
      </c>
    </row>
    <row r="1475" spans="1:4" x14ac:dyDescent="0.2">
      <c r="A1475" s="5">
        <v>1414</v>
      </c>
      <c r="B1475" s="1890">
        <f>'Expenditures 15-22'!K232</f>
        <v>2517</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29345</v>
      </c>
      <c r="C1477" s="2" t="s">
        <v>569</v>
      </c>
      <c r="D1477" s="2" t="str">
        <f t="shared" si="22"/>
        <v>Error?</v>
      </c>
    </row>
    <row r="1478" spans="1:4" x14ac:dyDescent="0.2">
      <c r="A1478" s="5">
        <v>1417</v>
      </c>
      <c r="B1478" s="1890">
        <f>'Expenditures 15-22'!K235</f>
        <v>1713</v>
      </c>
      <c r="C1478" s="2" t="s">
        <v>569</v>
      </c>
      <c r="D1478" s="2" t="str">
        <f t="shared" si="22"/>
        <v>Error?</v>
      </c>
    </row>
    <row r="1479" spans="1:4" x14ac:dyDescent="0.2">
      <c r="A1479" s="5">
        <v>1418</v>
      </c>
      <c r="B1479" s="1890">
        <f>'Expenditures 15-22'!K236</f>
        <v>3115</v>
      </c>
      <c r="C1479" s="2" t="s">
        <v>569</v>
      </c>
      <c r="D1479" s="2" t="str">
        <f t="shared" si="22"/>
        <v>Error?</v>
      </c>
    </row>
    <row r="1480" spans="1:4" x14ac:dyDescent="0.2">
      <c r="A1480" s="5">
        <v>1419</v>
      </c>
      <c r="B1480" s="1890">
        <f>'Expenditures 15-22'!K237</f>
        <v>13177</v>
      </c>
      <c r="C1480" s="2" t="s">
        <v>569</v>
      </c>
      <c r="D1480" s="2" t="str">
        <f t="shared" si="22"/>
        <v>Error?</v>
      </c>
    </row>
    <row r="1481" spans="1:4" x14ac:dyDescent="0.2">
      <c r="A1481" s="5">
        <v>1420</v>
      </c>
      <c r="B1481" s="1890">
        <f>'Expenditures 15-22'!K238</f>
        <v>49867</v>
      </c>
      <c r="C1481" s="2" t="s">
        <v>569</v>
      </c>
      <c r="D1481" s="2" t="str">
        <f t="shared" si="22"/>
        <v>Error?</v>
      </c>
    </row>
    <row r="1482" spans="1:4" x14ac:dyDescent="0.2">
      <c r="A1482" s="5">
        <v>1421</v>
      </c>
      <c r="B1482" s="1890">
        <f>'Expenditures 15-22'!K240</f>
        <v>2222</v>
      </c>
      <c r="C1482" s="2" t="s">
        <v>569</v>
      </c>
      <c r="D1482" s="2" t="str">
        <f t="shared" si="22"/>
        <v>Error?</v>
      </c>
    </row>
    <row r="1483" spans="1:4" x14ac:dyDescent="0.2">
      <c r="A1483" s="5">
        <v>1422</v>
      </c>
      <c r="B1483" s="1890">
        <f>'Expenditures 15-22'!K241</f>
        <v>6385</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8607</v>
      </c>
      <c r="C1485" s="2" t="s">
        <v>569</v>
      </c>
      <c r="D1485" s="2" t="str">
        <f t="shared" si="22"/>
        <v>Error?</v>
      </c>
    </row>
    <row r="1486" spans="1:4" x14ac:dyDescent="0.2">
      <c r="A1486" s="5">
        <v>1425</v>
      </c>
      <c r="B1486" s="1890">
        <f>'Expenditures 15-22'!K245</f>
        <v>9921</v>
      </c>
      <c r="C1486" s="2" t="s">
        <v>569</v>
      </c>
      <c r="D1486" s="2" t="str">
        <f t="shared" si="22"/>
        <v>Error?</v>
      </c>
    </row>
    <row r="1487" spans="1:4" x14ac:dyDescent="0.2">
      <c r="A1487" s="5">
        <v>1426</v>
      </c>
      <c r="B1487" s="1890">
        <f>'Expenditures 15-22'!K246</f>
        <v>4137</v>
      </c>
      <c r="C1487" s="2" t="s">
        <v>569</v>
      </c>
      <c r="D1487" s="2" t="str">
        <f t="shared" si="22"/>
        <v>Error?</v>
      </c>
    </row>
    <row r="1488" spans="1:4" x14ac:dyDescent="0.2">
      <c r="A1488" s="5">
        <v>1427</v>
      </c>
      <c r="B1488" s="1890">
        <f>'Expenditures 15-22'!K257</f>
        <v>23271</v>
      </c>
      <c r="C1488" s="2" t="s">
        <v>569</v>
      </c>
      <c r="D1488" s="2" t="str">
        <f t="shared" si="22"/>
        <v>Error?</v>
      </c>
    </row>
    <row r="1489" spans="1:4" x14ac:dyDescent="0.2">
      <c r="A1489" s="5">
        <v>1428</v>
      </c>
      <c r="B1489" s="1890">
        <f>'Expenditures 15-22'!K259</f>
        <v>32079</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32079</v>
      </c>
      <c r="C1491" s="2" t="s">
        <v>569</v>
      </c>
      <c r="D1491" s="2" t="str">
        <f t="shared" si="22"/>
        <v>Error?</v>
      </c>
    </row>
    <row r="1492" spans="1:4" x14ac:dyDescent="0.2">
      <c r="A1492" s="5">
        <v>1431</v>
      </c>
      <c r="B1492" s="1890">
        <f>'Expenditures 15-22'!K263</f>
        <v>1500</v>
      </c>
      <c r="C1492" s="2" t="s">
        <v>569</v>
      </c>
      <c r="D1492" s="2" t="str">
        <f t="shared" si="22"/>
        <v>Error?</v>
      </c>
    </row>
    <row r="1493" spans="1:4" x14ac:dyDescent="0.2">
      <c r="A1493" s="5">
        <v>1432</v>
      </c>
      <c r="B1493" s="1890">
        <f>'Expenditures 15-22'!K264</f>
        <v>12674</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55216</v>
      </c>
      <c r="C1495" s="2" t="s">
        <v>569</v>
      </c>
      <c r="D1495" s="2" t="str">
        <f t="shared" si="22"/>
        <v>Error?</v>
      </c>
    </row>
    <row r="1496" spans="1:4" x14ac:dyDescent="0.2">
      <c r="A1496" s="5">
        <v>1435</v>
      </c>
      <c r="B1496" s="1890">
        <f>'Expenditures 15-22'!K267</f>
        <v>3376</v>
      </c>
      <c r="C1496" s="2" t="s">
        <v>569</v>
      </c>
      <c r="D1496" s="2" t="str">
        <f t="shared" si="22"/>
        <v>Error?</v>
      </c>
    </row>
    <row r="1497" spans="1:4" x14ac:dyDescent="0.2">
      <c r="A1497" s="5">
        <v>1436</v>
      </c>
      <c r="B1497" s="1890">
        <f>'Expenditures 15-22'!K268</f>
        <v>3376</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76142</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25517</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25517</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215483</v>
      </c>
      <c r="C1510" s="2" t="s">
        <v>569</v>
      </c>
      <c r="D1510" s="2" t="str">
        <f t="shared" si="22"/>
        <v>Error?</v>
      </c>
    </row>
    <row r="1511" spans="1:4" x14ac:dyDescent="0.2">
      <c r="A1511" s="5">
        <v>1450</v>
      </c>
      <c r="B1511" s="1890">
        <f>'Expenditures 15-22'!K280</f>
        <v>26314</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371498</v>
      </c>
      <c r="C1517" s="2" t="s">
        <v>569</v>
      </c>
      <c r="D1517" s="2" t="str">
        <f t="shared" si="22"/>
        <v>Error?</v>
      </c>
    </row>
    <row r="1518" spans="1:4" x14ac:dyDescent="0.2">
      <c r="A1518" s="5">
        <v>1457</v>
      </c>
      <c r="B1518" s="1890">
        <f>'Expenditures 15-22'!K296</f>
        <v>144863</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400777</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400777</v>
      </c>
      <c r="C1535" s="2" t="s">
        <v>569</v>
      </c>
      <c r="D1535" s="2" t="str">
        <f t="shared" ref="D1535:D1598" si="23">IF(ISBLANK(B1535),"OK",IF(A1535-B1535=0,"OK","Error?"))</f>
        <v>Error?</v>
      </c>
    </row>
    <row r="1536" spans="1:4" x14ac:dyDescent="0.2">
      <c r="A1536" s="5">
        <v>1475</v>
      </c>
      <c r="B1536" s="1890">
        <f>'Expenditures 15-22'!E312</f>
        <v>400777</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400777</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400777</v>
      </c>
      <c r="C1559" s="2" t="s">
        <v>569</v>
      </c>
      <c r="D1559" s="2" t="str">
        <f t="shared" si="23"/>
        <v>Error?</v>
      </c>
    </row>
    <row r="1560" spans="1:4" x14ac:dyDescent="0.2">
      <c r="A1560" s="5">
        <v>1499</v>
      </c>
      <c r="B1560" s="1890">
        <f>'Expenditures 15-22'!K312</f>
        <v>400777</v>
      </c>
      <c r="C1560" s="2" t="s">
        <v>569</v>
      </c>
      <c r="D1560" s="2" t="str">
        <f t="shared" si="23"/>
        <v>Error?</v>
      </c>
    </row>
    <row r="1561" spans="1:4" x14ac:dyDescent="0.2">
      <c r="A1561" s="5">
        <v>1500</v>
      </c>
      <c r="B1561" s="1890">
        <f>'Expenditures 15-22'!K313</f>
        <v>-333396</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5339938</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7545280</v>
      </c>
      <c r="C1630" s="2" t="s">
        <v>569</v>
      </c>
      <c r="D1630" s="2" t="str">
        <f t="shared" si="24"/>
        <v>Error?</v>
      </c>
    </row>
    <row r="1631" spans="1:4" x14ac:dyDescent="0.2">
      <c r="A1631" s="5">
        <v>1570</v>
      </c>
      <c r="B1631" s="1890">
        <f>'Acct Summary 7-8'!D79</f>
        <v>344806</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365547</v>
      </c>
      <c r="C1644" s="2" t="s">
        <v>569</v>
      </c>
      <c r="D1644" s="2" t="str">
        <f t="shared" si="24"/>
        <v>Error?</v>
      </c>
    </row>
    <row r="1645" spans="1:4" x14ac:dyDescent="0.2">
      <c r="A1645" s="5">
        <v>1584</v>
      </c>
      <c r="B1645" s="1890">
        <f>'Acct Summary 7-8'!E79</f>
        <v>1529679</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1561521</v>
      </c>
      <c r="C1658" s="2" t="s">
        <v>569</v>
      </c>
      <c r="D1658" s="2" t="str">
        <f t="shared" si="24"/>
        <v>Error?</v>
      </c>
    </row>
    <row r="1659" spans="1:4" x14ac:dyDescent="0.2">
      <c r="A1659" s="5">
        <v>1598</v>
      </c>
      <c r="B1659" s="1890">
        <f>'Acct Summary 7-8'!F79</f>
        <v>379576</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583726</v>
      </c>
      <c r="C1672" s="2" t="s">
        <v>569</v>
      </c>
      <c r="D1672" s="2" t="str">
        <f t="shared" si="25"/>
        <v>Error?</v>
      </c>
    </row>
    <row r="1673" spans="1:4" x14ac:dyDescent="0.2">
      <c r="A1673" s="5">
        <v>1612</v>
      </c>
      <c r="B1673" s="1890">
        <f>'Acct Summary 7-8'!G79</f>
        <v>738382</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883245</v>
      </c>
      <c r="C1686" s="2" t="s">
        <v>569</v>
      </c>
      <c r="D1686" s="2" t="str">
        <f t="shared" si="25"/>
        <v>Error?</v>
      </c>
    </row>
    <row r="1687" spans="1:4" x14ac:dyDescent="0.2">
      <c r="A1687" s="5">
        <v>1626</v>
      </c>
      <c r="B1687" s="1890">
        <f>'Acct Summary 7-8'!H79</f>
        <v>772028</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938632</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6211388</v>
      </c>
      <c r="C1744" s="2" t="s">
        <v>569</v>
      </c>
      <c r="D1744" s="2" t="str">
        <f t="shared" si="26"/>
        <v>Error?</v>
      </c>
    </row>
    <row r="1745" spans="1:5" x14ac:dyDescent="0.2">
      <c r="A1745" s="5">
        <v>1684</v>
      </c>
      <c r="B1745" s="1890">
        <f>'Tax Sched 23'!B5</f>
        <v>891205</v>
      </c>
      <c r="C1745" s="2" t="s">
        <v>569</v>
      </c>
      <c r="D1745" s="2" t="str">
        <f t="shared" si="26"/>
        <v>Error?</v>
      </c>
    </row>
    <row r="1746" spans="1:5" x14ac:dyDescent="0.2">
      <c r="A1746" s="5">
        <v>1685</v>
      </c>
      <c r="B1746" s="1890">
        <f>'Tax Sched 23'!B6</f>
        <v>1909347</v>
      </c>
      <c r="C1746" s="2" t="s">
        <v>569</v>
      </c>
      <c r="D1746" s="2" t="str">
        <f t="shared" si="26"/>
        <v>Error?</v>
      </c>
    </row>
    <row r="1747" spans="1:5" x14ac:dyDescent="0.2">
      <c r="A1747" s="5">
        <v>1686</v>
      </c>
      <c r="B1747" s="1890">
        <f>'Tax Sched 23'!B7</f>
        <v>309153</v>
      </c>
      <c r="C1747" s="2" t="s">
        <v>569</v>
      </c>
      <c r="D1747" s="2" t="str">
        <f t="shared" si="26"/>
        <v>Error?</v>
      </c>
    </row>
    <row r="1748" spans="1:5" x14ac:dyDescent="0.2">
      <c r="A1748" s="5">
        <v>1687</v>
      </c>
      <c r="B1748" s="1890">
        <f>'Tax Sched 23'!B8</f>
        <v>258571</v>
      </c>
      <c r="C1748" s="2" t="s">
        <v>569</v>
      </c>
      <c r="D1748" s="2" t="str">
        <f t="shared" si="26"/>
        <v>Error?</v>
      </c>
    </row>
    <row r="1749" spans="1:5" x14ac:dyDescent="0.2">
      <c r="A1749" s="5">
        <v>1688</v>
      </c>
      <c r="B1749" s="1890">
        <f>'Tax Sched 23'!B10</f>
        <v>6033</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135593</v>
      </c>
      <c r="C1752" s="2" t="s">
        <v>569</v>
      </c>
      <c r="D1752" s="2" t="str">
        <f t="shared" si="26"/>
        <v>Error?</v>
      </c>
    </row>
    <row r="1753" spans="1:5" x14ac:dyDescent="0.2">
      <c r="A1753" s="5">
        <v>1692</v>
      </c>
      <c r="B1753" s="1890">
        <f>'Tax Sched 23'!B12</f>
        <v>2701</v>
      </c>
      <c r="C1753" s="2" t="s">
        <v>569</v>
      </c>
      <c r="D1753" s="2" t="str">
        <f t="shared" si="26"/>
        <v>Error?</v>
      </c>
    </row>
    <row r="1754" spans="1:5" x14ac:dyDescent="0.2">
      <c r="A1754" s="5">
        <v>1693</v>
      </c>
      <c r="B1754" s="1890">
        <f>'Tax Sched 23'!B14</f>
        <v>2701</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9966194</v>
      </c>
      <c r="C1759" s="2" t="s">
        <v>569</v>
      </c>
      <c r="D1759" s="2" t="str">
        <f t="shared" si="26"/>
        <v>Error?</v>
      </c>
    </row>
    <row r="1760" spans="1:5" x14ac:dyDescent="0.2">
      <c r="A1760" s="5">
        <v>1699</v>
      </c>
      <c r="B1760" s="1890">
        <f>'Tax Sched 23'!D4</f>
        <v>2882392</v>
      </c>
      <c r="C1760" s="2" t="s">
        <v>569</v>
      </c>
      <c r="D1760" s="2" t="str">
        <f t="shared" si="26"/>
        <v>Error?</v>
      </c>
    </row>
    <row r="1761" spans="1:7" x14ac:dyDescent="0.2">
      <c r="A1761" s="5">
        <v>1700</v>
      </c>
      <c r="B1761" s="1890">
        <f>'Tax Sched 23'!D5</f>
        <v>416155</v>
      </c>
      <c r="C1761" s="2" t="s">
        <v>569</v>
      </c>
      <c r="D1761" s="2" t="str">
        <f t="shared" si="26"/>
        <v>Error?</v>
      </c>
    </row>
    <row r="1762" spans="1:7" s="8" customFormat="1" x14ac:dyDescent="0.2">
      <c r="A1762" s="5">
        <v>1701</v>
      </c>
      <c r="B1762" s="1890">
        <f>'Tax Sched 23'!D6</f>
        <v>911902</v>
      </c>
      <c r="C1762" s="2" t="s">
        <v>569</v>
      </c>
      <c r="D1762" s="2" t="str">
        <f t="shared" si="26"/>
        <v>Error?</v>
      </c>
      <c r="E1762" s="9"/>
      <c r="G1762"/>
    </row>
    <row r="1763" spans="1:7" x14ac:dyDescent="0.2">
      <c r="A1763" s="5">
        <v>1702</v>
      </c>
      <c r="B1763" s="1890">
        <f>'Tax Sched 23'!D7</f>
        <v>145101</v>
      </c>
      <c r="C1763" s="2" t="s">
        <v>569</v>
      </c>
      <c r="D1763" s="2" t="str">
        <f t="shared" si="26"/>
        <v>Error?</v>
      </c>
    </row>
    <row r="1764" spans="1:7" x14ac:dyDescent="0.2">
      <c r="A1764" s="5">
        <v>1703</v>
      </c>
      <c r="B1764" s="1890">
        <f>'Tax Sched 23'!D8</f>
        <v>121344</v>
      </c>
      <c r="C1764" s="2" t="s">
        <v>569</v>
      </c>
      <c r="D1764" s="2" t="str">
        <f t="shared" si="26"/>
        <v>Error?</v>
      </c>
    </row>
    <row r="1765" spans="1:7" x14ac:dyDescent="0.2">
      <c r="A1765" s="5">
        <v>1704</v>
      </c>
      <c r="B1765" s="1890">
        <f>'Tax Sched 23'!D10</f>
        <v>2795</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63805</v>
      </c>
      <c r="C1768" s="2" t="s">
        <v>569</v>
      </c>
      <c r="D1768" s="2" t="str">
        <f t="shared" si="26"/>
        <v>Error?</v>
      </c>
    </row>
    <row r="1769" spans="1:7" x14ac:dyDescent="0.2">
      <c r="A1769" s="5">
        <v>1708</v>
      </c>
      <c r="B1769" s="1890">
        <f>'Tax Sched 23'!D12</f>
        <v>1279</v>
      </c>
      <c r="C1769" s="2" t="s">
        <v>569</v>
      </c>
      <c r="D1769" s="2" t="str">
        <f t="shared" si="26"/>
        <v>Error?</v>
      </c>
    </row>
    <row r="1770" spans="1:7" x14ac:dyDescent="0.2">
      <c r="A1770" s="5">
        <v>1709</v>
      </c>
      <c r="B1770" s="1890">
        <f>'Tax Sched 23'!D14</f>
        <v>1279</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4658433</v>
      </c>
      <c r="C1775" s="2" t="s">
        <v>569</v>
      </c>
      <c r="D1775" s="2" t="str">
        <f t="shared" si="26"/>
        <v>Error?</v>
      </c>
    </row>
    <row r="1776" spans="1:7" x14ac:dyDescent="0.2">
      <c r="A1776" s="5">
        <v>1715</v>
      </c>
      <c r="B1776" s="1890">
        <f>'Tax Sched 23'!C4</f>
        <v>3328996</v>
      </c>
      <c r="D1776" s="2" t="str">
        <f t="shared" si="26"/>
        <v>Error?</v>
      </c>
    </row>
    <row r="1777" spans="1:4" x14ac:dyDescent="0.2">
      <c r="A1777" s="5">
        <v>1716</v>
      </c>
      <c r="B1777" s="1890">
        <f>'Tax Sched 23'!C5</f>
        <v>475050</v>
      </c>
      <c r="D1777" s="2" t="str">
        <f t="shared" si="26"/>
        <v>Error?</v>
      </c>
    </row>
    <row r="1778" spans="1:4" x14ac:dyDescent="0.2">
      <c r="A1778" s="5">
        <v>1717</v>
      </c>
      <c r="B1778" s="1890">
        <f>'Tax Sched 23'!C6</f>
        <v>997445</v>
      </c>
      <c r="D1778" s="2" t="str">
        <f t="shared" si="26"/>
        <v>Error?</v>
      </c>
    </row>
    <row r="1779" spans="1:4" x14ac:dyDescent="0.2">
      <c r="A1779" s="5">
        <v>1718</v>
      </c>
      <c r="B1779" s="1890">
        <f>'Tax Sched 23'!C7</f>
        <v>164052</v>
      </c>
      <c r="D1779" s="2" t="str">
        <f t="shared" si="26"/>
        <v>Error?</v>
      </c>
    </row>
    <row r="1780" spans="1:4" x14ac:dyDescent="0.2">
      <c r="A1780" s="5">
        <v>1719</v>
      </c>
      <c r="B1780" s="1890">
        <f>'Tax Sched 23'!C8</f>
        <v>137227</v>
      </c>
      <c r="D1780" s="2" t="str">
        <f t="shared" si="26"/>
        <v>Error?</v>
      </c>
    </row>
    <row r="1781" spans="1:4" x14ac:dyDescent="0.2">
      <c r="A1781" s="5">
        <v>1720</v>
      </c>
      <c r="B1781" s="1890">
        <f>'Tax Sched 23'!C10</f>
        <v>3238</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71788</v>
      </c>
      <c r="D1784" s="2" t="str">
        <f t="shared" si="26"/>
        <v>Error?</v>
      </c>
    </row>
    <row r="1785" spans="1:4" x14ac:dyDescent="0.2">
      <c r="A1785" s="5">
        <v>1724</v>
      </c>
      <c r="B1785" s="1890">
        <f>'Tax Sched 23'!C12</f>
        <v>1422</v>
      </c>
      <c r="D1785" s="2" t="str">
        <f t="shared" si="26"/>
        <v>Error?</v>
      </c>
    </row>
    <row r="1786" spans="1:4" x14ac:dyDescent="0.2">
      <c r="A1786" s="5">
        <v>1725</v>
      </c>
      <c r="B1786" s="1890">
        <f>'Tax Sched 23'!C14</f>
        <v>1422</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5307761</v>
      </c>
      <c r="C1791" s="2" t="s">
        <v>569</v>
      </c>
      <c r="D1791" s="2" t="str">
        <f t="shared" ref="D1791:D1854" si="27">IF(ISBLANK(B1791),"OK",IF(A1791-B1791=0,"OK","Error?"))</f>
        <v>Error?</v>
      </c>
    </row>
    <row r="1792" spans="1:4" x14ac:dyDescent="0.2">
      <c r="A1792" s="5">
        <v>1731</v>
      </c>
      <c r="B1792" s="1890">
        <f>'Tax Sched 23'!F4</f>
        <v>3179492</v>
      </c>
      <c r="C1792" s="2" t="s">
        <v>569</v>
      </c>
      <c r="D1792" s="2" t="str">
        <f t="shared" si="27"/>
        <v>Error?</v>
      </c>
    </row>
    <row r="1793" spans="1:4" x14ac:dyDescent="0.2">
      <c r="A1793" s="5">
        <v>1732</v>
      </c>
      <c r="B1793" s="1890">
        <f>'Tax Sched 23'!F5</f>
        <v>453720</v>
      </c>
      <c r="C1793" s="2" t="s">
        <v>569</v>
      </c>
      <c r="D1793" s="2" t="str">
        <f t="shared" si="27"/>
        <v>Error?</v>
      </c>
    </row>
    <row r="1794" spans="1:4" x14ac:dyDescent="0.2">
      <c r="A1794" s="5">
        <v>1733</v>
      </c>
      <c r="B1794" s="1890">
        <f>'Tax Sched 23'!F6</f>
        <v>952658</v>
      </c>
      <c r="C1794" s="2" t="s">
        <v>569</v>
      </c>
      <c r="D1794" s="2" t="str">
        <f t="shared" si="27"/>
        <v>Error?</v>
      </c>
    </row>
    <row r="1795" spans="1:4" x14ac:dyDescent="0.2">
      <c r="A1795" s="5">
        <v>1734</v>
      </c>
      <c r="B1795" s="1890">
        <f>'Tax Sched 23'!F7</f>
        <v>156685</v>
      </c>
      <c r="C1795" s="2" t="s">
        <v>569</v>
      </c>
      <c r="D1795" s="2" t="str">
        <f t="shared" si="27"/>
        <v>Error?</v>
      </c>
    </row>
    <row r="1796" spans="1:4" x14ac:dyDescent="0.2">
      <c r="A1796" s="5">
        <v>1735</v>
      </c>
      <c r="B1796" s="1890">
        <f>'Tax Sched 23'!F8</f>
        <v>131067</v>
      </c>
      <c r="C1796" s="2" t="s">
        <v>569</v>
      </c>
      <c r="D1796" s="2" t="str">
        <f t="shared" si="27"/>
        <v>Error?</v>
      </c>
    </row>
    <row r="1797" spans="1:4" x14ac:dyDescent="0.2">
      <c r="A1797" s="5">
        <v>1736</v>
      </c>
      <c r="B1797" s="1890">
        <f>'Tax Sched 23'!F10</f>
        <v>3095</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68566</v>
      </c>
      <c r="C1800" s="2" t="s">
        <v>569</v>
      </c>
      <c r="D1800" s="2" t="str">
        <f t="shared" si="27"/>
        <v>Error?</v>
      </c>
    </row>
    <row r="1801" spans="1:4" x14ac:dyDescent="0.2">
      <c r="A1801" s="5">
        <v>1740</v>
      </c>
      <c r="B1801" s="1890">
        <f>'Tax Sched 23'!F12</f>
        <v>1364</v>
      </c>
      <c r="C1801" s="2" t="s">
        <v>569</v>
      </c>
      <c r="D1801" s="2" t="str">
        <f t="shared" si="27"/>
        <v>Error?</v>
      </c>
    </row>
    <row r="1802" spans="1:4" x14ac:dyDescent="0.2">
      <c r="A1802" s="5">
        <v>1741</v>
      </c>
      <c r="B1802" s="1890">
        <f>'Tax Sched 23'!F14</f>
        <v>1364</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5069423</v>
      </c>
      <c r="C1807" s="2" t="s">
        <v>569</v>
      </c>
      <c r="D1807" s="2" t="str">
        <f t="shared" si="27"/>
        <v>Error?</v>
      </c>
    </row>
    <row r="1808" spans="1:4" x14ac:dyDescent="0.2">
      <c r="A1808" s="5">
        <v>1747</v>
      </c>
      <c r="B1808" s="1890">
        <f>'Tax Sched 23'!E4</f>
        <v>6508488</v>
      </c>
      <c r="D1808" s="2" t="str">
        <f t="shared" si="27"/>
        <v>Error?</v>
      </c>
    </row>
    <row r="1809" spans="1:4" x14ac:dyDescent="0.2">
      <c r="A1809" s="5">
        <v>1748</v>
      </c>
      <c r="B1809" s="1890">
        <f>'Tax Sched 23'!E5</f>
        <v>928770</v>
      </c>
      <c r="D1809" s="2" t="str">
        <f t="shared" si="27"/>
        <v>Error?</v>
      </c>
    </row>
    <row r="1810" spans="1:4" x14ac:dyDescent="0.2">
      <c r="A1810" s="5">
        <v>1749</v>
      </c>
      <c r="B1810" s="1890">
        <f>'Tax Sched 23'!E6</f>
        <v>1950103</v>
      </c>
      <c r="D1810" s="2" t="str">
        <f t="shared" si="27"/>
        <v>Error?</v>
      </c>
    </row>
    <row r="1811" spans="1:4" x14ac:dyDescent="0.2">
      <c r="A1811" s="5">
        <v>1750</v>
      </c>
      <c r="B1811" s="1890">
        <f>'Tax Sched 23'!E7</f>
        <v>320737</v>
      </c>
      <c r="D1811" s="2" t="str">
        <f t="shared" si="27"/>
        <v>Error?</v>
      </c>
    </row>
    <row r="1812" spans="1:4" x14ac:dyDescent="0.2">
      <c r="A1812" s="5">
        <v>1751</v>
      </c>
      <c r="B1812" s="1890">
        <f>'Tax Sched 23'!E8</f>
        <v>268294</v>
      </c>
      <c r="D1812" s="2" t="str">
        <f t="shared" si="27"/>
        <v>Error?</v>
      </c>
    </row>
    <row r="1813" spans="1:4" x14ac:dyDescent="0.2">
      <c r="A1813" s="5">
        <v>1752</v>
      </c>
      <c r="B1813" s="1890">
        <f>'Tax Sched 23'!E10</f>
        <v>6333</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140354</v>
      </c>
      <c r="D1816" s="2" t="str">
        <f t="shared" si="27"/>
        <v>Error?</v>
      </c>
    </row>
    <row r="1817" spans="1:4" x14ac:dyDescent="0.2">
      <c r="A1817" s="5">
        <v>1756</v>
      </c>
      <c r="B1817" s="1890">
        <f>'Tax Sched 23'!E12</f>
        <v>2786</v>
      </c>
      <c r="D1817" s="2" t="str">
        <f t="shared" si="27"/>
        <v>Error?</v>
      </c>
    </row>
    <row r="1818" spans="1:4" x14ac:dyDescent="0.2">
      <c r="A1818" s="5">
        <v>1757</v>
      </c>
      <c r="B1818" s="1890">
        <f>'Tax Sched 23'!E14</f>
        <v>2786</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10377184</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5507123</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2701</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2701</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2701</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122641</v>
      </c>
      <c r="D2008" s="2" t="str">
        <f t="shared" si="30"/>
        <v>Error?</v>
      </c>
    </row>
    <row r="2009" spans="1:4" x14ac:dyDescent="0.2">
      <c r="A2009" s="5">
        <v>1948</v>
      </c>
      <c r="B2009" s="1890">
        <f>'Cap Outlay Deprec 26'!C8</f>
        <v>27992246</v>
      </c>
      <c r="D2009" s="2" t="str">
        <f t="shared" si="30"/>
        <v>Error?</v>
      </c>
    </row>
    <row r="2010" spans="1:4" x14ac:dyDescent="0.2">
      <c r="A2010" s="5">
        <v>1949</v>
      </c>
      <c r="B2010" s="1890">
        <f>'Cap Outlay Deprec 26'!C10</f>
        <v>594124</v>
      </c>
      <c r="D2010" s="2" t="str">
        <f t="shared" si="30"/>
        <v>Error?</v>
      </c>
    </row>
    <row r="2011" spans="1:4" x14ac:dyDescent="0.2">
      <c r="A2011" s="5">
        <v>1950</v>
      </c>
      <c r="B2011" s="1890">
        <f>'Cap Outlay Deprec 26'!C12</f>
        <v>1926355</v>
      </c>
      <c r="D2011" s="2" t="str">
        <f t="shared" si="30"/>
        <v>Error?</v>
      </c>
    </row>
    <row r="2012" spans="1:4" x14ac:dyDescent="0.2">
      <c r="A2012" s="5">
        <v>1951</v>
      </c>
      <c r="B2012" s="1890">
        <f>'Cap Outlay Deprec 26'!C13</f>
        <v>445928</v>
      </c>
      <c r="D2012" s="2" t="str">
        <f t="shared" si="30"/>
        <v>Error?</v>
      </c>
    </row>
    <row r="2013" spans="1:4" x14ac:dyDescent="0.2">
      <c r="A2013" s="5">
        <v>1952</v>
      </c>
      <c r="B2013" s="1890">
        <f>'Cap Outlay Deprec 26'!C16</f>
        <v>31081294</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12212</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12212</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122641</v>
      </c>
      <c r="C2026" s="2" t="s">
        <v>569</v>
      </c>
      <c r="D2026" s="2" t="str">
        <f t="shared" si="30"/>
        <v>Error?</v>
      </c>
    </row>
    <row r="2027" spans="1:4" x14ac:dyDescent="0.2">
      <c r="A2027" s="5">
        <v>1966</v>
      </c>
      <c r="B2027" s="1890">
        <f>'Cap Outlay Deprec 26'!F8</f>
        <v>27992246</v>
      </c>
      <c r="C2027" s="2" t="s">
        <v>569</v>
      </c>
      <c r="D2027" s="2" t="str">
        <f t="shared" si="30"/>
        <v>Error?</v>
      </c>
    </row>
    <row r="2028" spans="1:4" x14ac:dyDescent="0.2">
      <c r="A2028" s="5">
        <v>1967</v>
      </c>
      <c r="B2028" s="1890">
        <f>'Cap Outlay Deprec 26'!F10</f>
        <v>594124</v>
      </c>
      <c r="C2028" s="2" t="s">
        <v>569</v>
      </c>
      <c r="D2028" s="2" t="str">
        <f t="shared" si="30"/>
        <v>Error?</v>
      </c>
    </row>
    <row r="2029" spans="1:4" x14ac:dyDescent="0.2">
      <c r="A2029" s="5">
        <v>1968</v>
      </c>
      <c r="B2029" s="1890">
        <f>'Cap Outlay Deprec 26'!F12</f>
        <v>1938567</v>
      </c>
      <c r="C2029" s="2" t="s">
        <v>569</v>
      </c>
      <c r="D2029" s="2" t="str">
        <f t="shared" si="30"/>
        <v>Error?</v>
      </c>
    </row>
    <row r="2030" spans="1:4" x14ac:dyDescent="0.2">
      <c r="A2030" s="5">
        <v>1969</v>
      </c>
      <c r="B2030" s="1890">
        <f>'Cap Outlay Deprec 26'!F13</f>
        <v>445928</v>
      </c>
      <c r="C2030" s="2" t="s">
        <v>569</v>
      </c>
      <c r="D2030" s="2" t="str">
        <f t="shared" si="30"/>
        <v>Error?</v>
      </c>
    </row>
    <row r="2031" spans="1:4" x14ac:dyDescent="0.2">
      <c r="A2031" s="5">
        <v>1970</v>
      </c>
      <c r="B2031" s="1890">
        <f>'Cap Outlay Deprec 26'!F16</f>
        <v>31093506</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15282399</v>
      </c>
      <c r="D2033" s="2" t="str">
        <f t="shared" si="30"/>
        <v>Error?</v>
      </c>
    </row>
    <row r="2034" spans="1:4" x14ac:dyDescent="0.2">
      <c r="A2034" s="5">
        <v>1973</v>
      </c>
      <c r="B2034" s="1890">
        <f>'Cap Outlay Deprec 26'!H10</f>
        <v>512927</v>
      </c>
      <c r="D2034" s="2" t="str">
        <f t="shared" si="30"/>
        <v>Error?</v>
      </c>
    </row>
    <row r="2035" spans="1:4" x14ac:dyDescent="0.2">
      <c r="A2035" s="5">
        <v>1974</v>
      </c>
      <c r="B2035" s="1890">
        <f>'Cap Outlay Deprec 26'!H12</f>
        <v>1848388</v>
      </c>
      <c r="D2035" s="2" t="str">
        <f t="shared" si="30"/>
        <v>Error?</v>
      </c>
    </row>
    <row r="2036" spans="1:4" x14ac:dyDescent="0.2">
      <c r="A2036" s="5">
        <v>1975</v>
      </c>
      <c r="B2036" s="1890">
        <f>'Cap Outlay Deprec 26'!H13</f>
        <v>438471</v>
      </c>
      <c r="D2036" s="2" t="str">
        <f t="shared" si="30"/>
        <v>Error?</v>
      </c>
    </row>
    <row r="2037" spans="1:4" x14ac:dyDescent="0.2">
      <c r="A2037" s="5">
        <v>1976</v>
      </c>
      <c r="B2037" s="1890">
        <f>'Cap Outlay Deprec 26'!H16</f>
        <v>18082185</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575759</v>
      </c>
      <c r="D2039" s="2" t="str">
        <f t="shared" si="30"/>
        <v>Error?</v>
      </c>
    </row>
    <row r="2040" spans="1:4" x14ac:dyDescent="0.2">
      <c r="A2040" s="5">
        <v>1979</v>
      </c>
      <c r="B2040" s="1890">
        <f>'Cap Outlay Deprec 26'!I10</f>
        <v>6006</v>
      </c>
      <c r="D2040" s="2" t="str">
        <f t="shared" si="30"/>
        <v>Error?</v>
      </c>
    </row>
    <row r="2041" spans="1:4" x14ac:dyDescent="0.2">
      <c r="A2041" s="5">
        <v>1980</v>
      </c>
      <c r="B2041" s="1890">
        <f>'Cap Outlay Deprec 26'!I12</f>
        <v>69828</v>
      </c>
      <c r="D2041" s="2" t="str">
        <f t="shared" si="30"/>
        <v>Error?</v>
      </c>
    </row>
    <row r="2042" spans="1:4" x14ac:dyDescent="0.2">
      <c r="A2042" s="5">
        <v>1981</v>
      </c>
      <c r="B2042" s="1890">
        <f>'Cap Outlay Deprec 26'!I13</f>
        <v>699</v>
      </c>
      <c r="D2042" s="2" t="str">
        <f t="shared" si="30"/>
        <v>Error?</v>
      </c>
    </row>
    <row r="2043" spans="1:4" x14ac:dyDescent="0.2">
      <c r="A2043" s="5">
        <v>1982</v>
      </c>
      <c r="B2043" s="1890">
        <f>'Cap Outlay Deprec 26'!I16</f>
        <v>652292</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15858158</v>
      </c>
      <c r="C2051" s="2" t="s">
        <v>569</v>
      </c>
      <c r="D2051" s="2" t="str">
        <f t="shared" si="31"/>
        <v>Error?</v>
      </c>
    </row>
    <row r="2052" spans="1:4" x14ac:dyDescent="0.2">
      <c r="A2052" s="5">
        <v>1991</v>
      </c>
      <c r="B2052" s="1890">
        <f>'Cap Outlay Deprec 26'!K10</f>
        <v>518933</v>
      </c>
      <c r="C2052" s="2" t="s">
        <v>569</v>
      </c>
      <c r="D2052" s="2" t="str">
        <f t="shared" si="31"/>
        <v>Error?</v>
      </c>
    </row>
    <row r="2053" spans="1:4" x14ac:dyDescent="0.2">
      <c r="A2053" s="5">
        <v>1992</v>
      </c>
      <c r="B2053" s="1890">
        <f>'Cap Outlay Deprec 26'!K12</f>
        <v>1918216</v>
      </c>
      <c r="C2053" s="2" t="s">
        <v>569</v>
      </c>
      <c r="D2053" s="2" t="str">
        <f t="shared" si="31"/>
        <v>Error?</v>
      </c>
    </row>
    <row r="2054" spans="1:4" x14ac:dyDescent="0.2">
      <c r="A2054" s="5">
        <v>1993</v>
      </c>
      <c r="B2054" s="1890">
        <f>'Cap Outlay Deprec 26'!K13</f>
        <v>439170</v>
      </c>
      <c r="C2054" s="2" t="s">
        <v>569</v>
      </c>
      <c r="D2054" s="2" t="str">
        <f t="shared" si="31"/>
        <v>Error?</v>
      </c>
    </row>
    <row r="2055" spans="1:4" x14ac:dyDescent="0.2">
      <c r="A2055" s="5">
        <v>1994</v>
      </c>
      <c r="B2055" s="1890">
        <f>'Cap Outlay Deprec 26'!K16</f>
        <v>18734477</v>
      </c>
      <c r="C2055" s="2" t="s">
        <v>569</v>
      </c>
      <c r="D2055" s="2" t="str">
        <f t="shared" si="31"/>
        <v>Error?</v>
      </c>
    </row>
    <row r="2056" spans="1:4" x14ac:dyDescent="0.2">
      <c r="A2056" s="5">
        <v>1995</v>
      </c>
      <c r="B2056" s="1890">
        <f>'Cap Outlay Deprec 26'!L5</f>
        <v>122641</v>
      </c>
      <c r="C2056" s="2" t="s">
        <v>569</v>
      </c>
      <c r="D2056" s="2" t="str">
        <f t="shared" si="31"/>
        <v>Error?</v>
      </c>
    </row>
    <row r="2057" spans="1:4" x14ac:dyDescent="0.2">
      <c r="A2057" s="5">
        <v>1996</v>
      </c>
      <c r="B2057" s="1890">
        <f>'Cap Outlay Deprec 26'!L8</f>
        <v>12134088</v>
      </c>
      <c r="C2057" s="2" t="s">
        <v>569</v>
      </c>
      <c r="D2057" s="2" t="str">
        <f t="shared" si="31"/>
        <v>Error?</v>
      </c>
    </row>
    <row r="2058" spans="1:4" x14ac:dyDescent="0.2">
      <c r="A2058" s="5">
        <v>1997</v>
      </c>
      <c r="B2058" s="1890">
        <f>'Cap Outlay Deprec 26'!L10</f>
        <v>75191</v>
      </c>
      <c r="C2058" s="2" t="s">
        <v>569</v>
      </c>
      <c r="D2058" s="2" t="str">
        <f t="shared" si="31"/>
        <v>Error?</v>
      </c>
    </row>
    <row r="2059" spans="1:4" x14ac:dyDescent="0.2">
      <c r="A2059" s="5">
        <v>1998</v>
      </c>
      <c r="B2059" s="1890">
        <f>'Cap Outlay Deprec 26'!L12</f>
        <v>20351</v>
      </c>
      <c r="C2059" s="2" t="s">
        <v>569</v>
      </c>
      <c r="D2059" s="2" t="str">
        <f t="shared" si="31"/>
        <v>Error?</v>
      </c>
    </row>
    <row r="2060" spans="1:4" x14ac:dyDescent="0.2">
      <c r="A2060" s="5">
        <v>1999</v>
      </c>
      <c r="B2060" s="1890">
        <f>'Cap Outlay Deprec 26'!L13</f>
        <v>6758</v>
      </c>
      <c r="C2060" s="2" t="s">
        <v>569</v>
      </c>
      <c r="D2060" s="2" t="str">
        <f t="shared" si="31"/>
        <v>Error?</v>
      </c>
    </row>
    <row r="2061" spans="1:4" x14ac:dyDescent="0.2">
      <c r="A2061" s="5">
        <v>2000</v>
      </c>
      <c r="B2061" s="1890">
        <f>'Cap Outlay Deprec 26'!L16</f>
        <v>12359029</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48407</v>
      </c>
      <c r="C2088" s="2" t="s">
        <v>569</v>
      </c>
      <c r="D2088" s="2" t="str">
        <f t="shared" si="31"/>
        <v>Error?</v>
      </c>
    </row>
    <row r="2089" spans="1:4" x14ac:dyDescent="0.2">
      <c r="A2089" s="5">
        <v>2028</v>
      </c>
      <c r="B2089" s="1890">
        <f>'Expenditures 15-22'!K92</f>
        <v>1136391</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1000000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7095588</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6590526</v>
      </c>
      <c r="C2553" s="2" t="s">
        <v>569</v>
      </c>
      <c r="D2553" s="2" t="str">
        <f t="shared" si="38"/>
        <v>Error?</v>
      </c>
    </row>
    <row r="2554" spans="1:4" x14ac:dyDescent="0.2">
      <c r="A2554" s="5">
        <v>2493</v>
      </c>
      <c r="B2554" s="1890">
        <f>'Acct Summary 7-8'!C7</f>
        <v>1137421</v>
      </c>
      <c r="C2554" s="2" t="s">
        <v>569</v>
      </c>
      <c r="D2554" s="2" t="str">
        <f t="shared" si="38"/>
        <v>Error?</v>
      </c>
    </row>
    <row r="2555" spans="1:4" x14ac:dyDescent="0.2">
      <c r="A2555" s="5">
        <v>2494</v>
      </c>
      <c r="B2555" s="1890">
        <f>'Acct Summary 7-8'!C8</f>
        <v>14823535</v>
      </c>
      <c r="C2555" s="2" t="s">
        <v>569</v>
      </c>
      <c r="D2555" s="2" t="str">
        <f t="shared" si="38"/>
        <v>Error?</v>
      </c>
    </row>
    <row r="2556" spans="1:4" x14ac:dyDescent="0.2">
      <c r="A2556" s="5">
        <v>2495</v>
      </c>
      <c r="B2556" s="1890">
        <f>'Acct Summary 7-8'!C12</f>
        <v>7650412</v>
      </c>
      <c r="C2556" s="2" t="s">
        <v>569</v>
      </c>
      <c r="D2556" s="2" t="str">
        <f t="shared" si="38"/>
        <v>Error?</v>
      </c>
    </row>
    <row r="2557" spans="1:4" x14ac:dyDescent="0.2">
      <c r="A2557" s="5">
        <v>2496</v>
      </c>
      <c r="B2557" s="1890">
        <f>'Acct Summary 7-8'!C13</f>
        <v>4056219</v>
      </c>
      <c r="C2557" s="2" t="s">
        <v>569</v>
      </c>
      <c r="D2557" s="2" t="str">
        <f t="shared" si="38"/>
        <v>Error?</v>
      </c>
    </row>
    <row r="2558" spans="1:4" x14ac:dyDescent="0.2">
      <c r="A2558" s="5">
        <v>2497</v>
      </c>
      <c r="B2558" s="1890">
        <f>'Acct Summary 7-8'!C14</f>
        <v>240014</v>
      </c>
      <c r="C2558" s="2" t="s">
        <v>569</v>
      </c>
      <c r="D2558" s="2" t="str">
        <f t="shared" si="38"/>
        <v>Error?</v>
      </c>
    </row>
    <row r="2559" spans="1:4" x14ac:dyDescent="0.2">
      <c r="A2559" s="5">
        <v>2498</v>
      </c>
      <c r="B2559" s="1890">
        <f>'Acct Summary 7-8'!C15</f>
        <v>1184798</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13131443</v>
      </c>
      <c r="C2561" s="2" t="s">
        <v>569</v>
      </c>
      <c r="D2561" s="2" t="str">
        <f t="shared" si="39"/>
        <v>Error?</v>
      </c>
    </row>
    <row r="2562" spans="1:4" x14ac:dyDescent="0.2">
      <c r="A2562" s="5">
        <v>2501</v>
      </c>
      <c r="B2562" s="1890">
        <f>'Acct Summary 7-8'!C20</f>
        <v>1692092</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908078</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100000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1008078</v>
      </c>
      <c r="C2568" s="2" t="s">
        <v>569</v>
      </c>
      <c r="D2568" s="2" t="str">
        <f t="shared" si="39"/>
        <v>Error?</v>
      </c>
    </row>
    <row r="2569" spans="1:4" x14ac:dyDescent="0.2">
      <c r="A2569" s="5">
        <v>2508</v>
      </c>
      <c r="B2569" s="1890">
        <f>'Acct Summary 7-8'!D13</f>
        <v>987337</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987337</v>
      </c>
      <c r="C2573" s="2" t="s">
        <v>569</v>
      </c>
      <c r="D2573" s="2" t="str">
        <f t="shared" si="39"/>
        <v>Error?</v>
      </c>
    </row>
    <row r="2574" spans="1:4" x14ac:dyDescent="0.2">
      <c r="A2574" s="5">
        <v>2513</v>
      </c>
      <c r="B2574" s="1890">
        <f>'Acct Summary 7-8'!D20</f>
        <v>20741</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331787</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513289</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845076</v>
      </c>
      <c r="C2595" s="2" t="s">
        <v>569</v>
      </c>
      <c r="D2595" s="2" t="str">
        <f t="shared" si="39"/>
        <v>Error?</v>
      </c>
    </row>
    <row r="2596" spans="1:4" x14ac:dyDescent="0.2">
      <c r="A2596" s="5">
        <v>2535</v>
      </c>
      <c r="B2596" s="1890">
        <f>'Acct Summary 7-8'!F13</f>
        <v>640926</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640926</v>
      </c>
      <c r="C2600" s="2" t="s">
        <v>569</v>
      </c>
      <c r="D2600" s="2" t="str">
        <f t="shared" si="39"/>
        <v>Error?</v>
      </c>
    </row>
    <row r="2601" spans="1:4" x14ac:dyDescent="0.2">
      <c r="A2601" s="5">
        <v>2540</v>
      </c>
      <c r="B2601" s="1890">
        <f>'Acct Summary 7-8'!F20</f>
        <v>204150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516361</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516361</v>
      </c>
      <c r="C2606" s="2" t="s">
        <v>569</v>
      </c>
      <c r="D2606" s="2" t="str">
        <f t="shared" si="39"/>
        <v>Error?</v>
      </c>
    </row>
    <row r="2607" spans="1:4" x14ac:dyDescent="0.2">
      <c r="A2607" s="5">
        <v>2546</v>
      </c>
      <c r="B2607" s="1890">
        <f>'Acct Summary 7-8'!G12</f>
        <v>129701</v>
      </c>
      <c r="C2607" s="2" t="s">
        <v>569</v>
      </c>
      <c r="D2607" s="2" t="str">
        <f t="shared" si="39"/>
        <v>Error?</v>
      </c>
    </row>
    <row r="2608" spans="1:4" x14ac:dyDescent="0.2">
      <c r="A2608" s="5">
        <v>2547</v>
      </c>
      <c r="B2608" s="1890">
        <f>'Acct Summary 7-8'!G13</f>
        <v>215483</v>
      </c>
      <c r="C2608" s="2" t="s">
        <v>569</v>
      </c>
      <c r="D2608" s="2" t="str">
        <f t="shared" si="39"/>
        <v>Error?</v>
      </c>
    </row>
    <row r="2609" spans="1:4" x14ac:dyDescent="0.2">
      <c r="A2609" s="5">
        <v>2548</v>
      </c>
      <c r="B2609" s="1890">
        <f>'Acct Summary 7-8'!G14</f>
        <v>26314</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371498</v>
      </c>
      <c r="C2612" s="2" t="s">
        <v>569</v>
      </c>
      <c r="D2612" s="2" t="str">
        <f t="shared" si="39"/>
        <v>Error?</v>
      </c>
    </row>
    <row r="2613" spans="1:4" x14ac:dyDescent="0.2">
      <c r="A2613" s="5">
        <v>2552</v>
      </c>
      <c r="B2613" s="1890">
        <f>'Acct Summary 7-8'!G20</f>
        <v>144863</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1936013</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1936013</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1904171</v>
      </c>
      <c r="C2634" s="2" t="s">
        <v>569</v>
      </c>
      <c r="D2634" s="2" t="str">
        <f t="shared" si="40"/>
        <v>Error?</v>
      </c>
    </row>
    <row r="2635" spans="1:4" x14ac:dyDescent="0.2">
      <c r="A2635" s="5">
        <v>2574</v>
      </c>
      <c r="B2635" s="1890">
        <f>'Acct Summary 7-8'!E17</f>
        <v>1904171</v>
      </c>
      <c r="C2635" s="2" t="s">
        <v>569</v>
      </c>
      <c r="D2635" s="2" t="str">
        <f t="shared" si="40"/>
        <v>Error?</v>
      </c>
    </row>
    <row r="2636" spans="1:4" x14ac:dyDescent="0.2">
      <c r="A2636" s="5">
        <v>2575</v>
      </c>
      <c r="B2636" s="1890">
        <f>'Acct Summary 7-8'!E20</f>
        <v>31842</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17381</v>
      </c>
      <c r="C2655" s="2" t="s">
        <v>569</v>
      </c>
      <c r="D2655" s="2" t="str">
        <f t="shared" si="40"/>
        <v>Error?</v>
      </c>
    </row>
    <row r="2656" spans="1:4" x14ac:dyDescent="0.2">
      <c r="A2656" s="5">
        <v>2595</v>
      </c>
      <c r="B2656" s="1890">
        <f>'Acct Summary 7-8'!H6</f>
        <v>50000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67381</v>
      </c>
      <c r="C2658" s="2" t="s">
        <v>569</v>
      </c>
      <c r="D2658" s="2" t="str">
        <f t="shared" si="40"/>
        <v>Error?</v>
      </c>
    </row>
    <row r="2659" spans="1:4" x14ac:dyDescent="0.2">
      <c r="A2659" s="5">
        <v>2598</v>
      </c>
      <c r="B2659" s="1890">
        <f>'Acct Summary 7-8'!H13</f>
        <v>400777</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400777</v>
      </c>
      <c r="C2661" s="2" t="s">
        <v>569</v>
      </c>
      <c r="D2661" s="2" t="str">
        <f t="shared" si="40"/>
        <v>Error?</v>
      </c>
    </row>
    <row r="2662" spans="1:4" x14ac:dyDescent="0.2">
      <c r="A2662" s="5">
        <v>2601</v>
      </c>
      <c r="B2662" s="1890">
        <f>'Acct Summary 7-8'!H20</f>
        <v>-333396</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157770</v>
      </c>
      <c r="D2718" s="2" t="str">
        <f t="shared" si="41"/>
        <v>Error?</v>
      </c>
    </row>
    <row r="2719" spans="1:4" x14ac:dyDescent="0.2">
      <c r="A2719" s="5">
        <v>2658</v>
      </c>
      <c r="B2719" s="1890">
        <f>'Expenditures 15-22'!D51</f>
        <v>29738</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405</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1732</v>
      </c>
      <c r="D2723" s="2" t="str">
        <f t="shared" si="41"/>
        <v>Error?</v>
      </c>
    </row>
    <row r="2724" spans="1:4" x14ac:dyDescent="0.2">
      <c r="A2724" s="5">
        <v>2663</v>
      </c>
      <c r="B2724" s="1890">
        <f>'Expenditures 15-22'!K51</f>
        <v>189645</v>
      </c>
      <c r="C2724" s="2" t="s">
        <v>569</v>
      </c>
      <c r="D2724" s="2" t="str">
        <f t="shared" si="41"/>
        <v>Error?</v>
      </c>
    </row>
    <row r="2725" spans="1:4" x14ac:dyDescent="0.2">
      <c r="A2725" s="5">
        <v>2664</v>
      </c>
      <c r="B2725" s="1890">
        <f>'Expenditures 15-22'!D247</f>
        <v>9213</v>
      </c>
      <c r="D2725" s="2" t="str">
        <f t="shared" si="41"/>
        <v>Error?</v>
      </c>
    </row>
    <row r="2726" spans="1:4" x14ac:dyDescent="0.2">
      <c r="A2726" s="5">
        <v>2665</v>
      </c>
      <c r="B2726" s="1890">
        <f>'Expenditures 15-22'!K247</f>
        <v>9213</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48407</v>
      </c>
      <c r="C2789" s="2" t="s">
        <v>569</v>
      </c>
      <c r="D2789" s="2" t="str">
        <f t="shared" si="42"/>
        <v>Error?</v>
      </c>
    </row>
    <row r="2790" spans="1:4" x14ac:dyDescent="0.2">
      <c r="A2790" s="5">
        <v>2729</v>
      </c>
      <c r="B2790" s="1890">
        <f>'Expenditures 15-22'!E102</f>
        <v>48407</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4435931</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98553</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4435931</v>
      </c>
      <c r="D2912" s="2" t="str">
        <f t="shared" si="44"/>
        <v>Error?</v>
      </c>
    </row>
    <row r="2913" spans="1:4" x14ac:dyDescent="0.2">
      <c r="A2913" s="5">
        <v>2852</v>
      </c>
      <c r="B2913" s="1890">
        <f>'Assets-Liab 5-6'!I41</f>
        <v>4435931</v>
      </c>
      <c r="C2913" s="2" t="s">
        <v>569</v>
      </c>
      <c r="D2913" s="2" t="str">
        <f t="shared" si="44"/>
        <v>Error?</v>
      </c>
    </row>
    <row r="2914" spans="1:4" x14ac:dyDescent="0.2">
      <c r="A2914" s="5">
        <v>2853</v>
      </c>
      <c r="B2914" s="1890">
        <f>'Assets-Liab 5-6'!L33</f>
        <v>98553</v>
      </c>
      <c r="D2914" s="2" t="str">
        <f t="shared" si="44"/>
        <v>Error?</v>
      </c>
    </row>
    <row r="2915" spans="1:4" x14ac:dyDescent="0.2">
      <c r="A2915" s="10">
        <v>2854</v>
      </c>
      <c r="B2915" s="1890"/>
      <c r="D2915" s="2" t="str">
        <f t="shared" si="44"/>
        <v>OK</v>
      </c>
    </row>
    <row r="2916" spans="1:4" x14ac:dyDescent="0.2">
      <c r="A2916" s="5">
        <v>2855</v>
      </c>
      <c r="B2916" s="1890">
        <f>'Assets-Liab 5-6'!L34</f>
        <v>98553</v>
      </c>
      <c r="C2916" s="2" t="s">
        <v>569</v>
      </c>
      <c r="D2916" s="2" t="str">
        <f t="shared" si="44"/>
        <v>Error?</v>
      </c>
    </row>
    <row r="2917" spans="1:4" x14ac:dyDescent="0.2">
      <c r="A2917" s="5">
        <v>2856</v>
      </c>
      <c r="B2917" s="1890">
        <f>'Assets-Liab 5-6'!L41</f>
        <v>98553</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48407</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48407</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108688</v>
      </c>
      <c r="D3055" s="2" t="str">
        <f t="shared" si="46"/>
        <v>Error?</v>
      </c>
    </row>
    <row r="3056" spans="1:4" x14ac:dyDescent="0.2">
      <c r="A3056" s="5">
        <v>2995</v>
      </c>
      <c r="B3056" s="1890">
        <f>'Expenditures 15-22'!D10</f>
        <v>35026</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126187</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269901</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1456</v>
      </c>
      <c r="D3064" s="2" t="str">
        <f t="shared" si="46"/>
        <v>Error?</v>
      </c>
    </row>
    <row r="3065" spans="1:4" x14ac:dyDescent="0.2">
      <c r="A3065" s="5">
        <v>3004</v>
      </c>
      <c r="B3065" s="1890">
        <f>'Expenditures 15-22'!K219</f>
        <v>1456</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143448</v>
      </c>
      <c r="C3225" s="2" t="s">
        <v>569</v>
      </c>
      <c r="D3225" s="2" t="str">
        <f t="shared" si="49"/>
        <v>Error?</v>
      </c>
    </row>
    <row r="3226" spans="1:4" x14ac:dyDescent="0.2">
      <c r="A3226" s="5">
        <v>3165</v>
      </c>
      <c r="B3226" s="1890">
        <f>'Acct Summary 7-8'!I8</f>
        <v>143448</v>
      </c>
      <c r="C3226" s="2" t="s">
        <v>569</v>
      </c>
      <c r="D3226" s="2" t="str">
        <f t="shared" si="49"/>
        <v>Error?</v>
      </c>
    </row>
    <row r="3227" spans="1:4" x14ac:dyDescent="0.2">
      <c r="A3227" s="5">
        <v>3166</v>
      </c>
      <c r="B3227" s="1890">
        <f>'Acct Summary 7-8'!I20</f>
        <v>143448</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513250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513250</v>
      </c>
      <c r="C3232" s="2" t="s">
        <v>569</v>
      </c>
      <c r="D3232" s="2" t="str">
        <f t="shared" si="49"/>
        <v>Error?</v>
      </c>
    </row>
    <row r="3233" spans="1:4" x14ac:dyDescent="0.2">
      <c r="A3233" s="5">
        <v>3172</v>
      </c>
      <c r="B3233" s="1890">
        <f>'Acct Summary 7-8'!C78</f>
        <v>2205342</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20741</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204150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144863</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31842</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500000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500000</v>
      </c>
      <c r="C3299" s="2" t="s">
        <v>569</v>
      </c>
      <c r="D3299" s="2" t="str">
        <f t="shared" si="50"/>
        <v>Error?</v>
      </c>
    </row>
    <row r="3300" spans="1:4" x14ac:dyDescent="0.2">
      <c r="A3300" s="5">
        <v>3239</v>
      </c>
      <c r="B3300" s="1890">
        <f>'Acct Summary 7-8'!H78</f>
        <v>166604</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1000000</v>
      </c>
      <c r="C3318" s="2" t="s">
        <v>569</v>
      </c>
      <c r="D3318" s="2" t="str">
        <f t="shared" si="50"/>
        <v>Error?</v>
      </c>
    </row>
    <row r="3319" spans="1:4" x14ac:dyDescent="0.2">
      <c r="A3319" s="5">
        <v>3258</v>
      </c>
      <c r="B3319" s="1890">
        <f>'Acct Summary 7-8'!I77</f>
        <v>-1000000</v>
      </c>
      <c r="C3319" s="2" t="s">
        <v>569</v>
      </c>
      <c r="D3319" s="2" t="str">
        <f t="shared" si="50"/>
        <v>Error?</v>
      </c>
    </row>
    <row r="3320" spans="1:4" x14ac:dyDescent="0.2">
      <c r="A3320" s="5">
        <v>3259</v>
      </c>
      <c r="B3320" s="1890">
        <f>'Acct Summary 7-8'!I78</f>
        <v>-856552</v>
      </c>
      <c r="C3320" s="2" t="s">
        <v>569</v>
      </c>
      <c r="D3320" s="2" t="str">
        <f t="shared" si="50"/>
        <v>Error?</v>
      </c>
    </row>
    <row r="3321" spans="1:4" x14ac:dyDescent="0.2">
      <c r="A3321" s="5">
        <v>3260</v>
      </c>
      <c r="B3321" s="1890">
        <f>'Acct Summary 7-8'!I79</f>
        <v>5292483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4435931</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891025</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173247</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40149</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60728</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1165149</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57773</v>
      </c>
      <c r="D3387" s="2" t="str">
        <f t="shared" si="51"/>
        <v>Error?</v>
      </c>
    </row>
    <row r="3388" spans="1:4" x14ac:dyDescent="0.2">
      <c r="A3388" s="5">
        <v>3327</v>
      </c>
      <c r="B3388" s="1890">
        <f>'Expenditures 15-22'!D217</f>
        <v>60113</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57773</v>
      </c>
      <c r="C3390" s="2" t="s">
        <v>569</v>
      </c>
      <c r="D3390" s="2" t="str">
        <f t="shared" si="51"/>
        <v>Error?</v>
      </c>
    </row>
    <row r="3391" spans="1:4" x14ac:dyDescent="0.2">
      <c r="A3391" s="5">
        <v>3330</v>
      </c>
      <c r="B3391" s="1890">
        <f>'Expenditures 15-22'!K217</f>
        <v>60113</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7545280</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365547</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1561521</v>
      </c>
      <c r="D3417" s="2" t="str">
        <f t="shared" si="52"/>
        <v>Error?</v>
      </c>
    </row>
    <row r="3418" spans="1:4" x14ac:dyDescent="0.2">
      <c r="A3418" s="10">
        <v>3357</v>
      </c>
      <c r="B3418" s="1890"/>
      <c r="D3418" s="2" t="str">
        <f t="shared" si="52"/>
        <v>OK</v>
      </c>
    </row>
    <row r="3419" spans="1:4" x14ac:dyDescent="0.2">
      <c r="A3419" s="5">
        <v>3358</v>
      </c>
      <c r="B3419" s="1890">
        <f>'Assets-Liab 5-6'!F4</f>
        <v>583726</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883245</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938632</v>
      </c>
      <c r="D3425" s="2" t="str">
        <f t="shared" si="52"/>
        <v>Error?</v>
      </c>
    </row>
    <row r="3426" spans="1:4" x14ac:dyDescent="0.2">
      <c r="A3426" s="10">
        <v>3365</v>
      </c>
      <c r="B3426" s="1890"/>
      <c r="D3426" s="2" t="str">
        <f t="shared" si="52"/>
        <v>OK</v>
      </c>
    </row>
    <row r="3427" spans="1:4" x14ac:dyDescent="0.2">
      <c r="A3427" s="5">
        <v>3366</v>
      </c>
      <c r="B3427" s="1890">
        <f>'Assets-Liab 5-6'!I4</f>
        <v>4435931</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98553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239502</v>
      </c>
      <c r="C3446" s="2" t="s">
        <v>569</v>
      </c>
      <c r="D3446" s="2" t="str">
        <f t="shared" si="52"/>
        <v>Error?</v>
      </c>
    </row>
    <row r="3447" spans="1:4" x14ac:dyDescent="0.2">
      <c r="A3447" s="5">
        <v>3386</v>
      </c>
      <c r="B3447" s="1890">
        <f>'Tax Sched 23'!D16</f>
        <v>112381</v>
      </c>
      <c r="C3447" s="2" t="s">
        <v>569</v>
      </c>
      <c r="D3447" s="2" t="str">
        <f t="shared" si="52"/>
        <v>Error?</v>
      </c>
    </row>
    <row r="3448" spans="1:4" x14ac:dyDescent="0.2">
      <c r="A3448" s="5">
        <v>3387</v>
      </c>
      <c r="B3448" s="1890">
        <f>'Tax Sched 23'!C16</f>
        <v>127121</v>
      </c>
      <c r="D3448" s="2" t="str">
        <f t="shared" si="52"/>
        <v>Error?</v>
      </c>
    </row>
    <row r="3449" spans="1:4" x14ac:dyDescent="0.2">
      <c r="A3449" s="5">
        <v>3388</v>
      </c>
      <c r="B3449" s="1890">
        <f>'Tax Sched 23'!F16</f>
        <v>121412</v>
      </c>
      <c r="C3449" s="2" t="s">
        <v>569</v>
      </c>
      <c r="D3449" s="2" t="str">
        <f t="shared" si="52"/>
        <v>Error?</v>
      </c>
    </row>
    <row r="3450" spans="1:4" x14ac:dyDescent="0.2">
      <c r="A3450" s="5">
        <v>3389</v>
      </c>
      <c r="B3450" s="1890">
        <f>'Tax Sched 23'!E16</f>
        <v>248533</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13250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68521</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68521</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68521</v>
      </c>
      <c r="D3567" s="2" t="str">
        <f t="shared" si="54"/>
        <v>Error?</v>
      </c>
    </row>
    <row r="3568" spans="1:4" x14ac:dyDescent="0.2">
      <c r="A3568" s="5">
        <v>3507</v>
      </c>
      <c r="B3568" s="1890">
        <f>'Assets-Liab 5-6'!K41</f>
        <v>68521</v>
      </c>
      <c r="C3568" s="2" t="s">
        <v>569</v>
      </c>
      <c r="D3568" s="2" t="str">
        <f t="shared" si="54"/>
        <v>Error?</v>
      </c>
    </row>
    <row r="3569" spans="1:4" x14ac:dyDescent="0.2">
      <c r="A3569" s="5">
        <v>3508</v>
      </c>
      <c r="B3569" s="1890">
        <f>'Acct Summary 7-8'!K4</f>
        <v>4279</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4279</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4279</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4279</v>
      </c>
      <c r="C3588" s="2" t="s">
        <v>569</v>
      </c>
      <c r="D3588" s="2" t="str">
        <f t="shared" si="55"/>
        <v>Error?</v>
      </c>
    </row>
    <row r="3589" spans="1:4" x14ac:dyDescent="0.2">
      <c r="A3589" s="5">
        <v>3528</v>
      </c>
      <c r="B3589" s="1890">
        <f>'Acct Summary 7-8'!K79</f>
        <v>64242</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68521</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4279</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244080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5803265</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20626800</v>
      </c>
      <c r="C4122" s="2" t="s">
        <v>569</v>
      </c>
      <c r="D4122" s="2" t="str">
        <f t="shared" si="63"/>
        <v>Error?</v>
      </c>
    </row>
    <row r="4123" spans="1:4" x14ac:dyDescent="0.2">
      <c r="A4123" s="5">
        <v>4062</v>
      </c>
      <c r="B4123" s="1890">
        <f>'Acct Summary 7-8'!D10</f>
        <v>1008078</v>
      </c>
      <c r="C4123" s="2" t="s">
        <v>569</v>
      </c>
      <c r="D4123" s="2" t="str">
        <f t="shared" si="63"/>
        <v>Error?</v>
      </c>
    </row>
    <row r="4124" spans="1:4" x14ac:dyDescent="0.2">
      <c r="A4124" s="5">
        <v>4063</v>
      </c>
      <c r="B4124" s="1890">
        <f>'Acct Summary 7-8'!E10</f>
        <v>1936013</v>
      </c>
      <c r="C4124" s="2" t="s">
        <v>569</v>
      </c>
      <c r="D4124" s="2" t="str">
        <f t="shared" si="63"/>
        <v>Error?</v>
      </c>
    </row>
    <row r="4125" spans="1:4" x14ac:dyDescent="0.2">
      <c r="A4125" s="5">
        <v>4064</v>
      </c>
      <c r="B4125" s="1890">
        <f>'Acct Summary 7-8'!F10</f>
        <v>845076</v>
      </c>
      <c r="C4125" s="2" t="s">
        <v>569</v>
      </c>
      <c r="D4125" s="2" t="str">
        <f t="shared" si="63"/>
        <v>Error?</v>
      </c>
    </row>
    <row r="4126" spans="1:4" x14ac:dyDescent="0.2">
      <c r="A4126" s="5">
        <v>4065</v>
      </c>
      <c r="B4126" s="1890">
        <f>'Acct Summary 7-8'!G10</f>
        <v>516361</v>
      </c>
      <c r="C4126" s="2" t="s">
        <v>569</v>
      </c>
      <c r="D4126" s="2" t="str">
        <f t="shared" si="63"/>
        <v>Error?</v>
      </c>
    </row>
    <row r="4127" spans="1:4" x14ac:dyDescent="0.2">
      <c r="A4127" s="5">
        <v>4066</v>
      </c>
      <c r="B4127" s="1890">
        <f>'Acct Summary 7-8'!H10</f>
        <v>67381</v>
      </c>
      <c r="C4127" s="2" t="s">
        <v>569</v>
      </c>
      <c r="D4127" s="2" t="str">
        <f t="shared" si="63"/>
        <v>Error?</v>
      </c>
    </row>
    <row r="4128" spans="1:4" x14ac:dyDescent="0.2">
      <c r="A4128" s="5">
        <v>4067</v>
      </c>
      <c r="B4128" s="1890">
        <f>'Acct Summary 7-8'!I10</f>
        <v>143448</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4279</v>
      </c>
      <c r="C4130" s="2" t="s">
        <v>569</v>
      </c>
      <c r="D4130" s="2" t="str">
        <f t="shared" si="63"/>
        <v>Error?</v>
      </c>
    </row>
    <row r="4131" spans="1:4" x14ac:dyDescent="0.2">
      <c r="A4131" s="5">
        <v>4070</v>
      </c>
      <c r="B4131" s="1890">
        <f>'Acct Summary 7-8'!C18</f>
        <v>5803265</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18934708</v>
      </c>
      <c r="C4136" s="2" t="s">
        <v>569</v>
      </c>
      <c r="D4136" s="2" t="str">
        <f t="shared" si="63"/>
        <v>Error?</v>
      </c>
    </row>
    <row r="4137" spans="1:4" x14ac:dyDescent="0.2">
      <c r="A4137" s="5">
        <v>4076</v>
      </c>
      <c r="B4137" s="1890">
        <f>'Acct Summary 7-8'!D19</f>
        <v>987337</v>
      </c>
      <c r="C4137" s="2" t="s">
        <v>569</v>
      </c>
      <c r="D4137" s="2" t="str">
        <f t="shared" si="63"/>
        <v>Error?</v>
      </c>
    </row>
    <row r="4138" spans="1:4" x14ac:dyDescent="0.2">
      <c r="A4138" s="5">
        <v>4077</v>
      </c>
      <c r="B4138" s="1890">
        <f>'Acct Summary 7-8'!E19</f>
        <v>1904171</v>
      </c>
      <c r="C4138" s="2" t="s">
        <v>569</v>
      </c>
      <c r="D4138" s="2" t="str">
        <f t="shared" si="63"/>
        <v>Error?</v>
      </c>
    </row>
    <row r="4139" spans="1:4" x14ac:dyDescent="0.2">
      <c r="A4139" s="5">
        <v>4078</v>
      </c>
      <c r="B4139" s="1890">
        <f>'Acct Summary 7-8'!F19</f>
        <v>640926</v>
      </c>
      <c r="C4139" s="2" t="s">
        <v>569</v>
      </c>
      <c r="D4139" s="2" t="str">
        <f t="shared" si="63"/>
        <v>Error?</v>
      </c>
    </row>
    <row r="4140" spans="1:4" x14ac:dyDescent="0.2">
      <c r="A4140" s="5">
        <v>4079</v>
      </c>
      <c r="B4140" s="1890">
        <f>'Acct Summary 7-8'!G19</f>
        <v>371498</v>
      </c>
      <c r="C4140" s="2" t="s">
        <v>569</v>
      </c>
      <c r="D4140" s="2" t="str">
        <f t="shared" si="63"/>
        <v>Error?</v>
      </c>
    </row>
    <row r="4141" spans="1:4" x14ac:dyDescent="0.2">
      <c r="A4141" s="5">
        <v>4080</v>
      </c>
      <c r="B4141" s="1890">
        <f>'Acct Summary 7-8'!H19</f>
        <v>400777</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4520529</v>
      </c>
      <c r="C4171" s="2" t="s">
        <v>569</v>
      </c>
      <c r="D4171" s="2" t="str">
        <f t="shared" si="64"/>
        <v>Error?</v>
      </c>
    </row>
    <row r="4172" spans="1:4" x14ac:dyDescent="0.2">
      <c r="A4172" s="5">
        <v>4111</v>
      </c>
      <c r="B4172" s="1890">
        <f>'Short-Term Long-Term Debt 24'!J49</f>
        <v>2959008</v>
      </c>
      <c r="C4172" s="2" t="s">
        <v>569</v>
      </c>
      <c r="D4172" s="2" t="str">
        <f t="shared" si="64"/>
        <v>Error?</v>
      </c>
    </row>
    <row r="4173" spans="1:4" x14ac:dyDescent="0.2">
      <c r="A4173" s="5">
        <v>4112</v>
      </c>
      <c r="B4173" s="1890">
        <f>'Short-Term Long-Term Debt 24'!H49</f>
        <v>986594</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2569</v>
      </c>
      <c r="C4265" s="2" t="s">
        <v>569</v>
      </c>
      <c r="D4265" s="2" t="str">
        <f t="shared" si="65"/>
        <v>Error?</v>
      </c>
      <c r="E4265" s="125"/>
    </row>
    <row r="4266" spans="1:5" x14ac:dyDescent="0.2">
      <c r="A4266" s="12">
        <v>4205</v>
      </c>
      <c r="B4266" s="1890">
        <f>('FP Info 3'!F10)*100000</f>
        <v>366.6</v>
      </c>
      <c r="C4266" s="2" t="s">
        <v>569</v>
      </c>
      <c r="D4266" s="2" t="str">
        <f t="shared" si="65"/>
        <v>Error?</v>
      </c>
      <c r="E4266" s="125"/>
    </row>
    <row r="4267" spans="1:5" x14ac:dyDescent="0.2">
      <c r="A4267" s="12">
        <v>4206</v>
      </c>
      <c r="B4267" s="1890">
        <f>('FP Info 3'!H10)*100000</f>
        <v>126.6</v>
      </c>
      <c r="C4267" s="2" t="s">
        <v>569</v>
      </c>
      <c r="D4267" s="2" t="str">
        <f t="shared" si="65"/>
        <v>Error?</v>
      </c>
      <c r="E4267" s="125"/>
    </row>
    <row r="4268" spans="1:5" x14ac:dyDescent="0.2">
      <c r="A4268" s="12">
        <v>4207</v>
      </c>
      <c r="B4268" s="1890">
        <f>('FP Info 3'!J10)*100000</f>
        <v>3062</v>
      </c>
      <c r="C4268" s="2" t="s">
        <v>569</v>
      </c>
      <c r="D4268" s="2" t="str">
        <f t="shared" si="65"/>
        <v>Error?</v>
      </c>
    </row>
    <row r="4269" spans="1:5" x14ac:dyDescent="0.2">
      <c r="A4269" s="12">
        <v>4208</v>
      </c>
      <c r="B4269" s="1890">
        <f>'FP Info 3'!J16</f>
        <v>12930484</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34555</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70896</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19685</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861</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9166</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30113</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2.5</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253347140</v>
      </c>
      <c r="D4995" s="2" t="str">
        <f t="shared" si="77"/>
        <v>Error?</v>
      </c>
    </row>
    <row r="4996" spans="1:4" x14ac:dyDescent="0.2">
      <c r="A4996" s="12">
        <v>4935</v>
      </c>
      <c r="B4996" s="1890">
        <f>'FP Info 3'!H31</f>
        <v>17480952.66</v>
      </c>
      <c r="D4996" s="2" t="str">
        <f t="shared" si="77"/>
        <v>Error?</v>
      </c>
    </row>
    <row r="4997" spans="1:4" x14ac:dyDescent="0.2">
      <c r="A4997" s="12">
        <v>4936</v>
      </c>
      <c r="B4997" s="1890">
        <f>'FP Info 3'!H37</f>
        <v>4520529</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6211388</v>
      </c>
      <c r="D5061" s="2" t="str">
        <f t="shared" si="78"/>
        <v>Error?</v>
      </c>
    </row>
    <row r="5062" spans="1:4" x14ac:dyDescent="0.2">
      <c r="A5062" s="10">
        <v>5001</v>
      </c>
      <c r="B5062" s="1890"/>
      <c r="D5062" s="2" t="str">
        <f t="shared" si="78"/>
        <v>OK</v>
      </c>
    </row>
    <row r="5063" spans="1:4" x14ac:dyDescent="0.2">
      <c r="A5063" s="5">
        <v>5002</v>
      </c>
      <c r="B5063" s="1890">
        <f>'Revenues 9-14'!C7</f>
        <v>2701</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6214089</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85556</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85556</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163941</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163941</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28041</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79</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125219</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30118</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30118</v>
      </c>
      <c r="C5102" s="2" t="s">
        <v>569</v>
      </c>
      <c r="D5102" s="2" t="str">
        <f t="shared" si="78"/>
        <v>Error?</v>
      </c>
    </row>
    <row r="5103" spans="1:4" x14ac:dyDescent="0.2">
      <c r="A5103" s="5">
        <v>5042</v>
      </c>
      <c r="B5103" s="1890">
        <f>'Revenues 9-14'!C84</f>
        <v>155079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155079</v>
      </c>
      <c r="C5112" s="2" t="s">
        <v>569</v>
      </c>
      <c r="D5112" s="2" t="str">
        <f t="shared" si="78"/>
        <v>Error?</v>
      </c>
    </row>
    <row r="5113" spans="1:4" x14ac:dyDescent="0.2">
      <c r="A5113" s="5">
        <v>5052</v>
      </c>
      <c r="B5113" s="1890">
        <f>'Revenues 9-14'!C95</f>
        <v>141522</v>
      </c>
      <c r="D5113" s="2" t="str">
        <f t="shared" si="78"/>
        <v>Error?</v>
      </c>
    </row>
    <row r="5114" spans="1:4" x14ac:dyDescent="0.2">
      <c r="A5114" s="5">
        <v>5053</v>
      </c>
      <c r="B5114" s="1890">
        <f>'Revenues 9-14'!C96</f>
        <v>24165</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14629</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141270</v>
      </c>
      <c r="D5119" s="2" t="str">
        <f t="shared" ref="D5119:D5182" si="79">IF(ISBLANK(B5119),"OK",IF(A5119-B5119=0,"OK","Error?"))</f>
        <v>Error?</v>
      </c>
    </row>
    <row r="5120" spans="1:4" x14ac:dyDescent="0.2">
      <c r="A5120" s="5">
        <v>5059</v>
      </c>
      <c r="B5120" s="1890">
        <f>'Revenues 9-14'!C108</f>
        <v>321586</v>
      </c>
      <c r="C5120" s="2" t="s">
        <v>569</v>
      </c>
      <c r="D5120" s="2" t="str">
        <f t="shared" si="79"/>
        <v>Error?</v>
      </c>
    </row>
    <row r="5121" spans="1:4" x14ac:dyDescent="0.2">
      <c r="A5121" s="5">
        <v>5060</v>
      </c>
      <c r="B5121" s="1890">
        <f>'Revenues 9-14'!C109</f>
        <v>7095588</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6100895</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6100895</v>
      </c>
      <c r="C5132" s="2" t="s">
        <v>569</v>
      </c>
      <c r="D5132" s="2" t="str">
        <f t="shared" si="79"/>
        <v>Error?</v>
      </c>
    </row>
    <row r="5133" spans="1:4" x14ac:dyDescent="0.2">
      <c r="A5133" s="5">
        <v>5072</v>
      </c>
      <c r="B5133" s="1890">
        <f>'Revenues 9-14'!C125</f>
        <v>3414</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12041</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15455</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3197</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470979</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489631</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6590526</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156404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51173</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207577</v>
      </c>
      <c r="C5246" s="2" t="s">
        <v>569</v>
      </c>
      <c r="D5246" s="2" t="str">
        <f t="shared" si="80"/>
        <v>Error?</v>
      </c>
    </row>
    <row r="5247" spans="1:4" x14ac:dyDescent="0.2">
      <c r="A5247" s="5">
        <v>5186</v>
      </c>
      <c r="B5247" s="1890">
        <f>'Revenues 9-14'!C200</f>
        <v>278894</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861</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313449</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31657</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412802</v>
      </c>
      <c r="D5278" s="2" t="str">
        <f t="shared" si="81"/>
        <v>Error?</v>
      </c>
    </row>
    <row r="5279" spans="1:4" x14ac:dyDescent="0.2">
      <c r="A5279" s="5">
        <v>5218</v>
      </c>
      <c r="B5279" s="1890">
        <f>'Revenues 9-14'!C214</f>
        <v>41215</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485674</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1137421</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1137421</v>
      </c>
      <c r="C5326" s="2" t="s">
        <v>569</v>
      </c>
      <c r="D5326" s="2" t="str">
        <f t="shared" si="82"/>
        <v>Error?</v>
      </c>
    </row>
    <row r="5327" spans="1:5" x14ac:dyDescent="0.2">
      <c r="A5327" s="5">
        <v>5266</v>
      </c>
      <c r="B5327" s="1890">
        <f>'Revenues 9-14'!C268</f>
        <v>14823535</v>
      </c>
      <c r="C5327" s="2" t="s">
        <v>569</v>
      </c>
      <c r="D5327" s="2" t="str">
        <f t="shared" si="82"/>
        <v>Error?</v>
      </c>
    </row>
    <row r="5328" spans="1:5" x14ac:dyDescent="0.2">
      <c r="A5328" s="5">
        <v>5267</v>
      </c>
      <c r="B5328" s="1890">
        <f>'Revenues 9-14'!D5</f>
        <v>891205</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891205</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8114</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8114</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8759</v>
      </c>
      <c r="D5354" s="2" t="str">
        <f t="shared" si="82"/>
        <v>Error?</v>
      </c>
    </row>
    <row r="5355" spans="1:4" x14ac:dyDescent="0.2">
      <c r="A5355" s="5">
        <v>5294</v>
      </c>
      <c r="B5355" s="1890">
        <f>'Revenues 9-14'!D108</f>
        <v>8759</v>
      </c>
      <c r="C5355" s="2" t="s">
        <v>569</v>
      </c>
      <c r="D5355" s="2" t="str">
        <f t="shared" si="82"/>
        <v>Error?</v>
      </c>
    </row>
    <row r="5356" spans="1:4" x14ac:dyDescent="0.2">
      <c r="A5356" s="5">
        <v>5295</v>
      </c>
      <c r="B5356" s="1890">
        <f>'Revenues 9-14'!D109</f>
        <v>908078</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100000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100000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100000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1008078</v>
      </c>
      <c r="C5508" s="2" t="s">
        <v>569</v>
      </c>
      <c r="D5508" s="2" t="str">
        <f t="shared" si="85"/>
        <v>Error?</v>
      </c>
    </row>
    <row r="5509" spans="1:4" x14ac:dyDescent="0.2">
      <c r="A5509" s="5">
        <v>5448</v>
      </c>
      <c r="B5509" s="1890">
        <f>'Revenues 9-14'!E5</f>
        <v>1909347</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1909347</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26666</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26666</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1936013</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1936013</v>
      </c>
      <c r="C5552" s="2" t="s">
        <v>569</v>
      </c>
      <c r="D5552" s="2" t="str">
        <f t="shared" si="85"/>
        <v>Error?</v>
      </c>
    </row>
    <row r="5553" spans="1:4" x14ac:dyDescent="0.2">
      <c r="A5553" s="5">
        <v>5492</v>
      </c>
      <c r="B5553" s="1890">
        <f>'Revenues 9-14'!F5</f>
        <v>309153</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309153</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11874</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11874</v>
      </c>
      <c r="C5579" s="2" t="s">
        <v>569</v>
      </c>
      <c r="D5579" s="2" t="str">
        <f t="shared" si="86"/>
        <v>Error?</v>
      </c>
    </row>
    <row r="5580" spans="1:4" x14ac:dyDescent="0.2">
      <c r="A5580" s="5">
        <v>5519</v>
      </c>
      <c r="B5580" s="1890">
        <f>'Revenues 9-14'!F65</f>
        <v>10760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10760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331787</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107000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107000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227951</v>
      </c>
      <c r="D5615" s="2" t="str">
        <f t="shared" si="86"/>
        <v>Error?</v>
      </c>
    </row>
    <row r="5616" spans="1:4" x14ac:dyDescent="0.2">
      <c r="A5616" s="10">
        <v>5555</v>
      </c>
      <c r="B5616" s="1890"/>
      <c r="D5616" s="2" t="str">
        <f t="shared" si="86"/>
        <v>OK</v>
      </c>
    </row>
    <row r="5617" spans="1:5" x14ac:dyDescent="0.2">
      <c r="A5617" s="5">
        <v>5556</v>
      </c>
      <c r="B5617" s="1890">
        <f>'Revenues 9-14'!F153</f>
        <v>178338</v>
      </c>
      <c r="D5617" s="2" t="str">
        <f t="shared" si="86"/>
        <v>Error?</v>
      </c>
    </row>
    <row r="5618" spans="1:5" x14ac:dyDescent="0.2">
      <c r="A5618" s="5">
        <v>5557</v>
      </c>
      <c r="B5618" s="1890">
        <f>'Revenues 9-14'!F155</f>
        <v>406289</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406289</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513289</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845076</v>
      </c>
      <c r="C5720" s="2" t="s">
        <v>569</v>
      </c>
      <c r="D5720" s="2" t="str">
        <f t="shared" si="88"/>
        <v>Error?</v>
      </c>
    </row>
    <row r="5721" spans="1:4" x14ac:dyDescent="0.2">
      <c r="A5721" s="5">
        <v>5660</v>
      </c>
      <c r="B5721" s="1890">
        <f>'Revenues 9-14'!G5</f>
        <v>258571</v>
      </c>
      <c r="D5721" s="2" t="str">
        <f t="shared" si="88"/>
        <v>Error?</v>
      </c>
    </row>
    <row r="5722" spans="1:4" x14ac:dyDescent="0.2">
      <c r="A5722" s="5">
        <v>5661</v>
      </c>
      <c r="B5722" s="1890">
        <f>'Revenues 9-14'!G7</f>
        <v>0</v>
      </c>
      <c r="D5722" s="2" t="str">
        <f t="shared" si="88"/>
        <v>Error?</v>
      </c>
    </row>
    <row r="5723" spans="1:4" x14ac:dyDescent="0.2">
      <c r="A5723" s="5">
        <v>5662</v>
      </c>
      <c r="B5723" s="1890">
        <f>'Revenues 9-14'!G8</f>
        <v>239502</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498073</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18288</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18288</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516361</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17381</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17381</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50000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50000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67381</v>
      </c>
      <c r="C5915" s="2" t="s">
        <v>569</v>
      </c>
      <c r="D5915" s="2" t="str">
        <f t="shared" si="91"/>
        <v>Error?</v>
      </c>
    </row>
    <row r="5916" spans="1:4" x14ac:dyDescent="0.2">
      <c r="A5916" s="5">
        <v>5855</v>
      </c>
      <c r="B5916" s="1890">
        <f>'Revenues 9-14'!I5</f>
        <v>6033</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6033</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137415</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137415</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143448</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2701</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2701</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1578</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1578</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4279</v>
      </c>
      <c r="C6023" s="2" t="s">
        <v>569</v>
      </c>
      <c r="D6023" s="2" t="str">
        <f t="shared" si="93"/>
        <v>Error?</v>
      </c>
    </row>
    <row r="6024" spans="1:5" x14ac:dyDescent="0.2">
      <c r="A6024" s="5">
        <v>5963</v>
      </c>
      <c r="B6024" s="1890">
        <f>'Revenues 9-14'!G109</f>
        <v>516361</v>
      </c>
      <c r="C6024" s="2" t="s">
        <v>569</v>
      </c>
      <c r="D6024" s="2" t="str">
        <f t="shared" si="93"/>
        <v>Error?</v>
      </c>
    </row>
    <row r="6025" spans="1:5" x14ac:dyDescent="0.2">
      <c r="A6025" s="5">
        <v>5964</v>
      </c>
      <c r="B6025" s="1890">
        <f>'Revenues 9-14'!H109</f>
        <v>17381</v>
      </c>
      <c r="C6025" s="2" t="s">
        <v>569</v>
      </c>
      <c r="D6025" s="2" t="str">
        <f t="shared" si="93"/>
        <v>Error?</v>
      </c>
    </row>
    <row r="6026" spans="1:5" x14ac:dyDescent="0.2">
      <c r="A6026" s="5">
        <v>5965</v>
      </c>
      <c r="B6026" s="1890">
        <f>'Revenues 9-14'!I109</f>
        <v>143448</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4279</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97099</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25766</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1554.7</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243929</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t="str">
        <f>'Assets-Liab 5-6'!K30</f>
        <v xml:space="preserve"> </v>
      </c>
      <c r="D6177" s="2" t="e">
        <f t="shared" si="95"/>
        <v>#VALUE!</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243929</v>
      </c>
      <c r="D6215" s="2" t="str">
        <f t="shared" si="96"/>
        <v>Error?</v>
      </c>
      <c r="E6215" s="2" t="s">
        <v>189</v>
      </c>
    </row>
    <row r="6216" spans="1:5" x14ac:dyDescent="0.2">
      <c r="A6216">
        <v>6155</v>
      </c>
      <c r="B6216" s="1890">
        <f>'Assets-Liab 5-6'!J41</f>
        <v>243929</v>
      </c>
      <c r="D6216" s="2" t="str">
        <f t="shared" si="96"/>
        <v>Error?</v>
      </c>
      <c r="E6216" s="2" t="s">
        <v>189</v>
      </c>
    </row>
    <row r="6217" spans="1:5" x14ac:dyDescent="0.2">
      <c r="A6217">
        <v>6156</v>
      </c>
      <c r="B6217" s="1890">
        <f>'Assets-Liab 5-6'!J4</f>
        <v>243929</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140713</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140713</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140713</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125507</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125507</v>
      </c>
      <c r="D6229" s="2" t="str">
        <f t="shared" si="96"/>
        <v>Error?</v>
      </c>
      <c r="E6229" s="2" t="s">
        <v>189</v>
      </c>
    </row>
    <row r="6230" spans="1:5" x14ac:dyDescent="0.2">
      <c r="A6230">
        <v>6169</v>
      </c>
      <c r="B6230" s="1890">
        <f>'Acct Summary 7-8'!J20</f>
        <v>15206</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15206</v>
      </c>
      <c r="D6263" s="2" t="str">
        <f t="shared" si="96"/>
        <v>Error?</v>
      </c>
      <c r="E6263" s="2" t="s">
        <v>189</v>
      </c>
    </row>
    <row r="6264" spans="1:5" x14ac:dyDescent="0.2">
      <c r="A6264">
        <v>6203</v>
      </c>
      <c r="B6264" s="1890">
        <f>'Acct Summary 7-8'!J79</f>
        <v>228723</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243929</v>
      </c>
      <c r="D6266" s="2" t="str">
        <f t="shared" si="96"/>
        <v>Error?</v>
      </c>
      <c r="E6266" s="2" t="s">
        <v>189</v>
      </c>
    </row>
    <row r="6267" spans="1:5" x14ac:dyDescent="0.2">
      <c r="A6267">
        <v>6206</v>
      </c>
      <c r="B6267" s="1890">
        <f>'Acct Summary 7-8'!C82</f>
        <v>2205342</v>
      </c>
      <c r="D6267" s="2" t="str">
        <f t="shared" si="96"/>
        <v>Error?</v>
      </c>
      <c r="E6267" s="2" t="s">
        <v>189</v>
      </c>
    </row>
    <row r="6268" spans="1:5" x14ac:dyDescent="0.2">
      <c r="A6268">
        <v>6207</v>
      </c>
      <c r="B6268" s="1890">
        <f>'Acct Summary 7-8'!D82</f>
        <v>20741</v>
      </c>
      <c r="D6268" s="2" t="str">
        <f t="shared" si="96"/>
        <v>Error?</v>
      </c>
      <c r="E6268" s="2" t="s">
        <v>189</v>
      </c>
    </row>
    <row r="6269" spans="1:5" x14ac:dyDescent="0.2">
      <c r="A6269">
        <v>6208</v>
      </c>
      <c r="B6269" s="1890">
        <f>'Acct Summary 7-8'!E82</f>
        <v>31842</v>
      </c>
      <c r="D6269" s="2" t="str">
        <f t="shared" si="96"/>
        <v>Error?</v>
      </c>
      <c r="E6269" s="2" t="s">
        <v>189</v>
      </c>
    </row>
    <row r="6270" spans="1:5" x14ac:dyDescent="0.2">
      <c r="A6270">
        <v>6209</v>
      </c>
      <c r="B6270" s="1890">
        <f>'Acct Summary 7-8'!F82</f>
        <v>204150</v>
      </c>
      <c r="D6270" s="2" t="str">
        <f t="shared" si="96"/>
        <v>Error?</v>
      </c>
      <c r="E6270" s="2" t="s">
        <v>189</v>
      </c>
    </row>
    <row r="6271" spans="1:5" x14ac:dyDescent="0.2">
      <c r="A6271">
        <v>6210</v>
      </c>
      <c r="B6271" s="1890">
        <f>'Acct Summary 7-8'!G82</f>
        <v>144863</v>
      </c>
      <c r="D6271" s="2" t="str">
        <f t="shared" ref="D6271:D6334" si="97">IF(ISBLANK(B6271),"OK",IF(A6271-B6271=0,"OK","Error?"))</f>
        <v>Error?</v>
      </c>
      <c r="E6271" s="2" t="s">
        <v>189</v>
      </c>
    </row>
    <row r="6272" spans="1:5" x14ac:dyDescent="0.2">
      <c r="A6272">
        <v>6211</v>
      </c>
      <c r="B6272" s="1890">
        <f>'Acct Summary 7-8'!H82</f>
        <v>166604</v>
      </c>
      <c r="D6272" s="2" t="str">
        <f t="shared" si="97"/>
        <v>Error?</v>
      </c>
      <c r="E6272" s="2" t="s">
        <v>189</v>
      </c>
    </row>
    <row r="6273" spans="1:5" x14ac:dyDescent="0.2">
      <c r="A6273">
        <v>6212</v>
      </c>
      <c r="B6273" s="1890">
        <f>'Acct Summary 7-8'!I82</f>
        <v>-856552</v>
      </c>
      <c r="D6273" s="2" t="str">
        <f t="shared" si="97"/>
        <v>Error?</v>
      </c>
      <c r="E6273" s="2" t="s">
        <v>189</v>
      </c>
    </row>
    <row r="6274" spans="1:5" x14ac:dyDescent="0.2">
      <c r="A6274">
        <v>6213</v>
      </c>
      <c r="B6274" s="1890">
        <f>'Acct Summary 7-8'!J82</f>
        <v>15206</v>
      </c>
      <c r="D6274" s="2" t="str">
        <f t="shared" si="97"/>
        <v>Error?</v>
      </c>
      <c r="E6274" s="2" t="s">
        <v>189</v>
      </c>
    </row>
    <row r="6275" spans="1:5" x14ac:dyDescent="0.2">
      <c r="A6275">
        <v>6214</v>
      </c>
      <c r="B6275" s="1890">
        <f>'Acct Summary 7-8'!K82</f>
        <v>4279</v>
      </c>
      <c r="D6275" s="2" t="str">
        <f t="shared" si="97"/>
        <v>Error?</v>
      </c>
      <c r="E6275" s="2" t="s">
        <v>189</v>
      </c>
    </row>
    <row r="6276" spans="1:5" x14ac:dyDescent="0.2">
      <c r="A6276">
        <v>6215</v>
      </c>
      <c r="B6276" s="1890">
        <f>'Acct Summary 7-8'!C83</f>
        <v>0.29228100216294162</v>
      </c>
      <c r="D6276" s="2" t="str">
        <f t="shared" si="97"/>
        <v>Error?</v>
      </c>
      <c r="E6276" s="2" t="s">
        <v>189</v>
      </c>
    </row>
    <row r="6277" spans="1:5" x14ac:dyDescent="0.2">
      <c r="A6277">
        <v>6216</v>
      </c>
      <c r="B6277" s="1890">
        <f>'Acct Summary 7-8'!D83</f>
        <v>5.6739625821029857E-2</v>
      </c>
      <c r="D6277" s="2" t="str">
        <f t="shared" si="97"/>
        <v>Error?</v>
      </c>
      <c r="E6277" s="2" t="s">
        <v>189</v>
      </c>
    </row>
    <row r="6278" spans="1:5" x14ac:dyDescent="0.2">
      <c r="A6278">
        <v>6217</v>
      </c>
      <c r="B6278" s="1890">
        <f>'Acct Summary 7-8'!E83</f>
        <v>2.0391656596357013E-2</v>
      </c>
      <c r="D6278" s="2" t="str">
        <f t="shared" si="97"/>
        <v>Error?</v>
      </c>
      <c r="E6278" s="2" t="s">
        <v>189</v>
      </c>
    </row>
    <row r="6279" spans="1:5" x14ac:dyDescent="0.2">
      <c r="A6279">
        <v>6218</v>
      </c>
      <c r="B6279" s="1890">
        <f>'Acct Summary 7-8'!F83</f>
        <v>0.34973600627691759</v>
      </c>
      <c r="D6279" s="2" t="str">
        <f t="shared" si="97"/>
        <v>Error?</v>
      </c>
      <c r="E6279" s="2" t="s">
        <v>189</v>
      </c>
    </row>
    <row r="6280" spans="1:5" x14ac:dyDescent="0.2">
      <c r="A6280">
        <v>6219</v>
      </c>
      <c r="B6280" s="1890">
        <f>'Acct Summary 7-8'!G83</f>
        <v>0.16401225028163194</v>
      </c>
      <c r="D6280" s="2" t="str">
        <f t="shared" si="97"/>
        <v>Error?</v>
      </c>
      <c r="E6280" s="2" t="s">
        <v>189</v>
      </c>
    </row>
    <row r="6281" spans="1:5" x14ac:dyDescent="0.2">
      <c r="A6281">
        <v>6220</v>
      </c>
      <c r="B6281" s="1890">
        <f>'Acct Summary 7-8'!H83</f>
        <v>0.17749661209078743</v>
      </c>
      <c r="D6281" s="2" t="str">
        <f t="shared" si="97"/>
        <v>Error?</v>
      </c>
      <c r="E6281" s="2" t="s">
        <v>189</v>
      </c>
    </row>
    <row r="6282" spans="1:5" x14ac:dyDescent="0.2">
      <c r="A6282">
        <v>6221</v>
      </c>
      <c r="B6282" s="1890">
        <f>'Acct Summary 7-8'!I83</f>
        <v>-0.19309407653094693</v>
      </c>
      <c r="D6282" s="2" t="str">
        <f t="shared" si="97"/>
        <v>Error?</v>
      </c>
      <c r="E6282" s="2" t="s">
        <v>189</v>
      </c>
    </row>
    <row r="6283" spans="1:5" x14ac:dyDescent="0.2">
      <c r="A6283">
        <v>6222</v>
      </c>
      <c r="B6283" s="1890">
        <f>'Acct Summary 7-8'!J83</f>
        <v>6.2337811412337199E-2</v>
      </c>
      <c r="D6283" s="2" t="str">
        <f t="shared" si="97"/>
        <v>Error?</v>
      </c>
      <c r="E6283" s="2" t="s">
        <v>189</v>
      </c>
    </row>
    <row r="6284" spans="1:5" x14ac:dyDescent="0.2">
      <c r="A6284">
        <v>6223</v>
      </c>
      <c r="B6284" s="1890">
        <f>'Acct Summary 7-8'!K83</f>
        <v>6.2448008639687101E-2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135593</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135593</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5120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5120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140713</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118646</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4601</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209800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55686</v>
      </c>
      <c r="D6880" s="2" t="str">
        <f t="shared" si="106"/>
        <v>Error?</v>
      </c>
    </row>
    <row r="6881" spans="1:4" x14ac:dyDescent="0.2">
      <c r="A6881">
        <v>6820</v>
      </c>
      <c r="B6881" s="1890">
        <f>'Expenditures 15-22'!K22</f>
        <v>55686</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4601</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13563</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13563</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27547</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27547</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41110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1198</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364</v>
      </c>
      <c r="D6981" s="2" t="str">
        <f t="shared" si="108"/>
        <v>Error?</v>
      </c>
    </row>
    <row r="6982" spans="1:4" x14ac:dyDescent="0.2">
      <c r="A6982">
        <v>6921</v>
      </c>
      <c r="B6982" s="1890">
        <f>'Expenditures 15-22'!K85</f>
        <v>364</v>
      </c>
      <c r="D6982" s="2" t="str">
        <f t="shared" si="108"/>
        <v>Error?</v>
      </c>
    </row>
    <row r="6983" spans="1:4" x14ac:dyDescent="0.2">
      <c r="A6983">
        <v>6922</v>
      </c>
      <c r="B6983" s="1890">
        <f>'Expenditures 15-22'!H86</f>
        <v>1136027</v>
      </c>
      <c r="D6983" s="2" t="str">
        <f t="shared" si="108"/>
        <v>Error?</v>
      </c>
    </row>
    <row r="6984" spans="1:4" x14ac:dyDescent="0.2">
      <c r="A6984">
        <v>6923</v>
      </c>
      <c r="B6984" s="1890">
        <f>'Expenditures 15-22'!K86</f>
        <v>1136027</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1136391</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46909</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1450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1450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1450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125507</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1450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140713</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1339</v>
      </c>
      <c r="D7075" s="2" t="str">
        <f t="shared" si="109"/>
        <v>Error?</v>
      </c>
    </row>
    <row r="7076" spans="1:4" x14ac:dyDescent="0.2">
      <c r="A7076">
        <v>7015</v>
      </c>
      <c r="B7076" s="1890">
        <f>'Expenditures 15-22'!K218</f>
        <v>1339</v>
      </c>
      <c r="D7076" s="2" t="str">
        <f t="shared" si="109"/>
        <v>Error?</v>
      </c>
    </row>
    <row r="7077" spans="1:4" x14ac:dyDescent="0.2">
      <c r="A7077">
        <v>7016</v>
      </c>
      <c r="B7077" s="1890">
        <f>'Expenditures 15-22'!D220</f>
        <v>6905</v>
      </c>
      <c r="D7077" s="2" t="str">
        <f t="shared" si="109"/>
        <v>Error?</v>
      </c>
    </row>
    <row r="7078" spans="1:4" x14ac:dyDescent="0.2">
      <c r="A7078">
        <v>7017</v>
      </c>
      <c r="B7078" s="1890">
        <f>'Expenditures 15-22'!K220</f>
        <v>6905</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47238</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47238</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23722</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23722</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14060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14060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40487</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40487</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125507</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125507</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125507</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125507</v>
      </c>
      <c r="D7224" s="2" t="str">
        <f t="shared" si="111"/>
        <v>Error?</v>
      </c>
    </row>
    <row r="7225" spans="1:4" x14ac:dyDescent="0.2">
      <c r="A7225">
        <v>7164</v>
      </c>
      <c r="B7225" s="1890">
        <f>'Expenditures 15-22'!K343</f>
        <v>15206</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99587</v>
      </c>
      <c r="D7251" s="2" t="str">
        <f t="shared" si="112"/>
        <v>Error?</v>
      </c>
    </row>
    <row r="7252" spans="1:4" x14ac:dyDescent="0.2">
      <c r="A7252">
        <f t="shared" si="113"/>
        <v>7191</v>
      </c>
      <c r="B7252" s="1890">
        <f>'Expenditures 15-22'!D9</f>
        <v>18717</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342</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138005</v>
      </c>
      <c r="D7257" s="2" t="str">
        <f t="shared" si="112"/>
        <v>Error?</v>
      </c>
    </row>
    <row r="7258" spans="1:4" x14ac:dyDescent="0.2">
      <c r="A7258">
        <f t="shared" si="113"/>
        <v>7197</v>
      </c>
      <c r="B7258" s="1890">
        <f>'Expenditures 15-22'!D11</f>
        <v>20897</v>
      </c>
      <c r="D7258" s="2" t="str">
        <f t="shared" si="112"/>
        <v>Error?</v>
      </c>
    </row>
    <row r="7259" spans="1:4" x14ac:dyDescent="0.2">
      <c r="A7259">
        <f t="shared" si="113"/>
        <v>7198</v>
      </c>
      <c r="B7259" s="1890">
        <f>'Expenditures 15-22'!E11</f>
        <v>2612</v>
      </c>
      <c r="D7259" s="2" t="str">
        <f t="shared" si="112"/>
        <v>Error?</v>
      </c>
    </row>
    <row r="7260" spans="1:4" x14ac:dyDescent="0.2">
      <c r="A7260">
        <f t="shared" si="113"/>
        <v>7199</v>
      </c>
      <c r="B7260" s="1890">
        <f>'Expenditures 15-22'!F11</f>
        <v>43685</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48359</v>
      </c>
      <c r="D7624" s="2" t="str">
        <f t="shared" si="124"/>
        <v>Error?</v>
      </c>
      <c r="E7624" s="2" t="s">
        <v>19</v>
      </c>
    </row>
    <row r="7625" spans="1:5" x14ac:dyDescent="0.2">
      <c r="A7625">
        <f t="shared" si="123"/>
        <v>7564</v>
      </c>
      <c r="B7625" s="1890">
        <f>'Cap Outlay Deprec 26'!I17</f>
        <v>4835.8999999999996</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657127.9</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50000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2701</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500000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500000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1998</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f>'Expenditures 15-22'!D282</f>
        <v>0</v>
      </c>
      <c r="D7783" s="2" t="str">
        <f t="shared" si="127"/>
        <v>Error?</v>
      </c>
      <c r="E7783" s="4" t="s">
        <v>1827</v>
      </c>
    </row>
    <row r="7784" spans="1:5" x14ac:dyDescent="0.2">
      <c r="A7784">
        <v>7723</v>
      </c>
      <c r="B7784" s="1890">
        <f>'Expenditures 15-22'!K282</f>
        <v>0</v>
      </c>
      <c r="D7784" s="2" t="str">
        <f t="shared" si="127"/>
        <v>Error?</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0</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6590193</v>
      </c>
      <c r="D7817" s="2" t="str">
        <f t="shared" si="128"/>
        <v>Error?</v>
      </c>
      <c r="E7817" s="4" t="s">
        <v>1967</v>
      </c>
    </row>
    <row r="7818" spans="1:5" x14ac:dyDescent="0.2">
      <c r="A7818">
        <v>7757</v>
      </c>
      <c r="B7818" s="1890">
        <f>'PCTC-OEPP 27-28'!F172</f>
        <v>642348</v>
      </c>
      <c r="D7818" s="2" t="str">
        <f t="shared" si="128"/>
        <v>Error?</v>
      </c>
      <c r="E7818" s="4" t="s">
        <v>1981</v>
      </c>
    </row>
    <row r="7819" spans="1:5" x14ac:dyDescent="0.2">
      <c r="A7819">
        <v>7758</v>
      </c>
      <c r="B7819" s="1890">
        <f>'PCTC-OEPP 27-28'!F173</f>
        <v>92957</v>
      </c>
      <c r="D7819" s="2" t="str">
        <f t="shared" si="128"/>
        <v>Error?</v>
      </c>
      <c r="E7819" s="4" t="s">
        <v>1981</v>
      </c>
    </row>
    <row r="7820" spans="1:5" x14ac:dyDescent="0.2">
      <c r="A7820">
        <v>7759</v>
      </c>
      <c r="B7820" s="1890">
        <f>'ICR Computation 30'!E40</f>
        <v>-6250</v>
      </c>
      <c r="D7820" s="2" t="str">
        <f t="shared" si="128"/>
        <v>Error?</v>
      </c>
    </row>
    <row r="7821" spans="1:5" x14ac:dyDescent="0.2">
      <c r="A7821">
        <v>7760</v>
      </c>
      <c r="B7821" s="1890">
        <f>'ICR Computation 30'!G40</f>
        <v>-6250</v>
      </c>
      <c r="D7821" s="2" t="str">
        <f t="shared" si="128"/>
        <v>Error?</v>
      </c>
    </row>
    <row r="7822" spans="1:5" x14ac:dyDescent="0.2">
      <c r="A7822" s="1">
        <v>7761</v>
      </c>
      <c r="B7822" s="1890">
        <f>'PCTC-OEPP 27-28'!F14</f>
        <v>17160882</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0</v>
      </c>
      <c r="D7826" s="2" t="str">
        <f t="shared" si="129"/>
        <v>Error?</v>
      </c>
      <c r="E7826" s="4" t="s">
        <v>1999</v>
      </c>
    </row>
    <row r="7827" spans="1:5" x14ac:dyDescent="0.2">
      <c r="A7827">
        <v>7766</v>
      </c>
      <c r="B7827" s="1890">
        <f>'PCTC-OEPP 27-28'!F35</f>
        <v>118646</v>
      </c>
      <c r="D7827" s="2" t="str">
        <f t="shared" si="129"/>
        <v>Error?</v>
      </c>
      <c r="E7827" s="4" t="s">
        <v>1999</v>
      </c>
    </row>
    <row r="7828" spans="1:5" x14ac:dyDescent="0.2">
      <c r="A7828">
        <v>7767</v>
      </c>
      <c r="B7828" s="1890">
        <f>'PCTC-OEPP 27-28'!F36</f>
        <v>205199</v>
      </c>
      <c r="D7828" s="2" t="str">
        <f t="shared" si="129"/>
        <v>Error?</v>
      </c>
      <c r="E7828" s="4" t="s">
        <v>1999</v>
      </c>
    </row>
    <row r="7829" spans="1:5" x14ac:dyDescent="0.2">
      <c r="A7829">
        <v>7768</v>
      </c>
      <c r="B7829" s="1890">
        <f>'PCTC-OEPP 27-28'!F37</f>
        <v>0</v>
      </c>
      <c r="D7829" s="2" t="str">
        <f t="shared" si="129"/>
        <v>Error?</v>
      </c>
      <c r="E7829" s="4" t="s">
        <v>1999</v>
      </c>
    </row>
    <row r="7830" spans="1:5" x14ac:dyDescent="0.2">
      <c r="A7830">
        <v>7769</v>
      </c>
      <c r="B7830" s="1890">
        <f>'PCTC-OEPP 27-28'!F38</f>
        <v>0</v>
      </c>
      <c r="D7830" s="2" t="str">
        <f t="shared" si="129"/>
        <v>Error?</v>
      </c>
      <c r="E7830" s="4" t="s">
        <v>1999</v>
      </c>
    </row>
    <row r="7831" spans="1:5" x14ac:dyDescent="0.2">
      <c r="A7831">
        <v>7770</v>
      </c>
      <c r="B7831" s="1890">
        <f>'PCTC-OEPP 27-28'!F52</f>
        <v>238816</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2884868</v>
      </c>
      <c r="D7834" s="2" t="str">
        <f t="shared" si="129"/>
        <v>Error?</v>
      </c>
      <c r="E7834" s="4" t="s">
        <v>1999</v>
      </c>
    </row>
    <row r="7835" spans="1:5" x14ac:dyDescent="0.2">
      <c r="A7835">
        <v>7774</v>
      </c>
      <c r="B7835" s="1890">
        <f>'PCTC-OEPP 27-28'!F78</f>
        <v>14276014</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f>'PCTC-OEPP 27-28'!F80</f>
        <v>9182.4879397954592</v>
      </c>
      <c r="D7837" s="2" t="str">
        <f t="shared" si="129"/>
        <v>Error?</v>
      </c>
      <c r="E7837" s="4" t="s">
        <v>1999</v>
      </c>
    </row>
    <row r="7838" spans="1:5" x14ac:dyDescent="0.2">
      <c r="A7838">
        <v>7777</v>
      </c>
      <c r="B7838" s="1890">
        <f>'PCTC-OEPP 27-28'!F96</f>
        <v>30118</v>
      </c>
      <c r="D7838" s="2" t="str">
        <f t="shared" si="129"/>
        <v>Error?</v>
      </c>
      <c r="E7838" s="4" t="s">
        <v>1999</v>
      </c>
    </row>
    <row r="7839" spans="1:5" x14ac:dyDescent="0.2">
      <c r="A7839">
        <v>7778</v>
      </c>
      <c r="B7839" s="1890">
        <f>'PCTC-OEPP 27-28'!F102</f>
        <v>141522</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0</v>
      </c>
      <c r="D7841" s="2" t="str">
        <f t="shared" si="129"/>
        <v>Error?</v>
      </c>
      <c r="E7841" s="4" t="s">
        <v>1999</v>
      </c>
    </row>
    <row r="7842" spans="1:5" x14ac:dyDescent="0.2">
      <c r="A7842">
        <v>7781</v>
      </c>
      <c r="B7842" s="1890">
        <f>'PCTC-OEPP 27-28'!F106</f>
        <v>15455</v>
      </c>
      <c r="D7842" s="2" t="str">
        <f t="shared" si="129"/>
        <v>Error?</v>
      </c>
      <c r="E7842" s="4" t="s">
        <v>1999</v>
      </c>
    </row>
    <row r="7843" spans="1:5" x14ac:dyDescent="0.2">
      <c r="A7843">
        <v>7782</v>
      </c>
      <c r="B7843" s="1890">
        <f>'PCTC-OEPP 27-28'!F107</f>
        <v>0</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0</v>
      </c>
      <c r="D7846" s="2" t="str">
        <f t="shared" si="129"/>
        <v>Error?</v>
      </c>
      <c r="E7846" s="4" t="s">
        <v>1999</v>
      </c>
    </row>
    <row r="7847" spans="1:5" x14ac:dyDescent="0.2">
      <c r="A7847">
        <v>7786</v>
      </c>
      <c r="B7847" s="1890">
        <f>'PCTC-OEPP 27-28'!F112</f>
        <v>406289</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0</v>
      </c>
      <c r="D7855" s="2" t="str">
        <f t="shared" si="129"/>
        <v>Error?</v>
      </c>
      <c r="E7855" s="4" t="s">
        <v>1999</v>
      </c>
    </row>
    <row r="7856" spans="1:5" x14ac:dyDescent="0.2">
      <c r="A7856">
        <v>7795</v>
      </c>
      <c r="B7856" s="1890">
        <f>'PCTC-OEPP 27-28'!F124</f>
        <v>0</v>
      </c>
      <c r="D7856" s="2" t="str">
        <f t="shared" si="129"/>
        <v>Error?</v>
      </c>
      <c r="E7856" s="4" t="s">
        <v>1999</v>
      </c>
    </row>
    <row r="7857" spans="1:5" x14ac:dyDescent="0.2">
      <c r="A7857">
        <v>7796</v>
      </c>
      <c r="B7857" s="1890">
        <f>'PCTC-OEPP 27-28'!F125</f>
        <v>0</v>
      </c>
      <c r="D7857" s="2" t="str">
        <f t="shared" si="129"/>
        <v>Error?</v>
      </c>
      <c r="E7857" s="4" t="s">
        <v>1999</v>
      </c>
    </row>
    <row r="7858" spans="1:5" x14ac:dyDescent="0.2">
      <c r="A7858">
        <v>7797</v>
      </c>
      <c r="B7858" s="1890">
        <f>'PCTC-OEPP 27-28'!F126</f>
        <v>207577</v>
      </c>
      <c r="D7858" s="2" t="str">
        <f t="shared" si="129"/>
        <v>Error?</v>
      </c>
      <c r="E7858" s="4" t="s">
        <v>1999</v>
      </c>
    </row>
    <row r="7859" spans="1:5" x14ac:dyDescent="0.2">
      <c r="A7859">
        <v>7798</v>
      </c>
      <c r="B7859" s="1890">
        <f>'PCTC-OEPP 27-28'!F127</f>
        <v>313449</v>
      </c>
      <c r="D7859" s="2" t="str">
        <f t="shared" si="129"/>
        <v>Error?</v>
      </c>
      <c r="E7859" s="4" t="s">
        <v>1999</v>
      </c>
    </row>
    <row r="7860" spans="1:5" x14ac:dyDescent="0.2">
      <c r="A7860">
        <v>7799</v>
      </c>
      <c r="B7860" s="1890">
        <f>'PCTC-OEPP 27-28'!F128</f>
        <v>861</v>
      </c>
      <c r="D7860" s="2" t="str">
        <f t="shared" si="129"/>
        <v>Error?</v>
      </c>
      <c r="E7860" s="4" t="s">
        <v>1999</v>
      </c>
    </row>
    <row r="7861" spans="1:5" x14ac:dyDescent="0.2">
      <c r="A7861">
        <v>7800</v>
      </c>
      <c r="B7861" s="1890">
        <f>'PCTC-OEPP 27-28'!F129</f>
        <v>412802</v>
      </c>
      <c r="D7861" s="2" t="str">
        <f t="shared" si="129"/>
        <v>Error?</v>
      </c>
      <c r="E7861" s="4" t="s">
        <v>1999</v>
      </c>
    </row>
    <row r="7862" spans="1:5" x14ac:dyDescent="0.2">
      <c r="A7862">
        <v>7801</v>
      </c>
      <c r="B7862" s="1890">
        <f>'PCTC-OEPP 27-28'!F130</f>
        <v>41215</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0</v>
      </c>
      <c r="D7865" s="2" t="str">
        <f t="shared" si="129"/>
        <v>Error?</v>
      </c>
      <c r="E7865" s="4" t="s">
        <v>1999</v>
      </c>
    </row>
    <row r="7866" spans="1:5" x14ac:dyDescent="0.2">
      <c r="A7866">
        <v>7805</v>
      </c>
      <c r="B7866" s="1890">
        <f>'PCTC-OEPP 27-28'!F158</f>
        <v>0</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0</v>
      </c>
      <c r="D7868" s="2" t="str">
        <f t="shared" si="129"/>
        <v>Error?</v>
      </c>
      <c r="E7868" s="4" t="s">
        <v>1999</v>
      </c>
    </row>
    <row r="7869" spans="1:5" x14ac:dyDescent="0.2">
      <c r="A7869">
        <v>7808</v>
      </c>
      <c r="B7869" s="1890">
        <f>'PCTC-OEPP 27-28'!F162</f>
        <v>9166</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30113</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70896</v>
      </c>
      <c r="D7874" s="2" t="str">
        <f t="shared" si="129"/>
        <v>Error?</v>
      </c>
      <c r="E7874" s="4" t="s">
        <v>1999</v>
      </c>
    </row>
    <row r="7875" spans="1:5" x14ac:dyDescent="0.2">
      <c r="A7875">
        <v>7814</v>
      </c>
      <c r="B7875" s="1890">
        <f>'PCTC-OEPP 27-28'!F170</f>
        <v>19685</v>
      </c>
      <c r="D7875" s="2" t="str">
        <f t="shared" si="129"/>
        <v>Error?</v>
      </c>
      <c r="E7875" s="4" t="s">
        <v>1999</v>
      </c>
    </row>
    <row r="7876" spans="1:5" x14ac:dyDescent="0.2">
      <c r="A7876">
        <v>7815</v>
      </c>
      <c r="B7876" s="1890">
        <f>'PCTC-OEPP 27-28'!F171</f>
        <v>0</v>
      </c>
      <c r="D7876" s="2" t="str">
        <f t="shared" si="129"/>
        <v>Error?</v>
      </c>
      <c r="E7876" s="4" t="s">
        <v>1999</v>
      </c>
    </row>
    <row r="7877" spans="1:5" x14ac:dyDescent="0.2">
      <c r="A7877">
        <v>7816</v>
      </c>
      <c r="B7877" s="1890">
        <f>'PCTC-OEPP 27-28'!F175</f>
        <v>2729822</v>
      </c>
      <c r="D7877" s="2" t="str">
        <f t="shared" si="129"/>
        <v>Error?</v>
      </c>
      <c r="E7877" s="4" t="s">
        <v>1999</v>
      </c>
    </row>
    <row r="7878" spans="1:5" x14ac:dyDescent="0.2">
      <c r="A7878">
        <v>7817</v>
      </c>
      <c r="B7878" s="1890">
        <f>'PCTC-OEPP 27-28'!F176</f>
        <v>11546192</v>
      </c>
      <c r="D7878" s="2" t="str">
        <f t="shared" si="129"/>
        <v>Error?</v>
      </c>
      <c r="E7878" s="4" t="s">
        <v>1999</v>
      </c>
    </row>
    <row r="7879" spans="1:5" x14ac:dyDescent="0.2">
      <c r="A7879">
        <v>7818</v>
      </c>
      <c r="B7879" s="1890">
        <f>'PCTC-OEPP 27-28'!F178</f>
        <v>12203319.9</v>
      </c>
      <c r="D7879" s="2" t="str">
        <f t="shared" si="129"/>
        <v>Error?</v>
      </c>
      <c r="E7879" s="4" t="s">
        <v>1999</v>
      </c>
    </row>
    <row r="7880" spans="1:5" x14ac:dyDescent="0.2">
      <c r="A7880">
        <v>7819</v>
      </c>
      <c r="B7880" s="1890">
        <f>'PCTC-OEPP 27-28'!F180</f>
        <v>7849.3084839518879</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2" t="s">
        <v>1183</v>
      </c>
      <c r="B2" s="2612"/>
      <c r="C2" s="2612"/>
      <c r="D2" s="2612"/>
      <c r="E2" s="2612"/>
      <c r="F2" s="2612"/>
      <c r="G2" s="2612"/>
      <c r="H2" s="2612"/>
      <c r="I2" s="2612"/>
      <c r="J2" s="2612"/>
      <c r="K2" s="2612"/>
      <c r="L2" s="2612"/>
    </row>
    <row r="3" spans="1:29" ht="13.5" customHeight="1" x14ac:dyDescent="0.2">
      <c r="A3" s="2644" t="s">
        <v>1182</v>
      </c>
      <c r="B3" s="2644"/>
      <c r="C3" s="2644"/>
      <c r="D3" s="2644"/>
      <c r="E3" s="2644"/>
      <c r="F3" s="2644"/>
      <c r="G3" s="2644"/>
      <c r="H3" s="2644"/>
      <c r="I3" s="2644"/>
      <c r="J3" s="2644"/>
      <c r="K3" s="2644"/>
      <c r="L3" s="2644"/>
    </row>
    <row r="4" spans="1:29" ht="13.5" customHeight="1" x14ac:dyDescent="0.2">
      <c r="A4" s="2633" t="str">
        <f>"Year Ending June 30, "&amp;'AFR20'!E2</f>
        <v>Year Ending June 30, 2020</v>
      </c>
      <c r="B4" s="2634"/>
      <c r="C4" s="2634"/>
      <c r="D4" s="2634"/>
      <c r="E4" s="2634"/>
      <c r="F4" s="2634"/>
      <c r="G4" s="2634"/>
      <c r="H4" s="2634"/>
      <c r="I4" s="2634"/>
      <c r="J4" s="2634"/>
      <c r="K4" s="2634"/>
      <c r="L4" s="263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5" t="str">
        <f>COVER!A17</f>
        <v xml:space="preserve">  Forest Ridge SD 142 </v>
      </c>
      <c r="B7" s="2636"/>
      <c r="C7" s="2636"/>
      <c r="D7" s="2637"/>
      <c r="E7" s="2638">
        <f>COVER!A13</f>
        <v>7016142002</v>
      </c>
      <c r="F7" s="2639"/>
      <c r="G7" s="2645" t="str">
        <f>COVER!T23</f>
        <v>066-004945</v>
      </c>
      <c r="H7" s="2646"/>
      <c r="I7" s="2646"/>
      <c r="J7" s="2646"/>
      <c r="K7" s="2646"/>
      <c r="L7" s="2647"/>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8"/>
      <c r="B9" s="2649"/>
      <c r="C9" s="2649"/>
      <c r="D9" s="2649"/>
      <c r="E9" s="2649"/>
      <c r="F9" s="2650"/>
      <c r="G9" s="2618" t="str">
        <f>COVER!T13</f>
        <v>GASSENSMITH &amp; MICHALESKO, LTD.</v>
      </c>
      <c r="H9" s="2651"/>
      <c r="I9" s="2651"/>
      <c r="J9" s="2651"/>
      <c r="K9" s="2651"/>
      <c r="L9" s="2652"/>
    </row>
    <row r="10" spans="1:29" ht="13.5" customHeight="1" x14ac:dyDescent="0.2">
      <c r="A10" s="2624" t="str">
        <f>COVER!A38</f>
        <v>PAUL McDERMOTT</v>
      </c>
      <c r="B10" s="2625"/>
      <c r="C10" s="2625"/>
      <c r="D10" s="2625"/>
      <c r="E10" s="2625"/>
      <c r="F10" s="2626"/>
      <c r="G10" s="2618" t="str">
        <f>COVER!T17</f>
        <v>323 SPRINGFIELD AVE</v>
      </c>
      <c r="H10" s="2619"/>
      <c r="I10" s="2619"/>
      <c r="J10" s="2619"/>
      <c r="K10" s="2619"/>
      <c r="L10" s="2620"/>
    </row>
    <row r="11" spans="1:29" ht="13.5" customHeight="1" x14ac:dyDescent="0.2">
      <c r="A11" s="1008" t="s">
        <v>1505</v>
      </c>
      <c r="B11" s="1009"/>
      <c r="C11" s="1010"/>
      <c r="D11" s="1015"/>
      <c r="E11" s="1010"/>
      <c r="F11" s="1014"/>
      <c r="G11" s="2618" t="str">
        <f>COVER!T19</f>
        <v>JOLIET</v>
      </c>
      <c r="H11" s="2619"/>
      <c r="I11" s="2619"/>
      <c r="J11" s="2619"/>
      <c r="K11" s="2619"/>
      <c r="L11" s="2620"/>
    </row>
    <row r="12" spans="1:29" ht="13.5" customHeight="1" x14ac:dyDescent="0.2">
      <c r="A12" s="2627" t="s">
        <v>1504</v>
      </c>
      <c r="B12" s="2628"/>
      <c r="C12" s="2628"/>
      <c r="D12" s="2628"/>
      <c r="E12" s="2628"/>
      <c r="F12" s="2629"/>
      <c r="G12" s="2621"/>
      <c r="H12" s="2622"/>
      <c r="I12" s="2622"/>
      <c r="J12" s="2622"/>
      <c r="K12" s="2622"/>
      <c r="L12" s="2623"/>
    </row>
    <row r="13" spans="1:29" ht="13.5" customHeight="1" x14ac:dyDescent="0.2">
      <c r="A13" s="2618"/>
      <c r="B13" s="2619"/>
      <c r="C13" s="2619"/>
      <c r="D13" s="2619"/>
      <c r="E13" s="2619"/>
      <c r="F13" s="2620"/>
      <c r="G13" s="2613" t="s">
        <v>1506</v>
      </c>
      <c r="H13" s="2614"/>
      <c r="I13" s="2630" t="str">
        <f>COVER!T25</f>
        <v>JILLE@GASSENSMITH.COM</v>
      </c>
      <c r="J13" s="2631"/>
      <c r="K13" s="2631"/>
      <c r="L13" s="2632"/>
    </row>
    <row r="14" spans="1:29" ht="13.5" customHeight="1" x14ac:dyDescent="0.2">
      <c r="A14" s="2618" t="str">
        <f>COVER!A19</f>
        <v>5800 151st STREET</v>
      </c>
      <c r="B14" s="2619"/>
      <c r="C14" s="2619"/>
      <c r="D14" s="2619"/>
      <c r="E14" s="2619"/>
      <c r="F14" s="2620"/>
      <c r="G14" s="1019" t="s">
        <v>1177</v>
      </c>
      <c r="H14" s="1017"/>
      <c r="I14" s="1017"/>
      <c r="J14" s="1017"/>
      <c r="K14" s="1017"/>
      <c r="L14" s="1018"/>
    </row>
    <row r="15" spans="1:29" ht="13.5" customHeight="1" x14ac:dyDescent="0.2">
      <c r="A15" s="2618" t="str">
        <f>COVER!A21</f>
        <v>OAK FOREST</v>
      </c>
      <c r="B15" s="2619"/>
      <c r="C15" s="2619"/>
      <c r="D15" s="2619"/>
      <c r="E15" s="2619"/>
      <c r="F15" s="2620"/>
      <c r="G15" s="2615" t="str">
        <f>COVER!T15</f>
        <v>JILL GASSENSMITH</v>
      </c>
      <c r="H15" s="2616"/>
      <c r="I15" s="2616"/>
      <c r="J15" s="2616"/>
      <c r="K15" s="2616"/>
      <c r="L15" s="2617"/>
    </row>
    <row r="16" spans="1:29" ht="12.2" customHeight="1" x14ac:dyDescent="0.2">
      <c r="A16" s="2641">
        <f>COVER!A25</f>
        <v>60452</v>
      </c>
      <c r="B16" s="2642"/>
      <c r="C16" s="2642"/>
      <c r="D16" s="2642"/>
      <c r="E16" s="2642"/>
      <c r="F16" s="2643"/>
      <c r="G16" s="2653"/>
      <c r="H16" s="2654"/>
      <c r="I16" s="2654"/>
      <c r="J16" s="2654"/>
      <c r="K16" s="2654"/>
      <c r="L16" s="2655"/>
    </row>
    <row r="17" spans="1:13" ht="12.2" customHeight="1" x14ac:dyDescent="0.2">
      <c r="A17" s="2656"/>
      <c r="B17" s="2642"/>
      <c r="C17" s="2642"/>
      <c r="D17" s="2642"/>
      <c r="E17" s="2642"/>
      <c r="F17" s="2643"/>
      <c r="G17" s="1019" t="s">
        <v>1176</v>
      </c>
      <c r="H17" s="1017"/>
      <c r="I17" s="1017"/>
      <c r="J17" s="1017"/>
      <c r="K17" s="1021" t="s">
        <v>1175</v>
      </c>
      <c r="L17" s="1014"/>
      <c r="M17" s="1007"/>
    </row>
    <row r="18" spans="1:13" ht="12.2" customHeight="1" x14ac:dyDescent="0.2">
      <c r="A18" s="2624"/>
      <c r="B18" s="2625"/>
      <c r="C18" s="2625"/>
      <c r="D18" s="2625"/>
      <c r="E18" s="2625"/>
      <c r="F18" s="2626"/>
      <c r="G18" s="2635" t="str">
        <f>COVER!T21</f>
        <v>(815)744-6200</v>
      </c>
      <c r="H18" s="2636"/>
      <c r="I18" s="2636"/>
      <c r="J18" s="2636"/>
      <c r="K18" s="2635" t="str">
        <f>COVER!X21</f>
        <v>(815)744-3822</v>
      </c>
      <c r="L18" s="2640"/>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7" t="str">
        <f>'Single Audit Cover'!A7</f>
        <v xml:space="preserve">  Forest Ridge SD 142 </v>
      </c>
      <c r="B1" s="2658"/>
      <c r="C1" s="2658"/>
      <c r="D1" s="2658"/>
    </row>
    <row r="2" spans="1:11" s="1036" customFormat="1" ht="12.75" x14ac:dyDescent="0.2">
      <c r="A2" s="2659">
        <f>'Single Audit Cover'!E7</f>
        <v>7016142002</v>
      </c>
      <c r="B2" s="2660"/>
      <c r="C2" s="2660"/>
      <c r="D2" s="2660"/>
    </row>
    <row r="3" spans="1:11" s="1036" customFormat="1" ht="12.75" x14ac:dyDescent="0.2">
      <c r="A3" s="2657" t="s">
        <v>1499</v>
      </c>
      <c r="B3" s="2658"/>
      <c r="C3" s="2658"/>
      <c r="D3" s="265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1970</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2" t="str">
        <f>'Single Audit Cover'!A7</f>
        <v xml:space="preserve">  Forest Ridge SD 142 </v>
      </c>
      <c r="B1" s="2662"/>
      <c r="C1" s="2662"/>
      <c r="D1" s="2662"/>
      <c r="E1" s="2662"/>
    </row>
    <row r="2" spans="1:5" x14ac:dyDescent="0.2">
      <c r="A2" s="2663">
        <f>'Single Audit Cover'!E7</f>
        <v>7016142002</v>
      </c>
      <c r="B2" s="2663"/>
      <c r="C2" s="2663"/>
      <c r="D2" s="2663"/>
      <c r="E2" s="2663"/>
    </row>
    <row r="3" spans="1:5" ht="4.5" customHeight="1" x14ac:dyDescent="0.2"/>
    <row r="4" spans="1:5" x14ac:dyDescent="0.2">
      <c r="A4" s="2662" t="s">
        <v>1236</v>
      </c>
      <c r="B4" s="2662"/>
      <c r="C4" s="2662"/>
      <c r="D4" s="2662"/>
      <c r="E4" s="2662"/>
    </row>
    <row r="5" spans="1:5" x14ac:dyDescent="0.2">
      <c r="A5" s="2665" t="str">
        <f>'Single Audit Cover'!A4</f>
        <v>Year Ending June 30, 2020</v>
      </c>
      <c r="B5" s="2665"/>
      <c r="C5" s="2665"/>
      <c r="D5" s="2665"/>
      <c r="E5" s="2665"/>
    </row>
    <row r="6" spans="1:5" x14ac:dyDescent="0.2">
      <c r="A6" s="2662" t="s">
        <v>1235</v>
      </c>
      <c r="B6" s="2662"/>
      <c r="C6" s="2662"/>
      <c r="D6" s="2662"/>
      <c r="E6" s="2662"/>
    </row>
    <row r="8" spans="1:5" x14ac:dyDescent="0.2">
      <c r="A8" s="1081" t="s">
        <v>1234</v>
      </c>
    </row>
    <row r="10" spans="1:5" x14ac:dyDescent="0.2">
      <c r="A10" s="1082" t="s">
        <v>1233</v>
      </c>
      <c r="B10" s="1083" t="s">
        <v>1232</v>
      </c>
      <c r="C10" s="1083"/>
      <c r="D10" s="1084">
        <f>SUM('Acct Summary 7-8'!C7:K7)</f>
        <v>1137421</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2005</v>
      </c>
      <c r="B14" s="1083"/>
      <c r="C14" s="1083"/>
      <c r="D14" s="1085">
        <f>'ICR Computation 30'!E11</f>
        <v>25766</v>
      </c>
    </row>
    <row r="15" spans="1:5" x14ac:dyDescent="0.2">
      <c r="A15" s="1082"/>
      <c r="B15" s="1083"/>
      <c r="C15" s="1083"/>
    </row>
    <row r="16" spans="1:5" x14ac:dyDescent="0.2">
      <c r="A16" s="1082" t="s">
        <v>1816</v>
      </c>
      <c r="B16" s="1083"/>
      <c r="C16" s="1083"/>
    </row>
    <row r="17" spans="1:4" x14ac:dyDescent="0.2">
      <c r="A17" s="1082" t="s">
        <v>1965</v>
      </c>
      <c r="B17" s="1083" t="s">
        <v>1227</v>
      </c>
      <c r="C17" s="1083"/>
      <c r="D17" s="1085">
        <f>-SUM('Revenues 9-14'!C264:D264,'Revenues 9-14'!F264:G264)</f>
        <v>-19685</v>
      </c>
    </row>
    <row r="19" spans="1:4" ht="13.5" thickBot="1" x14ac:dyDescent="0.25">
      <c r="A19" s="1086" t="s">
        <v>1226</v>
      </c>
      <c r="D19" s="1087">
        <f>SUM(D10:D17)</f>
        <v>1143502</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4"/>
      <c r="B24" s="2664"/>
      <c r="D24" s="1089"/>
    </row>
    <row r="25" spans="1:4" x14ac:dyDescent="0.2">
      <c r="A25" s="2661"/>
      <c r="B25" s="2661"/>
      <c r="D25" s="1089"/>
    </row>
    <row r="26" spans="1:4" x14ac:dyDescent="0.2">
      <c r="A26" s="2661"/>
      <c r="B26" s="2661"/>
      <c r="D26" s="1089"/>
    </row>
    <row r="27" spans="1:4" x14ac:dyDescent="0.2">
      <c r="A27" s="2661"/>
      <c r="B27" s="2661"/>
      <c r="D27" s="1089"/>
    </row>
    <row r="28" spans="1:4" x14ac:dyDescent="0.2">
      <c r="A28" s="2661"/>
      <c r="B28" s="2661"/>
      <c r="D28" s="1089"/>
    </row>
    <row r="29" spans="1:4" x14ac:dyDescent="0.2">
      <c r="A29" s="2661"/>
      <c r="B29" s="2661"/>
      <c r="D29" s="1089"/>
    </row>
    <row r="30" spans="1:4" x14ac:dyDescent="0.2">
      <c r="A30" s="2661"/>
      <c r="B30" s="2661"/>
      <c r="D30" s="1089"/>
    </row>
    <row r="32" spans="1:4" x14ac:dyDescent="0.2">
      <c r="A32" s="1081" t="s">
        <v>1224</v>
      </c>
      <c r="D32" s="1084">
        <f>SUM(D19:D30)</f>
        <v>1143502</v>
      </c>
    </row>
    <row r="33" spans="1:4" x14ac:dyDescent="0.2">
      <c r="D33" s="1090"/>
    </row>
    <row r="34" spans="1:4" x14ac:dyDescent="0.2">
      <c r="A34" s="295" t="s">
        <v>1223</v>
      </c>
    </row>
    <row r="35" spans="1:4" x14ac:dyDescent="0.2">
      <c r="A35" s="295" t="s">
        <v>1222</v>
      </c>
      <c r="B35" s="1079" t="s">
        <v>1221</v>
      </c>
      <c r="D35" s="1091">
        <f>+' SEFA'!F48</f>
        <v>1143502</v>
      </c>
    </row>
    <row r="37" spans="1:4" x14ac:dyDescent="0.2">
      <c r="A37" s="1081" t="s">
        <v>1220</v>
      </c>
    </row>
    <row r="39" spans="1:4" ht="13.35" customHeight="1" x14ac:dyDescent="0.2">
      <c r="A39" s="1088" t="s">
        <v>1219</v>
      </c>
    </row>
    <row r="40" spans="1:4" x14ac:dyDescent="0.2">
      <c r="A40" s="2661"/>
      <c r="B40" s="2661"/>
      <c r="D40" s="1089"/>
    </row>
    <row r="41" spans="1:4" x14ac:dyDescent="0.2">
      <c r="A41" s="2661"/>
      <c r="B41" s="2661"/>
      <c r="D41" s="1092"/>
    </row>
    <row r="42" spans="1:4" x14ac:dyDescent="0.2">
      <c r="A42" s="2661"/>
      <c r="B42" s="2661"/>
      <c r="D42" s="1092"/>
    </row>
    <row r="43" spans="1:4" x14ac:dyDescent="0.2">
      <c r="A43" s="2661"/>
      <c r="B43" s="2661"/>
      <c r="D43" s="1092"/>
    </row>
    <row r="44" spans="1:4" x14ac:dyDescent="0.2">
      <c r="A44" s="2661"/>
      <c r="B44" s="2661"/>
      <c r="D44" s="1092"/>
    </row>
    <row r="45" spans="1:4" x14ac:dyDescent="0.2">
      <c r="A45" s="2661"/>
      <c r="B45" s="2661"/>
      <c r="D45" s="1092"/>
    </row>
    <row r="47" spans="1:4" x14ac:dyDescent="0.2">
      <c r="B47" s="1093" t="s">
        <v>1218</v>
      </c>
      <c r="C47" s="1093"/>
      <c r="D47" s="1094">
        <f>SUM(D35:D45)</f>
        <v>1143502</v>
      </c>
    </row>
    <row r="49" spans="2:4" x14ac:dyDescent="0.2">
      <c r="B49" s="1093" t="s">
        <v>1217</v>
      </c>
      <c r="C49" s="1093"/>
      <c r="D49" s="1094">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7"/>
  <sheetViews>
    <sheetView showGridLines="0" topLeftCell="A19" zoomScaleNormal="100" workbookViewId="0">
      <selection activeCell="F38" sqref="F38"/>
    </sheetView>
  </sheetViews>
  <sheetFormatPr defaultColWidth="33.5703125" defaultRowHeight="12.75" x14ac:dyDescent="0.2"/>
  <cols>
    <col min="1" max="1" width="0.140625" style="295" customWidth="1"/>
    <col min="2" max="2" width="38.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4" t="str">
        <f>'Single Audit Cover'!A7</f>
        <v xml:space="preserve">  Forest Ridge SD 142 </v>
      </c>
      <c r="C1" s="2666"/>
      <c r="D1" s="2666"/>
      <c r="E1" s="2666"/>
      <c r="F1" s="2666"/>
      <c r="G1" s="2666"/>
      <c r="H1" s="2666"/>
      <c r="I1" s="2666"/>
      <c r="J1" s="2666"/>
      <c r="K1" s="2666"/>
      <c r="L1" s="2666"/>
      <c r="M1" s="2666"/>
    </row>
    <row r="2" spans="2:14" ht="15" x14ac:dyDescent="0.2">
      <c r="B2" s="2667">
        <f>'Single Audit Cover'!E7</f>
        <v>7016142002</v>
      </c>
      <c r="C2" s="2667"/>
      <c r="D2" s="2667"/>
      <c r="E2" s="2667"/>
      <c r="F2" s="2667"/>
      <c r="G2" s="2667"/>
      <c r="H2" s="2667"/>
      <c r="I2" s="2667"/>
      <c r="J2" s="2667"/>
      <c r="K2" s="2667"/>
      <c r="L2" s="2667"/>
      <c r="M2" s="2667"/>
      <c r="N2" s="1123"/>
    </row>
    <row r="3" spans="2:14" ht="15" x14ac:dyDescent="0.2">
      <c r="B3" s="2668" t="s">
        <v>1210</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3"/>
      <c r="J5" s="1983"/>
    </row>
    <row r="6" spans="2:14" x14ac:dyDescent="0.2">
      <c r="B6" s="1124"/>
      <c r="C6" s="1125"/>
      <c r="D6" s="1126" t="s">
        <v>1256</v>
      </c>
      <c r="E6" s="1127" t="s">
        <v>524</v>
      </c>
      <c r="F6" s="1128"/>
      <c r="G6" s="1129" t="s">
        <v>1712</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1713</v>
      </c>
      <c r="D9" s="1135" t="s">
        <v>1714</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x14ac:dyDescent="0.2">
      <c r="B11" s="1158" t="s">
        <v>2077</v>
      </c>
      <c r="C11" s="1879"/>
      <c r="D11" s="1880"/>
      <c r="E11" s="1881"/>
      <c r="F11" s="1881"/>
      <c r="G11" s="1881"/>
      <c r="H11" s="1881"/>
      <c r="I11" s="1881"/>
      <c r="J11" s="1881"/>
      <c r="K11" s="1881"/>
      <c r="L11" s="1881"/>
      <c r="M11" s="1881"/>
    </row>
    <row r="12" spans="2:14" x14ac:dyDescent="0.2">
      <c r="B12" s="2104" t="s">
        <v>2098</v>
      </c>
      <c r="C12" s="1879"/>
      <c r="D12" s="1880"/>
      <c r="E12" s="1881"/>
      <c r="F12" s="1881"/>
      <c r="G12" s="1881"/>
      <c r="H12" s="1881"/>
      <c r="I12" s="1881"/>
      <c r="J12" s="1881"/>
      <c r="K12" s="1881"/>
      <c r="L12" s="1881"/>
      <c r="M12" s="1881"/>
    </row>
    <row r="13" spans="2:14" x14ac:dyDescent="0.2">
      <c r="B13" s="2104" t="s">
        <v>2084</v>
      </c>
      <c r="C13" s="1879"/>
      <c r="D13" s="1880"/>
      <c r="E13" s="1881"/>
      <c r="F13" s="1881"/>
      <c r="G13" s="1881"/>
      <c r="H13" s="1881"/>
      <c r="I13" s="1881"/>
      <c r="J13" s="1881"/>
      <c r="K13" s="1881"/>
      <c r="L13" s="1881"/>
      <c r="M13" s="1881"/>
    </row>
    <row r="14" spans="2:14" ht="20.100000000000001" customHeight="1" x14ac:dyDescent="0.2">
      <c r="B14" s="1158" t="s">
        <v>2078</v>
      </c>
      <c r="C14" s="1879">
        <v>10.555</v>
      </c>
      <c r="D14" s="1880" t="s">
        <v>2124</v>
      </c>
      <c r="E14" s="2105">
        <v>0</v>
      </c>
      <c r="F14" s="2105">
        <f>156404-30901</f>
        <v>125503</v>
      </c>
      <c r="G14" s="2105">
        <v>0</v>
      </c>
      <c r="H14" s="2105">
        <v>0</v>
      </c>
      <c r="I14" s="2105">
        <f>125503-26991</f>
        <v>98512</v>
      </c>
      <c r="J14" s="2105">
        <v>0</v>
      </c>
      <c r="K14" s="2105">
        <v>0</v>
      </c>
      <c r="L14" s="2105">
        <f>G14+I14+K14</f>
        <v>98512</v>
      </c>
      <c r="M14" s="1881" t="s">
        <v>2119</v>
      </c>
    </row>
    <row r="15" spans="2:14" ht="20.100000000000001" customHeight="1" x14ac:dyDescent="0.2">
      <c r="B15" s="1158" t="s">
        <v>2078</v>
      </c>
      <c r="C15" s="1879">
        <v>10.555</v>
      </c>
      <c r="D15" s="1880" t="s">
        <v>2107</v>
      </c>
      <c r="E15" s="2105">
        <v>177292</v>
      </c>
      <c r="F15" s="2105">
        <f>208193-E15</f>
        <v>30901</v>
      </c>
      <c r="G15" s="2105">
        <v>181202</v>
      </c>
      <c r="H15" s="2105">
        <v>0</v>
      </c>
      <c r="I15" s="2105">
        <f>208193-181202</f>
        <v>26991</v>
      </c>
      <c r="J15" s="2105">
        <v>0</v>
      </c>
      <c r="K15" s="2105">
        <v>0</v>
      </c>
      <c r="L15" s="2105">
        <f>G15+I15+K15</f>
        <v>208193</v>
      </c>
      <c r="M15" s="1881" t="s">
        <v>2119</v>
      </c>
    </row>
    <row r="16" spans="2:14" ht="20.100000000000001" customHeight="1" x14ac:dyDescent="0.2">
      <c r="B16" s="1158" t="s">
        <v>2079</v>
      </c>
      <c r="C16" s="1879">
        <v>10.553000000000001</v>
      </c>
      <c r="D16" s="1880" t="s">
        <v>2124</v>
      </c>
      <c r="E16" s="2105">
        <v>0</v>
      </c>
      <c r="F16" s="2105">
        <f>51173-9504</f>
        <v>41669</v>
      </c>
      <c r="G16" s="2105">
        <v>0</v>
      </c>
      <c r="H16" s="2105">
        <v>0</v>
      </c>
      <c r="I16" s="2105">
        <f>51173-7862</f>
        <v>43311</v>
      </c>
      <c r="J16" s="2105">
        <v>0</v>
      </c>
      <c r="K16" s="2105">
        <v>0</v>
      </c>
      <c r="L16" s="2105">
        <f>G16+I16+K16</f>
        <v>43311</v>
      </c>
      <c r="M16" s="1881" t="s">
        <v>2119</v>
      </c>
    </row>
    <row r="17" spans="2:14" ht="20.100000000000001" customHeight="1" x14ac:dyDescent="0.2">
      <c r="B17" s="1158" t="s">
        <v>2079</v>
      </c>
      <c r="C17" s="1879">
        <v>10.553000000000001</v>
      </c>
      <c r="D17" s="1880" t="s">
        <v>2107</v>
      </c>
      <c r="E17" s="2105">
        <v>57801</v>
      </c>
      <c r="F17" s="2105">
        <f>67305-57801</f>
        <v>9504</v>
      </c>
      <c r="G17" s="2105">
        <v>59442</v>
      </c>
      <c r="H17" s="2105">
        <v>0</v>
      </c>
      <c r="I17" s="2105">
        <v>7862</v>
      </c>
      <c r="J17" s="2105">
        <v>0</v>
      </c>
      <c r="K17" s="2105">
        <v>0</v>
      </c>
      <c r="L17" s="2105">
        <f>+G17+I17+K17</f>
        <v>67304</v>
      </c>
      <c r="M17" s="1881" t="s">
        <v>2119</v>
      </c>
    </row>
    <row r="18" spans="2:14" ht="20.100000000000001" customHeight="1" x14ac:dyDescent="0.2">
      <c r="B18" s="1158" t="s">
        <v>2081</v>
      </c>
      <c r="C18" s="1879">
        <v>10.555</v>
      </c>
      <c r="D18" s="1880">
        <v>2020</v>
      </c>
      <c r="E18" s="2105">
        <v>0</v>
      </c>
      <c r="F18" s="2105">
        <v>16822</v>
      </c>
      <c r="G18" s="2105">
        <v>0</v>
      </c>
      <c r="H18" s="2105">
        <v>0</v>
      </c>
      <c r="I18" s="2105">
        <v>16822</v>
      </c>
      <c r="J18" s="2105">
        <v>0</v>
      </c>
      <c r="K18" s="2105">
        <v>0</v>
      </c>
      <c r="L18" s="2105">
        <f t="shared" ref="L18:L21" si="0">G18+I18+K18</f>
        <v>16822</v>
      </c>
      <c r="M18" s="1881" t="s">
        <v>2119</v>
      </c>
    </row>
    <row r="19" spans="2:14" ht="20.100000000000001" customHeight="1" x14ac:dyDescent="0.2">
      <c r="B19" s="1158" t="s">
        <v>2080</v>
      </c>
      <c r="C19" s="1879">
        <v>10.555</v>
      </c>
      <c r="D19" s="1880">
        <v>2020</v>
      </c>
      <c r="E19" s="2105">
        <v>0</v>
      </c>
      <c r="F19" s="2105">
        <v>8945</v>
      </c>
      <c r="G19" s="2105">
        <v>0</v>
      </c>
      <c r="H19" s="2105">
        <v>0</v>
      </c>
      <c r="I19" s="2105">
        <v>8945</v>
      </c>
      <c r="J19" s="2105">
        <v>0</v>
      </c>
      <c r="K19" s="2105">
        <v>0</v>
      </c>
      <c r="L19" s="2105">
        <f t="shared" si="0"/>
        <v>8945</v>
      </c>
      <c r="M19" s="1881" t="s">
        <v>2119</v>
      </c>
    </row>
    <row r="20" spans="2:14" ht="20.100000000000001" customHeight="1" x14ac:dyDescent="0.2">
      <c r="B20" s="1158" t="s">
        <v>2081</v>
      </c>
      <c r="C20" s="1879">
        <v>10.555</v>
      </c>
      <c r="D20" s="1880">
        <v>2019</v>
      </c>
      <c r="E20" s="2105">
        <v>22926</v>
      </c>
      <c r="F20" s="2105">
        <v>0</v>
      </c>
      <c r="G20" s="2105">
        <v>22926</v>
      </c>
      <c r="H20" s="2105">
        <v>0</v>
      </c>
      <c r="I20" s="2105"/>
      <c r="J20" s="2105">
        <v>0</v>
      </c>
      <c r="K20" s="2105">
        <v>0</v>
      </c>
      <c r="L20" s="2105">
        <f t="shared" si="0"/>
        <v>22926</v>
      </c>
      <c r="M20" s="1881" t="s">
        <v>2119</v>
      </c>
    </row>
    <row r="21" spans="2:14" ht="20.100000000000001" customHeight="1" x14ac:dyDescent="0.2">
      <c r="B21" s="1158" t="s">
        <v>2080</v>
      </c>
      <c r="C21" s="1879">
        <v>10.555</v>
      </c>
      <c r="D21" s="1880">
        <v>2019</v>
      </c>
      <c r="E21" s="2105">
        <v>14939</v>
      </c>
      <c r="F21" s="2105">
        <v>0</v>
      </c>
      <c r="G21" s="2105">
        <v>14939</v>
      </c>
      <c r="H21" s="2105">
        <v>0</v>
      </c>
      <c r="I21" s="2105"/>
      <c r="J21" s="2105">
        <v>0</v>
      </c>
      <c r="K21" s="2105">
        <v>0</v>
      </c>
      <c r="L21" s="2105">
        <f t="shared" si="0"/>
        <v>14939</v>
      </c>
      <c r="M21" s="1881" t="s">
        <v>2119</v>
      </c>
    </row>
    <row r="22" spans="2:14" x14ac:dyDescent="0.2">
      <c r="B22" s="1158" t="s">
        <v>2082</v>
      </c>
      <c r="C22" s="1879"/>
      <c r="D22" s="1880"/>
      <c r="E22" s="2105">
        <f t="shared" ref="E22:L22" si="1">SUBTOTAL(109,E14:E21)</f>
        <v>272958</v>
      </c>
      <c r="F22" s="2105">
        <f t="shared" si="1"/>
        <v>233344</v>
      </c>
      <c r="G22" s="2105">
        <f t="shared" si="1"/>
        <v>278509</v>
      </c>
      <c r="H22" s="2105">
        <v>0</v>
      </c>
      <c r="I22" s="2105">
        <f t="shared" si="1"/>
        <v>202443</v>
      </c>
      <c r="J22" s="2105">
        <v>0</v>
      </c>
      <c r="K22" s="2105">
        <v>0</v>
      </c>
      <c r="L22" s="2105">
        <f t="shared" si="1"/>
        <v>480952</v>
      </c>
      <c r="M22" s="1881" t="s">
        <v>2119</v>
      </c>
    </row>
    <row r="23" spans="2:14" x14ac:dyDescent="0.2">
      <c r="B23" s="1158" t="s">
        <v>2083</v>
      </c>
      <c r="C23" s="1879"/>
      <c r="D23" s="1880"/>
      <c r="E23" s="2105">
        <f t="shared" ref="E23:L23" si="2">SUBTOTAL(109,E14:E22)</f>
        <v>272958</v>
      </c>
      <c r="F23" s="2105">
        <f t="shared" si="2"/>
        <v>233344</v>
      </c>
      <c r="G23" s="2105">
        <f t="shared" si="2"/>
        <v>278509</v>
      </c>
      <c r="H23" s="2105">
        <f t="shared" si="2"/>
        <v>0</v>
      </c>
      <c r="I23" s="2105">
        <f t="shared" si="2"/>
        <v>202443</v>
      </c>
      <c r="J23" s="2105">
        <f t="shared" si="2"/>
        <v>0</v>
      </c>
      <c r="K23" s="2105">
        <f t="shared" si="2"/>
        <v>0</v>
      </c>
      <c r="L23" s="2105">
        <f t="shared" si="2"/>
        <v>480952</v>
      </c>
      <c r="M23" s="1881" t="s">
        <v>2119</v>
      </c>
    </row>
    <row r="24" spans="2:14" x14ac:dyDescent="0.2">
      <c r="B24" s="1158" t="s">
        <v>2085</v>
      </c>
      <c r="C24" s="1879"/>
      <c r="D24" s="1880"/>
      <c r="E24" s="2105"/>
      <c r="F24" s="2105"/>
      <c r="G24" s="2105"/>
      <c r="H24" s="2105"/>
      <c r="I24" s="2105"/>
      <c r="J24" s="2105"/>
      <c r="K24" s="2105"/>
      <c r="L24" s="2105"/>
      <c r="M24" s="1881"/>
    </row>
    <row r="25" spans="2:14" x14ac:dyDescent="0.2">
      <c r="B25" s="2104" t="s">
        <v>2098</v>
      </c>
      <c r="C25" s="1879"/>
      <c r="D25" s="1880"/>
      <c r="E25" s="2105"/>
      <c r="F25" s="2105"/>
      <c r="G25" s="2105"/>
      <c r="H25" s="2105"/>
      <c r="I25" s="2105"/>
      <c r="J25" s="2105"/>
      <c r="K25" s="2105"/>
      <c r="L25" s="2105"/>
      <c r="M25" s="1881"/>
    </row>
    <row r="26" spans="2:14" ht="20.100000000000001" customHeight="1" x14ac:dyDescent="0.2">
      <c r="B26" s="1158" t="s">
        <v>2086</v>
      </c>
      <c r="C26" s="1879" t="s">
        <v>2103</v>
      </c>
      <c r="D26" s="1880" t="s">
        <v>2108</v>
      </c>
      <c r="E26" s="2105">
        <v>0</v>
      </c>
      <c r="F26" s="2105">
        <f>278894-F27</f>
        <v>135891</v>
      </c>
      <c r="G26" s="2105">
        <v>0</v>
      </c>
      <c r="H26" s="2105">
        <v>0</v>
      </c>
      <c r="I26" s="2105">
        <v>288062</v>
      </c>
      <c r="J26" s="2105">
        <v>0</v>
      </c>
      <c r="K26" s="2105">
        <v>0</v>
      </c>
      <c r="L26" s="2105">
        <f>G26+I26+K26</f>
        <v>288062</v>
      </c>
      <c r="M26" s="1881">
        <v>346043</v>
      </c>
    </row>
    <row r="27" spans="2:14" ht="20.100000000000001" customHeight="1" x14ac:dyDescent="0.2">
      <c r="B27" s="1158" t="s">
        <v>2086</v>
      </c>
      <c r="C27" s="1879" t="s">
        <v>2103</v>
      </c>
      <c r="D27" s="1880" t="s">
        <v>2109</v>
      </c>
      <c r="E27" s="2105">
        <v>98680</v>
      </c>
      <c r="F27" s="2105">
        <f>241683-E27</f>
        <v>143003</v>
      </c>
      <c r="G27" s="2105">
        <v>222096</v>
      </c>
      <c r="H27" s="2105">
        <v>0</v>
      </c>
      <c r="I27" s="2105">
        <f>241683-G27</f>
        <v>19587</v>
      </c>
      <c r="J27" s="2105">
        <v>0</v>
      </c>
      <c r="K27" s="2105">
        <v>0</v>
      </c>
      <c r="L27" s="2105">
        <f>G27+I27+K27</f>
        <v>241683</v>
      </c>
      <c r="M27" s="1881">
        <v>252008</v>
      </c>
      <c r="N27" s="1159"/>
    </row>
    <row r="28" spans="2:14" ht="20.100000000000001" customHeight="1" x14ac:dyDescent="0.2">
      <c r="B28" s="1158" t="s">
        <v>2087</v>
      </c>
      <c r="C28" s="1879" t="s">
        <v>2103</v>
      </c>
      <c r="D28" s="1880" t="s">
        <v>2125</v>
      </c>
      <c r="E28" s="2105">
        <v>0</v>
      </c>
      <c r="F28" s="2105">
        <f>34555-25160</f>
        <v>9395</v>
      </c>
      <c r="G28" s="2105">
        <v>0</v>
      </c>
      <c r="H28" s="2105">
        <v>0</v>
      </c>
      <c r="I28" s="2105">
        <v>21392</v>
      </c>
      <c r="J28" s="2105">
        <v>0</v>
      </c>
      <c r="K28" s="2105">
        <v>0</v>
      </c>
      <c r="L28" s="2105">
        <f>G28+I28+K28</f>
        <v>21392</v>
      </c>
      <c r="M28" s="1881">
        <v>31994</v>
      </c>
      <c r="N28" s="1159"/>
    </row>
    <row r="29" spans="2:14" ht="19.350000000000001" customHeight="1" x14ac:dyDescent="0.2">
      <c r="B29" s="1158" t="s">
        <v>2087</v>
      </c>
      <c r="C29" s="1882" t="s">
        <v>2103</v>
      </c>
      <c r="D29" s="1883" t="s">
        <v>2126</v>
      </c>
      <c r="E29" s="2106">
        <v>21119</v>
      </c>
      <c r="F29" s="2106">
        <f>46279-21119</f>
        <v>25160</v>
      </c>
      <c r="G29" s="2106">
        <v>0</v>
      </c>
      <c r="H29" s="2105">
        <v>0</v>
      </c>
      <c r="I29" s="2106">
        <v>46279</v>
      </c>
      <c r="J29" s="2105">
        <v>0</v>
      </c>
      <c r="K29" s="2105">
        <v>0</v>
      </c>
      <c r="L29" s="2105">
        <f>+G29+I29+K29</f>
        <v>46279</v>
      </c>
      <c r="M29" s="1884">
        <v>48302</v>
      </c>
      <c r="N29" s="1159"/>
    </row>
    <row r="30" spans="2:14" ht="19.350000000000001" customHeight="1" x14ac:dyDescent="0.2">
      <c r="B30" s="1158" t="s">
        <v>2088</v>
      </c>
      <c r="C30" s="1882" t="s">
        <v>2104</v>
      </c>
      <c r="D30" s="1883" t="s">
        <v>2110</v>
      </c>
      <c r="E30" s="2106">
        <v>0</v>
      </c>
      <c r="F30" s="2106">
        <f>9166-2301</f>
        <v>6865</v>
      </c>
      <c r="G30" s="2106">
        <v>0</v>
      </c>
      <c r="H30" s="2105">
        <v>0</v>
      </c>
      <c r="I30" s="2106">
        <v>14688</v>
      </c>
      <c r="J30" s="2105">
        <v>0</v>
      </c>
      <c r="K30" s="2105">
        <v>0</v>
      </c>
      <c r="L30" s="2105">
        <f t="shared" ref="L30:L45" si="3">+G30+I30+K30</f>
        <v>14688</v>
      </c>
      <c r="M30" s="1884">
        <v>18160</v>
      </c>
      <c r="N30" s="1159"/>
    </row>
    <row r="31" spans="2:14" ht="19.350000000000001" customHeight="1" x14ac:dyDescent="0.2">
      <c r="B31" s="1158" t="s">
        <v>2088</v>
      </c>
      <c r="C31" s="1882" t="s">
        <v>2104</v>
      </c>
      <c r="D31" s="1883" t="s">
        <v>2111</v>
      </c>
      <c r="E31" s="2106">
        <v>14283</v>
      </c>
      <c r="F31" s="2106">
        <f>16584-14283</f>
        <v>2301</v>
      </c>
      <c r="G31" s="2106">
        <v>16584</v>
      </c>
      <c r="H31" s="2105">
        <v>0</v>
      </c>
      <c r="I31" s="2106"/>
      <c r="J31" s="2105">
        <v>0</v>
      </c>
      <c r="K31" s="2105">
        <v>0</v>
      </c>
      <c r="L31" s="2105">
        <f t="shared" si="3"/>
        <v>16584</v>
      </c>
      <c r="M31" s="1884">
        <v>17444</v>
      </c>
      <c r="N31" s="1159"/>
    </row>
    <row r="32" spans="2:14" ht="19.350000000000001" customHeight="1" x14ac:dyDescent="0.2">
      <c r="B32" s="1158" t="s">
        <v>753</v>
      </c>
      <c r="C32" s="1882" t="s">
        <v>2116</v>
      </c>
      <c r="D32" s="1883" t="s">
        <v>2117</v>
      </c>
      <c r="E32" s="2106">
        <v>0</v>
      </c>
      <c r="F32" s="2106">
        <f>30113-8854</f>
        <v>21259</v>
      </c>
      <c r="G32" s="2106">
        <v>0</v>
      </c>
      <c r="H32" s="2105">
        <v>0</v>
      </c>
      <c r="I32" s="2106">
        <v>41882</v>
      </c>
      <c r="J32" s="2105">
        <v>0</v>
      </c>
      <c r="K32" s="2105">
        <v>0</v>
      </c>
      <c r="L32" s="2105">
        <f t="shared" si="3"/>
        <v>41882</v>
      </c>
      <c r="M32" s="1884">
        <v>57984</v>
      </c>
      <c r="N32" s="1159"/>
    </row>
    <row r="33" spans="2:14" ht="19.350000000000001" customHeight="1" x14ac:dyDescent="0.2">
      <c r="B33" s="1158" t="s">
        <v>753</v>
      </c>
      <c r="C33" s="1882" t="s">
        <v>2116</v>
      </c>
      <c r="D33" s="1883" t="s">
        <v>2118</v>
      </c>
      <c r="E33" s="2106">
        <v>31035</v>
      </c>
      <c r="F33" s="2106">
        <f>39889-31035</f>
        <v>8854</v>
      </c>
      <c r="G33" s="2106">
        <v>36930</v>
      </c>
      <c r="H33" s="2105">
        <v>0</v>
      </c>
      <c r="I33" s="2106">
        <f>39889-G33</f>
        <v>2959</v>
      </c>
      <c r="J33" s="2105">
        <v>0</v>
      </c>
      <c r="K33" s="2105">
        <v>0</v>
      </c>
      <c r="L33" s="2105">
        <f t="shared" si="3"/>
        <v>39889</v>
      </c>
      <c r="M33" s="1884">
        <v>41646</v>
      </c>
      <c r="N33" s="1159"/>
    </row>
    <row r="34" spans="2:14" ht="19.350000000000001" customHeight="1" x14ac:dyDescent="0.2">
      <c r="B34" s="1158" t="s">
        <v>2121</v>
      </c>
      <c r="C34" s="1882" t="s">
        <v>2122</v>
      </c>
      <c r="D34" s="1883" t="s">
        <v>2123</v>
      </c>
      <c r="E34" s="2106">
        <v>0</v>
      </c>
      <c r="F34" s="2106">
        <v>861</v>
      </c>
      <c r="G34" s="2106">
        <v>0</v>
      </c>
      <c r="H34" s="2105">
        <v>0</v>
      </c>
      <c r="I34" s="2107">
        <v>4225</v>
      </c>
      <c r="J34" s="2105">
        <v>0</v>
      </c>
      <c r="K34" s="2105">
        <v>0</v>
      </c>
      <c r="L34" s="2105">
        <f t="shared" si="3"/>
        <v>4225</v>
      </c>
      <c r="M34" s="1884">
        <v>25401</v>
      </c>
      <c r="N34" s="1159"/>
    </row>
    <row r="35" spans="2:14" x14ac:dyDescent="0.2">
      <c r="B35" s="2104" t="s">
        <v>2089</v>
      </c>
      <c r="C35" s="1882"/>
      <c r="D35" s="1883"/>
      <c r="E35" s="2106"/>
      <c r="F35" s="2106"/>
      <c r="G35" s="2106"/>
      <c r="H35" s="2105">
        <v>0</v>
      </c>
      <c r="I35" s="2106"/>
      <c r="J35" s="2105">
        <v>0</v>
      </c>
      <c r="K35" s="2105">
        <v>0</v>
      </c>
      <c r="L35" s="2105"/>
      <c r="M35" s="1884"/>
      <c r="N35" s="1159"/>
    </row>
    <row r="36" spans="2:14" ht="19.350000000000001" customHeight="1" x14ac:dyDescent="0.2">
      <c r="B36" s="1158" t="s">
        <v>2091</v>
      </c>
      <c r="C36" s="1882" t="s">
        <v>2105</v>
      </c>
      <c r="D36" s="1883" t="s">
        <v>2112</v>
      </c>
      <c r="E36" s="2106">
        <v>0</v>
      </c>
      <c r="F36" s="2106">
        <v>31657</v>
      </c>
      <c r="G36" s="2106">
        <v>0</v>
      </c>
      <c r="H36" s="2105">
        <v>0</v>
      </c>
      <c r="I36" s="2106">
        <v>31657</v>
      </c>
      <c r="J36" s="2105">
        <v>0</v>
      </c>
      <c r="K36" s="2105">
        <v>0</v>
      </c>
      <c r="L36" s="2105">
        <f t="shared" si="3"/>
        <v>31657</v>
      </c>
      <c r="M36" s="1884">
        <v>45275</v>
      </c>
    </row>
    <row r="37" spans="2:14" ht="19.350000000000001" customHeight="1" x14ac:dyDescent="0.2">
      <c r="B37" s="1158" t="s">
        <v>2092</v>
      </c>
      <c r="C37" s="1882" t="s">
        <v>2105</v>
      </c>
      <c r="D37" s="1883" t="s">
        <v>2113</v>
      </c>
      <c r="E37" s="2106">
        <v>24538</v>
      </c>
      <c r="F37" s="2106">
        <v>0</v>
      </c>
      <c r="G37" s="2106">
        <v>24538</v>
      </c>
      <c r="H37" s="2105">
        <v>0</v>
      </c>
      <c r="I37" s="2106"/>
      <c r="J37" s="2105">
        <v>0</v>
      </c>
      <c r="K37" s="2105">
        <v>0</v>
      </c>
      <c r="L37" s="2105">
        <f t="shared" si="3"/>
        <v>24538</v>
      </c>
      <c r="M37" s="1884">
        <v>31257</v>
      </c>
    </row>
    <row r="38" spans="2:14" ht="19.350000000000001" customHeight="1" x14ac:dyDescent="0.2">
      <c r="B38" s="1158" t="s">
        <v>2093</v>
      </c>
      <c r="C38" s="1882" t="s">
        <v>2106</v>
      </c>
      <c r="D38" s="1883" t="s">
        <v>2114</v>
      </c>
      <c r="E38" s="2106">
        <v>0</v>
      </c>
      <c r="F38" s="2106">
        <v>412802</v>
      </c>
      <c r="G38" s="2106">
        <v>0</v>
      </c>
      <c r="H38" s="2105">
        <v>0</v>
      </c>
      <c r="I38" s="2106">
        <v>412802</v>
      </c>
      <c r="J38" s="2105">
        <v>0</v>
      </c>
      <c r="K38" s="2105">
        <v>0</v>
      </c>
      <c r="L38" s="2105">
        <f t="shared" si="3"/>
        <v>412802</v>
      </c>
      <c r="M38" s="1884">
        <v>495397</v>
      </c>
    </row>
    <row r="39" spans="2:14" ht="19.350000000000001" customHeight="1" x14ac:dyDescent="0.2">
      <c r="B39" s="1158" t="s">
        <v>2090</v>
      </c>
      <c r="C39" s="1882" t="s">
        <v>2106</v>
      </c>
      <c r="D39" s="1883" t="s">
        <v>2115</v>
      </c>
      <c r="E39" s="2106">
        <v>389352</v>
      </c>
      <c r="F39" s="2106">
        <v>0</v>
      </c>
      <c r="G39" s="2106">
        <v>389352</v>
      </c>
      <c r="H39" s="2105">
        <v>0</v>
      </c>
      <c r="I39" s="2106"/>
      <c r="J39" s="2105">
        <v>0</v>
      </c>
      <c r="K39" s="2105">
        <v>0</v>
      </c>
      <c r="L39" s="2105">
        <f t="shared" si="3"/>
        <v>389352</v>
      </c>
      <c r="M39" s="1884">
        <v>428396</v>
      </c>
    </row>
    <row r="40" spans="2:14" ht="19.350000000000001" customHeight="1" x14ac:dyDescent="0.2">
      <c r="B40" s="1158" t="s">
        <v>2094</v>
      </c>
      <c r="C40" s="1882" t="s">
        <v>2106</v>
      </c>
      <c r="D40" s="1883" t="s">
        <v>2120</v>
      </c>
      <c r="E40" s="2106">
        <v>0</v>
      </c>
      <c r="F40" s="2106">
        <v>41215</v>
      </c>
      <c r="G40" s="2106">
        <v>0</v>
      </c>
      <c r="H40" s="2105">
        <v>0</v>
      </c>
      <c r="I40" s="2106">
        <v>41215</v>
      </c>
      <c r="J40" s="2105">
        <v>0</v>
      </c>
      <c r="K40" s="2105">
        <v>0</v>
      </c>
      <c r="L40" s="2105">
        <f t="shared" si="3"/>
        <v>41215</v>
      </c>
      <c r="M40" s="1884" t="s">
        <v>2119</v>
      </c>
    </row>
    <row r="41" spans="2:14" ht="19.350000000000001" customHeight="1" x14ac:dyDescent="0.2">
      <c r="B41" s="1158" t="s">
        <v>2095</v>
      </c>
      <c r="C41" s="1882"/>
      <c r="D41" s="1883"/>
      <c r="E41" s="2105">
        <f t="shared" ref="E41:L41" si="4">SUBTOTAL(109,E36:E40)</f>
        <v>413890</v>
      </c>
      <c r="F41" s="2105">
        <f t="shared" si="4"/>
        <v>485674</v>
      </c>
      <c r="G41" s="2105">
        <f t="shared" si="4"/>
        <v>413890</v>
      </c>
      <c r="H41" s="2105">
        <f t="shared" si="4"/>
        <v>0</v>
      </c>
      <c r="I41" s="2105">
        <f t="shared" si="4"/>
        <v>485674</v>
      </c>
      <c r="J41" s="2105">
        <f t="shared" si="4"/>
        <v>0</v>
      </c>
      <c r="K41" s="2105">
        <f t="shared" si="4"/>
        <v>0</v>
      </c>
      <c r="L41" s="2105">
        <f t="shared" si="4"/>
        <v>899564</v>
      </c>
      <c r="M41" s="1884" t="s">
        <v>2119</v>
      </c>
    </row>
    <row r="42" spans="2:14" ht="19.350000000000001" customHeight="1" x14ac:dyDescent="0.2">
      <c r="B42" s="1158" t="s">
        <v>2096</v>
      </c>
      <c r="C42" s="1882"/>
      <c r="D42" s="1883"/>
      <c r="E42" s="2105">
        <f t="shared" ref="E42:L42" si="5">SUBTOTAL(109,E26:E41)</f>
        <v>579007</v>
      </c>
      <c r="F42" s="2105">
        <f t="shared" si="5"/>
        <v>839263</v>
      </c>
      <c r="G42" s="2105">
        <f t="shared" si="5"/>
        <v>689500</v>
      </c>
      <c r="H42" s="2105">
        <f t="shared" si="5"/>
        <v>0</v>
      </c>
      <c r="I42" s="2105">
        <f t="shared" si="5"/>
        <v>924748</v>
      </c>
      <c r="J42" s="2105">
        <f t="shared" si="5"/>
        <v>0</v>
      </c>
      <c r="K42" s="2105">
        <f t="shared" si="5"/>
        <v>0</v>
      </c>
      <c r="L42" s="2105">
        <f t="shared" si="5"/>
        <v>1614248</v>
      </c>
      <c r="M42" s="1884" t="s">
        <v>2119</v>
      </c>
    </row>
    <row r="43" spans="2:14" x14ac:dyDescent="0.2">
      <c r="B43" s="1158" t="s">
        <v>2097</v>
      </c>
      <c r="C43" s="1882"/>
      <c r="D43" s="1883"/>
      <c r="E43" s="2106"/>
      <c r="F43" s="2106"/>
      <c r="G43" s="2106"/>
      <c r="H43" s="2106"/>
      <c r="I43" s="2106"/>
      <c r="J43" s="2106"/>
      <c r="K43" s="2106"/>
      <c r="L43" s="2105"/>
      <c r="M43" s="1884"/>
    </row>
    <row r="44" spans="2:14" ht="13.5" customHeight="1" x14ac:dyDescent="0.2">
      <c r="B44" s="2104" t="s">
        <v>2099</v>
      </c>
      <c r="C44" s="1882"/>
      <c r="D44" s="1883"/>
      <c r="E44" s="2106"/>
      <c r="F44" s="2106"/>
      <c r="G44" s="2106"/>
      <c r="H44" s="2106"/>
      <c r="I44" s="2106"/>
      <c r="J44" s="2106"/>
      <c r="K44" s="2106"/>
      <c r="L44" s="2105"/>
      <c r="M44" s="1884"/>
    </row>
    <row r="45" spans="2:14" ht="19.350000000000001" customHeight="1" x14ac:dyDescent="0.2">
      <c r="B45" s="1158" t="s">
        <v>2100</v>
      </c>
      <c r="C45" s="1882">
        <v>93.778000000000006</v>
      </c>
      <c r="D45" s="1883">
        <v>2020</v>
      </c>
      <c r="E45" s="2106">
        <v>0</v>
      </c>
      <c r="F45" s="2106">
        <v>70895</v>
      </c>
      <c r="G45" s="2106">
        <v>0</v>
      </c>
      <c r="H45" s="2106">
        <v>0</v>
      </c>
      <c r="I45" s="2106">
        <v>70895</v>
      </c>
      <c r="J45" s="2106">
        <v>0</v>
      </c>
      <c r="K45" s="2106">
        <v>0</v>
      </c>
      <c r="L45" s="2105">
        <f t="shared" si="3"/>
        <v>70895</v>
      </c>
      <c r="M45" s="1884" t="s">
        <v>2119</v>
      </c>
    </row>
    <row r="46" spans="2:14" ht="19.350000000000001" customHeight="1" x14ac:dyDescent="0.2">
      <c r="B46" s="1158" t="s">
        <v>2100</v>
      </c>
      <c r="C46" s="1882">
        <v>93.778000000000006</v>
      </c>
      <c r="D46" s="1883">
        <v>2019</v>
      </c>
      <c r="E46" s="2106">
        <v>7214</v>
      </c>
      <c r="F46" s="2106">
        <v>0</v>
      </c>
      <c r="G46" s="2106">
        <v>7214</v>
      </c>
      <c r="H46" s="2106">
        <v>0</v>
      </c>
      <c r="I46" s="2106">
        <v>0</v>
      </c>
      <c r="J46" s="2106">
        <v>0</v>
      </c>
      <c r="K46" s="2106">
        <v>0</v>
      </c>
      <c r="L46" s="2105">
        <f>G46+I46+K46</f>
        <v>7214</v>
      </c>
      <c r="M46" s="1884" t="s">
        <v>2119</v>
      </c>
    </row>
    <row r="47" spans="2:14" ht="19.350000000000001" customHeight="1" x14ac:dyDescent="0.2">
      <c r="B47" s="1158" t="s">
        <v>2101</v>
      </c>
      <c r="C47" s="1882"/>
      <c r="D47" s="1883"/>
      <c r="E47" s="2105">
        <f t="shared" ref="E47:L47" si="6">SUBTOTAL(109,E45:E46)</f>
        <v>7214</v>
      </c>
      <c r="F47" s="2105">
        <f t="shared" si="6"/>
        <v>70895</v>
      </c>
      <c r="G47" s="2105">
        <f t="shared" si="6"/>
        <v>7214</v>
      </c>
      <c r="H47" s="2105">
        <f t="shared" si="6"/>
        <v>0</v>
      </c>
      <c r="I47" s="2105">
        <f t="shared" si="6"/>
        <v>70895</v>
      </c>
      <c r="J47" s="2105">
        <v>0</v>
      </c>
      <c r="K47" s="2105">
        <f t="shared" si="6"/>
        <v>0</v>
      </c>
      <c r="L47" s="2105">
        <f t="shared" si="6"/>
        <v>78109</v>
      </c>
      <c r="M47" s="1884" t="s">
        <v>2119</v>
      </c>
    </row>
    <row r="48" spans="2:14" ht="19.350000000000001" customHeight="1" x14ac:dyDescent="0.2">
      <c r="B48" s="1158" t="s">
        <v>2102</v>
      </c>
      <c r="C48" s="1882"/>
      <c r="D48" s="1883"/>
      <c r="E48" s="2105">
        <f t="shared" ref="E48:L48" si="7">SUBTOTAL(109,E14:E47)</f>
        <v>859179</v>
      </c>
      <c r="F48" s="2105">
        <f t="shared" si="7"/>
        <v>1143502</v>
      </c>
      <c r="G48" s="2105">
        <f t="shared" si="7"/>
        <v>975223</v>
      </c>
      <c r="H48" s="2105">
        <f t="shared" si="7"/>
        <v>0</v>
      </c>
      <c r="I48" s="2105">
        <f t="shared" si="7"/>
        <v>1198086</v>
      </c>
      <c r="J48" s="2105">
        <f t="shared" si="7"/>
        <v>0</v>
      </c>
      <c r="K48" s="2105">
        <f t="shared" si="7"/>
        <v>0</v>
      </c>
      <c r="L48" s="2105">
        <f t="shared" si="7"/>
        <v>2173309</v>
      </c>
      <c r="M48" s="1884" t="s">
        <v>2119</v>
      </c>
    </row>
    <row r="49" spans="2:13" x14ac:dyDescent="0.2">
      <c r="B49" s="1160"/>
      <c r="C49" s="1161"/>
      <c r="D49" s="1162"/>
      <c r="E49" s="1163"/>
      <c r="F49" s="1163"/>
      <c r="G49" s="1163"/>
      <c r="H49" s="1163"/>
      <c r="I49" s="1163"/>
      <c r="J49" s="1163"/>
      <c r="K49" s="1163"/>
      <c r="L49" s="1163"/>
      <c r="M49" s="1163"/>
    </row>
    <row r="50" spans="2:13" ht="11.25" customHeight="1" x14ac:dyDescent="0.2">
      <c r="B50" s="1078"/>
      <c r="C50" s="1164"/>
      <c r="D50" s="1165"/>
      <c r="E50" s="1078"/>
      <c r="F50" s="1078"/>
      <c r="G50" s="1071"/>
      <c r="H50" s="1071"/>
      <c r="I50" s="1071"/>
      <c r="J50" s="1071"/>
      <c r="K50" s="1071"/>
      <c r="L50" s="1071"/>
      <c r="M50" s="1078"/>
    </row>
    <row r="51" spans="2:13" ht="11.25" customHeight="1" x14ac:dyDescent="0.2">
      <c r="B51" s="1103" t="s">
        <v>1715</v>
      </c>
      <c r="C51" s="1164"/>
      <c r="D51" s="1165"/>
      <c r="E51" s="1078"/>
      <c r="F51" s="1078"/>
      <c r="G51" s="1071"/>
      <c r="H51" s="1071"/>
      <c r="I51" s="1071"/>
      <c r="J51" s="1071"/>
      <c r="K51" s="1071"/>
      <c r="L51" s="1071"/>
      <c r="M51" s="1078"/>
    </row>
    <row r="52" spans="2:13" ht="11.1" customHeight="1" x14ac:dyDescent="0.2">
      <c r="B52" s="1103"/>
      <c r="C52" s="1164"/>
      <c r="D52" s="1165"/>
      <c r="E52" s="1078"/>
      <c r="F52" s="1078"/>
      <c r="G52" s="1071"/>
      <c r="H52" s="1071"/>
      <c r="I52" s="1071"/>
      <c r="J52" s="1071"/>
      <c r="K52" s="1071"/>
      <c r="L52" s="1071"/>
      <c r="M52" s="1078"/>
    </row>
    <row r="53" spans="2:13" ht="11.1" customHeight="1" x14ac:dyDescent="0.2">
      <c r="B53" s="1166" t="s">
        <v>1813</v>
      </c>
      <c r="C53" s="1167"/>
      <c r="D53" s="1168"/>
      <c r="E53" s="1169"/>
      <c r="F53" s="1169"/>
      <c r="G53" s="1169"/>
      <c r="H53" s="1169"/>
      <c r="I53" s="295"/>
      <c r="J53" s="295"/>
    </row>
    <row r="54" spans="2:13" ht="13.5" customHeight="1" x14ac:dyDescent="0.2">
      <c r="B54" s="1098"/>
      <c r="C54" s="1170"/>
      <c r="D54" s="1171"/>
      <c r="E54" s="1099"/>
      <c r="F54" s="1099"/>
      <c r="G54" s="295"/>
      <c r="H54" s="295"/>
      <c r="I54" s="295"/>
      <c r="J54" s="295"/>
    </row>
    <row r="55" spans="2:13" ht="13.5" customHeight="1" x14ac:dyDescent="0.2">
      <c r="B55" s="1097" t="s">
        <v>1237</v>
      </c>
      <c r="G55" s="295"/>
      <c r="H55" s="295"/>
      <c r="I55" s="295"/>
      <c r="J55" s="295"/>
    </row>
    <row r="56" spans="2:13" ht="13.5" customHeight="1" x14ac:dyDescent="0.2">
      <c r="B56" s="1174"/>
      <c r="C56" s="1175"/>
      <c r="D56" s="1176"/>
      <c r="E56" s="1118"/>
      <c r="F56" s="1118"/>
      <c r="G56" s="1118"/>
      <c r="H56" s="1118"/>
      <c r="I56" s="1118"/>
      <c r="J56" s="1118"/>
      <c r="K56" s="1177"/>
      <c r="L56" s="1177"/>
      <c r="M56" s="1118"/>
    </row>
    <row r="57" spans="2:13" ht="8.25" customHeight="1" x14ac:dyDescent="0.2">
      <c r="B57" s="1178"/>
      <c r="G57" s="295"/>
      <c r="H57" s="295"/>
      <c r="I57" s="295"/>
      <c r="J57" s="295"/>
    </row>
    <row r="58" spans="2:13" ht="13.5" customHeight="1" x14ac:dyDescent="0.2">
      <c r="B58" s="1179" t="s">
        <v>1716</v>
      </c>
      <c r="C58" s="1180"/>
      <c r="D58" s="1180"/>
      <c r="E58" s="1180"/>
      <c r="F58" s="1180"/>
      <c r="G58" s="1180"/>
      <c r="H58" s="1180"/>
      <c r="I58" s="1181"/>
      <c r="J58" s="1181"/>
      <c r="K58" s="1181"/>
      <c r="L58" s="1181"/>
      <c r="M58" s="1181"/>
    </row>
    <row r="59" spans="2:13" ht="13.5" customHeight="1" x14ac:dyDescent="0.2">
      <c r="B59" s="1182" t="s">
        <v>1570</v>
      </c>
      <c r="C59" s="1181"/>
      <c r="D59" s="1181"/>
      <c r="E59" s="1181"/>
      <c r="F59" s="1181"/>
      <c r="G59" s="1181"/>
      <c r="H59" s="1181"/>
      <c r="I59" s="1181"/>
      <c r="J59" s="1181"/>
      <c r="K59" s="1181"/>
      <c r="L59" s="1181"/>
      <c r="M59" s="1181"/>
    </row>
    <row r="60" spans="2:13" ht="5.25" customHeight="1" x14ac:dyDescent="0.2">
      <c r="B60" s="1182"/>
      <c r="C60" s="1181"/>
      <c r="D60" s="1181"/>
      <c r="E60" s="1181"/>
      <c r="F60" s="1181"/>
      <c r="G60" s="1181"/>
      <c r="H60" s="1181"/>
      <c r="I60" s="1181"/>
      <c r="J60" s="1181"/>
      <c r="K60" s="1181"/>
      <c r="L60" s="1181"/>
      <c r="M60" s="1181"/>
    </row>
    <row r="61" spans="2:13" ht="13.5" customHeight="1" x14ac:dyDescent="0.2">
      <c r="B61" s="1179" t="s">
        <v>1717</v>
      </c>
      <c r="C61" s="1181"/>
      <c r="D61" s="1181"/>
      <c r="E61" s="1181"/>
      <c r="F61" s="1181"/>
      <c r="G61" s="1181"/>
      <c r="H61" s="1181"/>
      <c r="I61" s="1181"/>
      <c r="J61" s="1181"/>
      <c r="K61" s="1181"/>
      <c r="L61" s="1181"/>
      <c r="M61" s="1181"/>
    </row>
    <row r="62" spans="2:13" ht="13.5" customHeight="1" x14ac:dyDescent="0.2">
      <c r="B62" s="1121" t="s">
        <v>1571</v>
      </c>
      <c r="C62" s="1183"/>
      <c r="D62" s="1184"/>
      <c r="E62" s="1121"/>
      <c r="F62" s="1121"/>
      <c r="G62" s="1121"/>
      <c r="H62" s="1121"/>
      <c r="I62" s="1121"/>
      <c r="J62" s="1121"/>
      <c r="K62" s="1185"/>
      <c r="L62" s="1185"/>
      <c r="M62" s="1121"/>
    </row>
    <row r="63" spans="2:13" ht="1.5" customHeight="1" x14ac:dyDescent="0.2">
      <c r="B63" s="1121"/>
      <c r="C63" s="1183"/>
      <c r="D63" s="1184"/>
      <c r="E63" s="1121"/>
      <c r="F63" s="1121"/>
      <c r="G63" s="1121"/>
      <c r="H63" s="1121"/>
      <c r="I63" s="1121"/>
      <c r="J63" s="1121"/>
      <c r="K63" s="1185"/>
      <c r="L63" s="1185"/>
      <c r="M63" s="1121"/>
    </row>
    <row r="64" spans="2:13" ht="13.5" customHeight="1" x14ac:dyDescent="0.2">
      <c r="B64" s="1186" t="s">
        <v>1718</v>
      </c>
      <c r="C64" s="1183"/>
      <c r="D64" s="1184"/>
      <c r="E64" s="1121"/>
      <c r="F64" s="1121"/>
      <c r="G64" s="1121"/>
      <c r="H64" s="1121"/>
      <c r="I64" s="1121"/>
      <c r="J64" s="1121"/>
      <c r="K64" s="1185"/>
      <c r="L64" s="1185"/>
      <c r="M64" s="1121"/>
    </row>
    <row r="65" spans="2:13" ht="13.5" customHeight="1" x14ac:dyDescent="0.2">
      <c r="B65" s="1186"/>
      <c r="C65" s="1183"/>
      <c r="D65" s="1184"/>
      <c r="E65" s="1121"/>
      <c r="F65" s="1121"/>
      <c r="G65" s="1121"/>
      <c r="H65" s="1121"/>
      <c r="I65" s="1121"/>
      <c r="J65" s="1121"/>
      <c r="K65" s="1185"/>
      <c r="L65" s="1185"/>
      <c r="M65" s="1121"/>
    </row>
    <row r="66" spans="2:13" ht="13.5" customHeight="1" x14ac:dyDescent="0.2">
      <c r="B66" s="1187" t="s">
        <v>1719</v>
      </c>
      <c r="C66" s="1183"/>
      <c r="D66" s="1184"/>
      <c r="E66" s="1121"/>
      <c r="F66" s="1121"/>
      <c r="G66" s="1121"/>
      <c r="H66" s="1121"/>
      <c r="I66" s="1121"/>
      <c r="J66" s="1121"/>
      <c r="K66" s="1185"/>
      <c r="L66" s="1185"/>
      <c r="M66" s="1121"/>
    </row>
    <row r="67" spans="2:13" x14ac:dyDescent="0.2">
      <c r="B67" s="1121" t="s">
        <v>1572</v>
      </c>
      <c r="G67" s="295"/>
      <c r="H67" s="295"/>
      <c r="I67" s="295"/>
      <c r="J67" s="295"/>
    </row>
    <row r="68" spans="2:13" ht="25.5" customHeight="1" x14ac:dyDescent="0.2">
      <c r="B68" s="1121"/>
      <c r="G68" s="295"/>
      <c r="H68" s="295"/>
      <c r="I68" s="295"/>
      <c r="J68" s="295"/>
    </row>
    <row r="69" spans="2:13" ht="25.5" customHeight="1" x14ac:dyDescent="0.2">
      <c r="B69" s="1121"/>
      <c r="G69" s="295"/>
      <c r="H69" s="295"/>
      <c r="I69" s="295"/>
      <c r="J69" s="295"/>
    </row>
    <row r="70" spans="2:13" ht="25.5" customHeight="1" x14ac:dyDescent="0.2">
      <c r="M70" s="1188"/>
    </row>
    <row r="71" spans="2:13" ht="25.5" customHeight="1" x14ac:dyDescent="0.2">
      <c r="M71" s="1188"/>
    </row>
    <row r="72" spans="2:13" ht="25.5" customHeight="1" x14ac:dyDescent="0.2">
      <c r="M72" s="1188"/>
    </row>
    <row r="73" spans="2:13" ht="25.5" customHeight="1" x14ac:dyDescent="0.2">
      <c r="G73" s="295"/>
      <c r="H73" s="295"/>
      <c r="I73" s="295"/>
      <c r="J73" s="295"/>
    </row>
    <row r="74" spans="2:13" ht="25.5" customHeight="1" x14ac:dyDescent="0.2">
      <c r="G74" s="295"/>
      <c r="H74" s="295"/>
      <c r="I74" s="295"/>
      <c r="J74" s="295"/>
    </row>
    <row r="75" spans="2:13" ht="25.5" customHeight="1" x14ac:dyDescent="0.2">
      <c r="G75" s="295"/>
      <c r="H75" s="295"/>
      <c r="I75" s="295"/>
      <c r="J75" s="295"/>
    </row>
    <row r="76" spans="2:13" ht="25.5" customHeight="1" x14ac:dyDescent="0.2">
      <c r="G76" s="295"/>
      <c r="H76" s="295"/>
      <c r="I76" s="295"/>
      <c r="J76" s="295"/>
    </row>
    <row r="77" spans="2:13" ht="25.5" customHeight="1" x14ac:dyDescent="0.2">
      <c r="G77" s="295"/>
      <c r="H77" s="295"/>
      <c r="I77" s="295"/>
      <c r="J77" s="295"/>
    </row>
    <row r="78" spans="2:13" ht="25.5" customHeight="1" x14ac:dyDescent="0.2">
      <c r="G78" s="295"/>
      <c r="H78" s="295"/>
      <c r="I78" s="295"/>
      <c r="J78" s="295"/>
    </row>
    <row r="79" spans="2:13" ht="13.5" customHeight="1" x14ac:dyDescent="0.2">
      <c r="G79" s="295"/>
      <c r="H79" s="295"/>
      <c r="I79" s="295"/>
      <c r="J79" s="295"/>
    </row>
    <row r="80" spans="2:13"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53" firstPageNumber="38" orientation="landscape" useFirstPageNumber="1" r:id="rId1"/>
  <headerFooter alignWithMargins="0">
    <oddHeader>&amp;L&amp;8Page 40&amp;R&amp;8Page 40</oddHeader>
  </headerFooter>
  <ignoredErrors>
    <ignoredError sqref="F14:L16 E15:E40 F38:L40 G37:L37 E42:E48 F42:L48 E41:G41 L41 F18:L36 F17:K17" unlockedFormula="1"/>
    <ignoredError sqref="H41:K41" formulaRange="1" unlockedFormula="1"/>
    <ignoredError sqref="L17"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6" colorId="8" zoomScaleNormal="100" workbookViewId="0">
      <selection activeCell="A2" sqref="A2:J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7" t="s">
        <v>1160</v>
      </c>
      <c r="B2" s="2227"/>
      <c r="C2" s="2227"/>
      <c r="D2" s="2227"/>
      <c r="E2" s="2227"/>
      <c r="F2" s="2227"/>
      <c r="G2" s="2227"/>
      <c r="H2" s="2227"/>
      <c r="I2" s="2227"/>
      <c r="J2" s="222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1" t="s">
        <v>1619</v>
      </c>
      <c r="B35" s="2242"/>
      <c r="C35" s="2242"/>
      <c r="D35" s="2242"/>
      <c r="E35" s="2243"/>
      <c r="F35" s="2243"/>
      <c r="G35" s="2243"/>
      <c r="H35" s="2243"/>
      <c r="I35" s="224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1" t="s">
        <v>310</v>
      </c>
      <c r="B47" s="2244"/>
      <c r="C47" s="2244"/>
      <c r="D47" s="2244"/>
      <c r="E47" s="2245"/>
      <c r="F47" s="2245"/>
      <c r="G47" s="2245"/>
      <c r="H47" s="2245"/>
      <c r="I47" s="224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2026</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2026</v>
      </c>
      <c r="C53" s="174">
        <v>22</v>
      </c>
      <c r="D53" s="242" t="s">
        <v>1448</v>
      </c>
      <c r="E53" s="243"/>
      <c r="F53" s="244"/>
      <c r="G53" s="244" t="s">
        <v>1447</v>
      </c>
      <c r="H53" s="245">
        <v>34700</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8"/>
      <c r="C57" s="2249"/>
      <c r="D57" s="2249"/>
      <c r="E57" s="2249"/>
      <c r="F57" s="2249"/>
      <c r="G57" s="2249"/>
      <c r="H57" s="2249"/>
      <c r="I57" s="2249"/>
      <c r="J57" s="2250"/>
    </row>
    <row r="58" spans="1:10" s="176" customFormat="1" x14ac:dyDescent="0.2">
      <c r="A58" s="248"/>
      <c r="B58" s="2251"/>
      <c r="C58" s="2252"/>
      <c r="D58" s="2252"/>
      <c r="E58" s="2252"/>
      <c r="F58" s="2252"/>
      <c r="G58" s="2252"/>
      <c r="H58" s="2252"/>
      <c r="I58" s="2252"/>
      <c r="J58" s="2253"/>
    </row>
    <row r="59" spans="1:10" s="176" customFormat="1" x14ac:dyDescent="0.2">
      <c r="A59" s="248"/>
      <c r="B59" s="2251"/>
      <c r="C59" s="2252"/>
      <c r="D59" s="2252"/>
      <c r="E59" s="2252"/>
      <c r="F59" s="2252"/>
      <c r="G59" s="2252"/>
      <c r="H59" s="2252"/>
      <c r="I59" s="2252"/>
      <c r="J59" s="2253"/>
    </row>
    <row r="60" spans="1:10" s="176" customFormat="1" x14ac:dyDescent="0.2">
      <c r="A60" s="248"/>
      <c r="B60" s="2251"/>
      <c r="C60" s="2252"/>
      <c r="D60" s="2252"/>
      <c r="E60" s="2252"/>
      <c r="F60" s="2252"/>
      <c r="G60" s="2252"/>
      <c r="H60" s="2252"/>
      <c r="I60" s="2252"/>
      <c r="J60" s="2253"/>
    </row>
    <row r="61" spans="1:10" s="176" customFormat="1" x14ac:dyDescent="0.2">
      <c r="A61" s="248"/>
      <c r="B61" s="2251"/>
      <c r="C61" s="2252"/>
      <c r="D61" s="2252"/>
      <c r="E61" s="2252"/>
      <c r="F61" s="2252"/>
      <c r="G61" s="2252"/>
      <c r="H61" s="2252"/>
      <c r="I61" s="2252"/>
      <c r="J61" s="2253"/>
    </row>
    <row r="62" spans="1:10" s="176" customFormat="1" x14ac:dyDescent="0.2">
      <c r="A62" s="248"/>
      <c r="B62" s="2251"/>
      <c r="C62" s="2252"/>
      <c r="D62" s="2252"/>
      <c r="E62" s="2252"/>
      <c r="F62" s="2252"/>
      <c r="G62" s="2252"/>
      <c r="H62" s="2252"/>
      <c r="I62" s="2252"/>
      <c r="J62" s="2253"/>
    </row>
    <row r="63" spans="1:10" s="176" customFormat="1" x14ac:dyDescent="0.2">
      <c r="A63" s="248"/>
      <c r="B63" s="2251"/>
      <c r="C63" s="2252"/>
      <c r="D63" s="2252"/>
      <c r="E63" s="2252"/>
      <c r="F63" s="2252"/>
      <c r="G63" s="2252"/>
      <c r="H63" s="2252"/>
      <c r="I63" s="2252"/>
      <c r="J63" s="2253"/>
    </row>
    <row r="64" spans="1:10" s="176" customFormat="1" x14ac:dyDescent="0.2">
      <c r="A64" s="248"/>
      <c r="B64" s="2251"/>
      <c r="C64" s="2252"/>
      <c r="D64" s="2252"/>
      <c r="E64" s="2252"/>
      <c r="F64" s="2252"/>
      <c r="G64" s="2252"/>
      <c r="H64" s="2252"/>
      <c r="I64" s="2252"/>
      <c r="J64" s="2253"/>
    </row>
    <row r="65" spans="1:11" s="176" customFormat="1" x14ac:dyDescent="0.2">
      <c r="A65" s="248"/>
      <c r="B65" s="2251"/>
      <c r="C65" s="2252"/>
      <c r="D65" s="2252"/>
      <c r="E65" s="2252"/>
      <c r="F65" s="2252"/>
      <c r="G65" s="2252"/>
      <c r="H65" s="2252"/>
      <c r="I65" s="2252"/>
      <c r="J65" s="2253"/>
    </row>
    <row r="66" spans="1:11" s="176" customFormat="1" x14ac:dyDescent="0.2">
      <c r="A66" s="248"/>
      <c r="B66" s="2251"/>
      <c r="C66" s="2252"/>
      <c r="D66" s="2252"/>
      <c r="E66" s="2252"/>
      <c r="F66" s="2252"/>
      <c r="G66" s="2252"/>
      <c r="H66" s="2252"/>
      <c r="I66" s="2252"/>
      <c r="J66" s="2253"/>
    </row>
    <row r="67" spans="1:11" s="176" customFormat="1" ht="9" customHeight="1" x14ac:dyDescent="0.2">
      <c r="A67" s="249"/>
      <c r="B67" s="2254"/>
      <c r="C67" s="2255"/>
      <c r="D67" s="2255"/>
      <c r="E67" s="2255"/>
      <c r="F67" s="2255"/>
      <c r="G67" s="2255"/>
      <c r="H67" s="2255"/>
      <c r="I67" s="2255"/>
      <c r="J67" s="225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1" t="s">
        <v>1314</v>
      </c>
      <c r="B70" s="2244"/>
      <c r="C70" s="2244"/>
      <c r="D70" s="2244"/>
      <c r="E70" s="2245"/>
      <c r="F70" s="2245"/>
      <c r="G70" s="2245"/>
      <c r="H70" s="2245"/>
      <c r="I70" s="224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6" t="s">
        <v>1311</v>
      </c>
      <c r="B83" s="2246"/>
      <c r="C83" s="2246"/>
      <c r="D83" s="224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7" t="s">
        <v>1990</v>
      </c>
      <c r="B85" s="2257"/>
      <c r="C85" s="2257"/>
      <c r="D85" s="225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9" t="s">
        <v>1990</v>
      </c>
      <c r="B88" s="2260"/>
      <c r="C88" s="2260"/>
      <c r="D88" s="226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8"/>
      <c r="C102" s="2229"/>
      <c r="D102" s="2229"/>
      <c r="E102" s="2229"/>
      <c r="F102" s="2229"/>
      <c r="G102" s="2229"/>
      <c r="H102" s="2229"/>
      <c r="I102" s="2230"/>
    </row>
    <row r="103" spans="1:9" s="176" customFormat="1" ht="11.25" customHeight="1" x14ac:dyDescent="0.2">
      <c r="A103" s="294"/>
      <c r="B103" s="2231"/>
      <c r="C103" s="2232"/>
      <c r="D103" s="2232"/>
      <c r="E103" s="2232"/>
      <c r="F103" s="2232"/>
      <c r="G103" s="2232"/>
      <c r="H103" s="2232"/>
      <c r="I103" s="2233"/>
    </row>
    <row r="104" spans="1:9" s="176" customFormat="1" ht="11.25" customHeight="1" x14ac:dyDescent="0.2">
      <c r="A104" s="294"/>
      <c r="B104" s="2231"/>
      <c r="C104" s="2232"/>
      <c r="D104" s="2232"/>
      <c r="E104" s="2232"/>
      <c r="F104" s="2232"/>
      <c r="G104" s="2232"/>
      <c r="H104" s="2232"/>
      <c r="I104" s="2233"/>
    </row>
    <row r="105" spans="1:9" s="176" customFormat="1" x14ac:dyDescent="0.2">
      <c r="A105" s="294"/>
      <c r="B105" s="2231"/>
      <c r="C105" s="2232"/>
      <c r="D105" s="2232"/>
      <c r="E105" s="2232"/>
      <c r="F105" s="2232"/>
      <c r="G105" s="2232"/>
      <c r="H105" s="2232"/>
      <c r="I105" s="2233"/>
    </row>
    <row r="106" spans="1:9" s="176" customFormat="1" ht="11.25" customHeight="1" x14ac:dyDescent="0.2">
      <c r="A106" s="294"/>
      <c r="B106" s="2231"/>
      <c r="C106" s="2232"/>
      <c r="D106" s="2232"/>
      <c r="E106" s="2232"/>
      <c r="F106" s="2232"/>
      <c r="G106" s="2232"/>
      <c r="H106" s="2232"/>
      <c r="I106" s="2233"/>
    </row>
    <row r="107" spans="1:9" s="176" customFormat="1" ht="11.25" customHeight="1" x14ac:dyDescent="0.2">
      <c r="A107" s="294"/>
      <c r="B107" s="2231"/>
      <c r="C107" s="2232"/>
      <c r="D107" s="2232"/>
      <c r="E107" s="2232"/>
      <c r="F107" s="2232"/>
      <c r="G107" s="2232"/>
      <c r="H107" s="2232"/>
      <c r="I107" s="2233"/>
    </row>
    <row r="108" spans="1:9" s="176" customFormat="1" ht="11.25" customHeight="1" x14ac:dyDescent="0.2">
      <c r="A108" s="294"/>
      <c r="B108" s="2231"/>
      <c r="C108" s="2232"/>
      <c r="D108" s="2232"/>
      <c r="E108" s="2232"/>
      <c r="F108" s="2232"/>
      <c r="G108" s="2232"/>
      <c r="H108" s="2232"/>
      <c r="I108" s="2233"/>
    </row>
    <row r="109" spans="1:9" s="176" customFormat="1" ht="11.25" customHeight="1" x14ac:dyDescent="0.2">
      <c r="A109" s="294"/>
      <c r="B109" s="2231"/>
      <c r="C109" s="2232"/>
      <c r="D109" s="2232"/>
      <c r="E109" s="2232"/>
      <c r="F109" s="2232"/>
      <c r="G109" s="2232"/>
      <c r="H109" s="2232"/>
      <c r="I109" s="2233"/>
    </row>
    <row r="110" spans="1:9" s="176" customFormat="1" ht="11.25" customHeight="1" x14ac:dyDescent="0.2">
      <c r="A110" s="294"/>
      <c r="B110" s="2231"/>
      <c r="C110" s="2232"/>
      <c r="D110" s="2232"/>
      <c r="E110" s="2232"/>
      <c r="F110" s="2232"/>
      <c r="G110" s="2232"/>
      <c r="H110" s="2232"/>
      <c r="I110" s="2233"/>
    </row>
    <row r="111" spans="1:9" s="176" customFormat="1" ht="11.25" customHeight="1" x14ac:dyDescent="0.2">
      <c r="A111" s="294"/>
      <c r="B111" s="2231"/>
      <c r="C111" s="2232"/>
      <c r="D111" s="2232"/>
      <c r="E111" s="2232"/>
      <c r="F111" s="2232"/>
      <c r="G111" s="2232"/>
      <c r="H111" s="2232"/>
      <c r="I111" s="2233"/>
    </row>
    <row r="112" spans="1:9" s="176" customFormat="1" ht="11.25" customHeight="1" x14ac:dyDescent="0.2">
      <c r="A112" s="294"/>
      <c r="B112" s="2234"/>
      <c r="C112" s="2235"/>
      <c r="D112" s="2235"/>
      <c r="E112" s="2235"/>
      <c r="F112" s="2235"/>
      <c r="G112" s="2235"/>
      <c r="H112" s="2235"/>
      <c r="I112" s="223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7"/>
      <c r="D114" s="223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8" t="s">
        <v>1321</v>
      </c>
      <c r="D117" s="2239"/>
      <c r="E117" s="2240"/>
      <c r="F117" s="2240"/>
      <c r="G117" s="2240"/>
      <c r="H117" s="224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 zoomScale="120" zoomScaleNormal="120" workbookViewId="0">
      <selection activeCell="C17" sqref="C1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9" t="str">
        <f>'Single Audit Cover'!A7</f>
        <v xml:space="preserve">  Forest Ridge SD 142 </v>
      </c>
      <c r="B1" s="2679"/>
      <c r="C1" s="2679"/>
      <c r="D1" s="2679"/>
      <c r="E1" s="2679"/>
      <c r="F1" s="2679"/>
    </row>
    <row r="2" spans="1:7" ht="13.5" customHeight="1" x14ac:dyDescent="0.2">
      <c r="A2" s="2667">
        <f>'Single Audit Cover'!E7</f>
        <v>7016142002</v>
      </c>
      <c r="B2" s="2667"/>
      <c r="C2" s="2667"/>
      <c r="D2" s="2667"/>
      <c r="E2" s="2667"/>
      <c r="F2" s="2667"/>
      <c r="G2" s="1096"/>
    </row>
    <row r="3" spans="1:7" ht="15.75" customHeight="1" x14ac:dyDescent="0.2">
      <c r="A3" s="2680" t="s">
        <v>1262</v>
      </c>
      <c r="B3" s="2680"/>
      <c r="C3" s="2680"/>
      <c r="D3" s="2680"/>
      <c r="E3" s="2680"/>
      <c r="F3" s="2680"/>
    </row>
    <row r="4" spans="1:7" ht="13.5" customHeight="1" x14ac:dyDescent="0.2">
      <c r="A4" s="2681" t="str">
        <f>'Single Audit Cover'!A4</f>
        <v>Year Ending June 30, 2020</v>
      </c>
      <c r="B4" s="2681"/>
      <c r="C4" s="2681"/>
      <c r="D4" s="2681"/>
      <c r="E4" s="2681"/>
      <c r="F4" s="2681"/>
    </row>
    <row r="5" spans="1:7" ht="8.25" customHeight="1" x14ac:dyDescent="0.2">
      <c r="C5" s="295"/>
      <c r="D5" s="295"/>
    </row>
    <row r="6" spans="1:7" ht="13.5" customHeight="1" x14ac:dyDescent="0.2">
      <c r="A6" s="1097" t="s">
        <v>1708</v>
      </c>
      <c r="C6" s="295"/>
      <c r="D6" s="295"/>
    </row>
    <row r="7" spans="1:7" ht="60.95" customHeight="1" x14ac:dyDescent="0.2">
      <c r="A7" s="2678" t="s">
        <v>2128</v>
      </c>
      <c r="B7" s="2678"/>
      <c r="C7" s="2678"/>
      <c r="D7" s="2678"/>
      <c r="E7" s="2678"/>
      <c r="F7" s="2678"/>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2127</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8" t="s">
        <v>1710</v>
      </c>
      <c r="B13" s="2678"/>
      <c r="C13" s="2678"/>
      <c r="D13" s="2678"/>
      <c r="E13" s="2678"/>
      <c r="F13" s="2678"/>
    </row>
    <row r="14" spans="1:7" ht="9.75" customHeight="1" x14ac:dyDescent="0.2">
      <c r="C14" s="1081"/>
      <c r="D14" s="1081"/>
    </row>
    <row r="15" spans="1:7" ht="13.5" customHeight="1" x14ac:dyDescent="0.2">
      <c r="C15" s="1525" t="s">
        <v>1261</v>
      </c>
      <c r="D15" s="2676" t="s">
        <v>1260</v>
      </c>
      <c r="E15" s="2676"/>
      <c r="F15" s="2676"/>
    </row>
    <row r="16" spans="1:7" ht="13.5" customHeight="1" x14ac:dyDescent="0.2">
      <c r="A16" s="1103"/>
      <c r="B16" s="1097" t="s">
        <v>1259</v>
      </c>
      <c r="C16" s="1525" t="s">
        <v>1258</v>
      </c>
      <c r="D16" s="2677" t="s">
        <v>1574</v>
      </c>
      <c r="E16" s="2677"/>
      <c r="F16" s="2677"/>
    </row>
    <row r="17" spans="1:6" ht="20.45" customHeight="1" x14ac:dyDescent="0.2">
      <c r="A17" s="1104"/>
      <c r="B17" s="1105" t="s">
        <v>2130</v>
      </c>
      <c r="C17" s="1106"/>
      <c r="D17" s="2671"/>
      <c r="E17" s="2671"/>
      <c r="F17" s="2671"/>
    </row>
    <row r="18" spans="1:6" ht="20.65" customHeight="1" x14ac:dyDescent="0.2">
      <c r="A18" s="1104"/>
      <c r="B18" s="1105"/>
      <c r="C18" s="1106"/>
      <c r="D18" s="2671"/>
      <c r="E18" s="2671"/>
      <c r="F18" s="2671"/>
    </row>
    <row r="19" spans="1:6" ht="20.65" customHeight="1" x14ac:dyDescent="0.2">
      <c r="A19" s="1104"/>
      <c r="B19" s="1105"/>
      <c r="C19" s="1106"/>
      <c r="D19" s="2671"/>
      <c r="E19" s="2671"/>
      <c r="F19" s="2671"/>
    </row>
    <row r="20" spans="1:6" ht="20.65" customHeight="1" x14ac:dyDescent="0.2">
      <c r="A20" s="1104"/>
      <c r="B20" s="1105"/>
      <c r="C20" s="1106"/>
      <c r="D20" s="2671"/>
      <c r="E20" s="2671"/>
      <c r="F20" s="2671"/>
    </row>
    <row r="21" spans="1:6" ht="20.65" customHeight="1" x14ac:dyDescent="0.2">
      <c r="A21" s="1104"/>
      <c r="B21" s="1105"/>
      <c r="C21" s="1106"/>
      <c r="D21" s="2671"/>
      <c r="E21" s="2671"/>
      <c r="F21" s="2671"/>
    </row>
    <row r="22" spans="1:6" ht="20.65" customHeight="1" x14ac:dyDescent="0.2">
      <c r="A22" s="1104"/>
      <c r="B22" s="1105"/>
      <c r="C22" s="1106"/>
      <c r="D22" s="2671"/>
      <c r="E22" s="2671"/>
      <c r="F22" s="2671"/>
    </row>
    <row r="23" spans="1:6" ht="20.65" customHeight="1" x14ac:dyDescent="0.2">
      <c r="A23" s="1104"/>
      <c r="B23" s="1105"/>
      <c r="C23" s="1106"/>
      <c r="D23" s="2671"/>
      <c r="E23" s="2671"/>
      <c r="F23" s="2671"/>
    </row>
    <row r="24" spans="1:6" ht="20.65" customHeight="1" x14ac:dyDescent="0.2">
      <c r="A24" s="1104"/>
      <c r="B24" s="1105"/>
      <c r="C24" s="1106"/>
      <c r="D24" s="2671"/>
      <c r="E24" s="2671"/>
      <c r="F24" s="2671"/>
    </row>
    <row r="25" spans="1:6" ht="20.65" customHeight="1" x14ac:dyDescent="0.2">
      <c r="A25" s="1104"/>
      <c r="B25" s="1105"/>
      <c r="C25" s="1106"/>
      <c r="D25" s="2671"/>
      <c r="E25" s="2671"/>
      <c r="F25" s="2671"/>
    </row>
    <row r="26" spans="1:6" ht="20.65" customHeight="1" x14ac:dyDescent="0.2">
      <c r="A26" s="1104"/>
      <c r="B26" s="1105"/>
      <c r="C26" s="1106"/>
      <c r="D26" s="2671"/>
      <c r="E26" s="2671"/>
      <c r="F26" s="2671"/>
    </row>
    <row r="27" spans="1:6" ht="20.65" customHeight="1" x14ac:dyDescent="0.2">
      <c r="A27" s="1104"/>
      <c r="B27" s="1105"/>
      <c r="C27" s="1106"/>
      <c r="D27" s="2671"/>
      <c r="E27" s="2671"/>
      <c r="F27" s="2671"/>
    </row>
    <row r="28" spans="1:6" ht="20.65" customHeight="1" x14ac:dyDescent="0.2">
      <c r="A28" s="1104"/>
      <c r="B28" s="1105"/>
      <c r="C28" s="1106"/>
      <c r="D28" s="2671"/>
      <c r="E28" s="2671"/>
      <c r="F28" s="2671"/>
    </row>
    <row r="29" spans="1:6" ht="20.65" customHeight="1" x14ac:dyDescent="0.2">
      <c r="A29" s="1104"/>
      <c r="B29" s="1105"/>
      <c r="C29" s="1106"/>
      <c r="D29" s="2671"/>
      <c r="E29" s="2671"/>
      <c r="F29" s="2671"/>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2" t="s">
        <v>2129</v>
      </c>
      <c r="B32" s="2672"/>
      <c r="C32" s="2672"/>
      <c r="D32" s="2672"/>
      <c r="E32" s="2672"/>
      <c r="F32" s="2672"/>
    </row>
    <row r="33" spans="1:6" ht="13.5" customHeight="1" x14ac:dyDescent="0.2">
      <c r="A33" s="306" t="s">
        <v>1420</v>
      </c>
      <c r="B33" s="306"/>
      <c r="C33" s="1109">
        <v>16822</v>
      </c>
      <c r="D33" s="1576"/>
      <c r="E33" s="1107"/>
    </row>
    <row r="34" spans="1:6" ht="13.5" customHeight="1" x14ac:dyDescent="0.2">
      <c r="A34" s="306" t="s">
        <v>1812</v>
      </c>
      <c r="B34" s="306"/>
      <c r="C34" s="1110">
        <v>8945</v>
      </c>
      <c r="D34" s="1576" t="s">
        <v>1575</v>
      </c>
      <c r="E34" s="2673">
        <f>+C33+C34</f>
        <v>25767</v>
      </c>
      <c r="F34" s="267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5" t="s">
        <v>1576</v>
      </c>
      <c r="C49" s="2675"/>
      <c r="D49" s="2675"/>
      <c r="E49" s="1213"/>
    </row>
    <row r="50" spans="1:5" s="1121" customFormat="1" ht="3.75" customHeight="1" x14ac:dyDescent="0.2">
      <c r="A50" s="1120"/>
      <c r="B50" s="1524"/>
      <c r="C50" s="1524"/>
      <c r="D50" s="1524"/>
      <c r="E50" s="1213"/>
    </row>
    <row r="51" spans="1:5" s="1121" customFormat="1" ht="20.25" customHeight="1" x14ac:dyDescent="0.2">
      <c r="A51" s="1122">
        <v>6</v>
      </c>
      <c r="B51" s="2670" t="s">
        <v>1537</v>
      </c>
      <c r="C51" s="2670"/>
      <c r="D51" s="2670"/>
    </row>
    <row r="52" spans="1:5" ht="14.25" customHeight="1" x14ac:dyDescent="0.2">
      <c r="A52" s="1122"/>
      <c r="B52" s="2670"/>
      <c r="C52" s="2670"/>
      <c r="D52" s="267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52" sqref="G52"/>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3" t="str">
        <f>'Single Audit Cover'!A7</f>
        <v xml:space="preserve">  Forest Ridge SD 142 </v>
      </c>
      <c r="C1" s="2694"/>
      <c r="D1" s="2694"/>
      <c r="E1" s="2694"/>
      <c r="F1" s="2694"/>
      <c r="G1" s="2694"/>
      <c r="H1" s="2694"/>
      <c r="I1" s="2694"/>
      <c r="J1" s="1223"/>
    </row>
    <row r="2" spans="2:10" s="295" customFormat="1" ht="12.75" customHeight="1" x14ac:dyDescent="0.2">
      <c r="B2" s="2695">
        <f>'Single Audit Cover'!E7</f>
        <v>7016142002</v>
      </c>
      <c r="C2" s="2696"/>
      <c r="D2" s="2696"/>
      <c r="E2" s="2696"/>
      <c r="F2" s="2696"/>
      <c r="G2" s="2696"/>
      <c r="H2" s="2696"/>
      <c r="I2" s="2696"/>
      <c r="J2" s="1223"/>
    </row>
    <row r="3" spans="2:10" s="295" customFormat="1" ht="12.75" customHeight="1" x14ac:dyDescent="0.2">
      <c r="B3" s="2697" t="s">
        <v>1276</v>
      </c>
      <c r="C3" s="2698"/>
      <c r="D3" s="2698"/>
      <c r="E3" s="2698"/>
      <c r="F3" s="2698"/>
      <c r="G3" s="2698"/>
      <c r="H3" s="2698"/>
      <c r="I3" s="2698"/>
      <c r="J3" s="1224"/>
    </row>
    <row r="4" spans="2:10" s="295" customFormat="1" ht="12.75" customHeight="1" x14ac:dyDescent="0.2">
      <c r="B4" s="2697" t="str">
        <f>'Single Audit Cover'!A4</f>
        <v>Year Ending June 30, 2020</v>
      </c>
      <c r="C4" s="2698"/>
      <c r="D4" s="2698"/>
      <c r="E4" s="2698"/>
      <c r="F4" s="2698"/>
      <c r="G4" s="2698"/>
      <c r="H4" s="2698"/>
      <c r="I4" s="2698"/>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7" t="s">
        <v>1275</v>
      </c>
      <c r="C7" s="2698"/>
      <c r="D7" s="2698"/>
      <c r="E7" s="2698"/>
      <c r="F7" s="2698"/>
      <c r="G7" s="2698"/>
      <c r="H7" s="2698"/>
      <c r="I7" s="2698"/>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9" t="s">
        <v>2131</v>
      </c>
      <c r="D11" s="2699"/>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2127</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2127</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2127</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2127</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2127</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700" t="s">
        <v>2132</v>
      </c>
      <c r="E29" s="2700"/>
      <c r="F29" s="2700"/>
      <c r="G29" s="2700"/>
      <c r="H29" s="2700"/>
      <c r="I29" s="2700"/>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2127</v>
      </c>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701" t="s">
        <v>1729</v>
      </c>
      <c r="D37" s="2702"/>
      <c r="E37" s="2702"/>
      <c r="F37" s="2703"/>
      <c r="G37" s="2701" t="s">
        <v>1578</v>
      </c>
      <c r="H37" s="2702"/>
      <c r="I37" s="2703"/>
    </row>
    <row r="38" spans="2:9" ht="16.5" customHeight="1" x14ac:dyDescent="0.2">
      <c r="B38" s="1245" t="s">
        <v>2133</v>
      </c>
      <c r="C38" s="2689" t="s">
        <v>2134</v>
      </c>
      <c r="D38" s="2690"/>
      <c r="E38" s="2690"/>
      <c r="F38" s="2691"/>
      <c r="G38" s="2704">
        <v>485974</v>
      </c>
      <c r="H38" s="2705"/>
      <c r="I38" s="2706"/>
    </row>
    <row r="39" spans="2:9" ht="16.5" customHeight="1" x14ac:dyDescent="0.2">
      <c r="B39" s="1245"/>
      <c r="C39" s="2689"/>
      <c r="D39" s="2690"/>
      <c r="E39" s="2690"/>
      <c r="F39" s="2691"/>
      <c r="G39" s="2692"/>
      <c r="H39" s="2692"/>
      <c r="I39" s="2692"/>
    </row>
    <row r="40" spans="2:9" ht="16.5" customHeight="1" x14ac:dyDescent="0.2">
      <c r="B40" s="1245"/>
      <c r="C40" s="2689"/>
      <c r="D40" s="2690"/>
      <c r="E40" s="2690"/>
      <c r="F40" s="2691"/>
      <c r="G40" s="2692"/>
      <c r="H40" s="2692"/>
      <c r="I40" s="2692"/>
    </row>
    <row r="41" spans="2:9" ht="16.5" customHeight="1" x14ac:dyDescent="0.2">
      <c r="B41" s="1245"/>
      <c r="C41" s="2689"/>
      <c r="D41" s="2690"/>
      <c r="E41" s="2690"/>
      <c r="F41" s="2691"/>
      <c r="G41" s="2692"/>
      <c r="H41" s="2692"/>
      <c r="I41" s="2692"/>
    </row>
    <row r="42" spans="2:9" ht="16.5" customHeight="1" x14ac:dyDescent="0.2">
      <c r="B42" s="1245"/>
      <c r="C42" s="2689"/>
      <c r="D42" s="2690"/>
      <c r="E42" s="2690"/>
      <c r="F42" s="2691"/>
      <c r="G42" s="2692"/>
      <c r="H42" s="2692"/>
      <c r="I42" s="2692"/>
    </row>
    <row r="43" spans="2:9" ht="16.5" customHeight="1" x14ac:dyDescent="0.2">
      <c r="B43" s="1245"/>
      <c r="C43" s="2682" t="s">
        <v>1579</v>
      </c>
      <c r="D43" s="2683"/>
      <c r="E43" s="2683"/>
      <c r="F43" s="2684"/>
      <c r="G43" s="2685">
        <f>SUM(G38:I42)</f>
        <v>485974</v>
      </c>
      <c r="H43" s="2685"/>
      <c r="I43" s="2685"/>
    </row>
    <row r="44" spans="2:9" ht="12.75" customHeight="1" x14ac:dyDescent="0.2"/>
    <row r="45" spans="2:9" ht="12.75" customHeight="1" x14ac:dyDescent="0.2">
      <c r="B45" s="1985" t="str">
        <f>"Total Federal Expenditures for 7/1/"&amp;MID('AFR20'!E2,3,2)-1&amp;"-6/30/"&amp;MID('AFR20'!E2,3,2)</f>
        <v>Total Federal Expenditures for 7/1/19-6/30/20</v>
      </c>
      <c r="C45" s="1986"/>
      <c r="D45" s="2686">
        <f>+' SEFA'!I48</f>
        <v>1198086</v>
      </c>
      <c r="E45" s="2687"/>
    </row>
    <row r="46" spans="2:9" ht="5.25" customHeight="1" x14ac:dyDescent="0.2">
      <c r="B46" s="1246"/>
      <c r="D46" s="1247"/>
      <c r="E46" s="1248"/>
    </row>
    <row r="47" spans="2:9" ht="12.75" customHeight="1" x14ac:dyDescent="0.2">
      <c r="B47" s="1121" t="s">
        <v>1580</v>
      </c>
      <c r="C47" s="1121"/>
      <c r="D47" s="1249">
        <f>+G43/D45</f>
        <v>0.40562530569591831</v>
      </c>
      <c r="E47" s="1250"/>
      <c r="F47" s="1251"/>
      <c r="I47" s="1252"/>
    </row>
    <row r="48" spans="2:9" ht="9.9499999999999993" customHeight="1" x14ac:dyDescent="0.2"/>
    <row r="49" spans="1:9" x14ac:dyDescent="0.2">
      <c r="B49" s="1183" t="s">
        <v>1264</v>
      </c>
      <c r="C49" s="1103"/>
      <c r="D49" s="1103"/>
      <c r="E49" s="2688">
        <v>750000</v>
      </c>
      <c r="F49" s="2688"/>
      <c r="G49" s="2688"/>
      <c r="H49" s="300"/>
    </row>
    <row r="51" spans="1:9" ht="13.5" customHeight="1" x14ac:dyDescent="0.2">
      <c r="B51" s="1183" t="s">
        <v>1263</v>
      </c>
      <c r="C51" s="1103"/>
      <c r="E51" s="1239"/>
      <c r="F51" s="1121" t="s">
        <v>879</v>
      </c>
      <c r="G51" s="1239" t="s">
        <v>2127</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3" t="str">
        <f>'Single Audit Cover'!A7</f>
        <v xml:space="preserve">  Forest Ridge SD 142 </v>
      </c>
      <c r="C1" s="2693"/>
      <c r="D1" s="2693"/>
      <c r="E1" s="2693"/>
      <c r="F1" s="2693"/>
      <c r="G1" s="2693"/>
      <c r="H1" s="2693"/>
      <c r="I1" s="2693"/>
      <c r="J1" s="2693"/>
      <c r="K1" s="2693"/>
      <c r="L1" s="1189"/>
      <c r="M1" s="1189"/>
    </row>
    <row r="2" spans="1:13" ht="12" customHeight="1" x14ac:dyDescent="0.2">
      <c r="B2" s="2695">
        <f>'Single Audit Cover'!E7</f>
        <v>7016142002</v>
      </c>
      <c r="C2" s="2695"/>
      <c r="D2" s="2695"/>
      <c r="E2" s="2695"/>
      <c r="F2" s="2695"/>
      <c r="G2" s="2695"/>
      <c r="H2" s="2695"/>
      <c r="I2" s="2695"/>
      <c r="J2" s="2695"/>
      <c r="K2" s="2695"/>
      <c r="L2" s="1190"/>
      <c r="M2" s="1191"/>
    </row>
    <row r="3" spans="1:13" ht="10.35" customHeight="1" x14ac:dyDescent="0.2">
      <c r="B3" s="2709" t="s">
        <v>1276</v>
      </c>
      <c r="C3" s="2709"/>
      <c r="D3" s="2709"/>
      <c r="E3" s="2709"/>
      <c r="F3" s="2709"/>
      <c r="G3" s="2709"/>
      <c r="H3" s="2709"/>
      <c r="I3" s="2709"/>
      <c r="J3" s="2709"/>
      <c r="K3" s="2709"/>
      <c r="L3" s="1192"/>
      <c r="M3" s="1192"/>
    </row>
    <row r="4" spans="1:13" ht="14.25" customHeight="1" x14ac:dyDescent="0.2">
      <c r="B4" s="2710" t="str">
        <f>'Single Audit Cover'!A4</f>
        <v>Year Ending June 30, 2020</v>
      </c>
      <c r="C4" s="2710"/>
      <c r="D4" s="2710"/>
      <c r="E4" s="2710"/>
      <c r="F4" s="2710"/>
      <c r="G4" s="2710"/>
      <c r="H4" s="2710"/>
      <c r="I4" s="2710"/>
      <c r="J4" s="2710"/>
      <c r="K4" s="271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0" t="s">
        <v>1287</v>
      </c>
      <c r="C7" s="2710"/>
      <c r="D7" s="2711"/>
      <c r="E7" s="2711"/>
      <c r="F7" s="2711"/>
      <c r="G7" s="2711"/>
      <c r="H7" s="2711"/>
      <c r="I7" s="2711"/>
      <c r="J7" s="2711"/>
      <c r="K7" s="271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8"/>
      <c r="C14" s="2708"/>
      <c r="D14" s="2708"/>
      <c r="E14" s="2708"/>
      <c r="F14" s="2708"/>
      <c r="G14" s="2708"/>
      <c r="H14" s="2708"/>
      <c r="I14" s="2708"/>
      <c r="J14" s="2708"/>
      <c r="K14" s="270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8"/>
      <c r="C17" s="2708"/>
      <c r="D17" s="2708"/>
      <c r="E17" s="2708"/>
      <c r="F17" s="2708"/>
      <c r="G17" s="2708"/>
      <c r="H17" s="2708"/>
      <c r="I17" s="2708"/>
      <c r="J17" s="2708"/>
      <c r="K17" s="2708"/>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12"/>
      <c r="C20" s="2712"/>
      <c r="D20" s="2708"/>
      <c r="E20" s="2708"/>
      <c r="F20" s="2708"/>
      <c r="G20" s="2708"/>
      <c r="H20" s="2708"/>
      <c r="I20" s="2708"/>
      <c r="J20" s="2708"/>
      <c r="K20" s="270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8"/>
      <c r="C23" s="2708"/>
      <c r="D23" s="2708"/>
      <c r="E23" s="2708"/>
      <c r="F23" s="2708"/>
      <c r="G23" s="2708"/>
      <c r="H23" s="2708"/>
      <c r="I23" s="2708"/>
      <c r="J23" s="2708"/>
      <c r="K23" s="270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8"/>
      <c r="C26" s="2708"/>
      <c r="D26" s="2708"/>
      <c r="E26" s="2708"/>
      <c r="F26" s="2708"/>
      <c r="G26" s="2708"/>
      <c r="H26" s="2708"/>
      <c r="I26" s="2708"/>
      <c r="J26" s="2708"/>
      <c r="K26" s="270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7"/>
      <c r="C29" s="2707"/>
      <c r="D29" s="2708"/>
      <c r="E29" s="2708"/>
      <c r="F29" s="2708"/>
      <c r="G29" s="2708"/>
      <c r="H29" s="2708"/>
      <c r="I29" s="2708"/>
      <c r="J29" s="2708"/>
      <c r="K29" s="270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7"/>
      <c r="C32" s="2707"/>
      <c r="D32" s="2708"/>
      <c r="E32" s="2708"/>
      <c r="F32" s="2708"/>
      <c r="G32" s="2708"/>
      <c r="H32" s="2708"/>
      <c r="I32" s="2708"/>
      <c r="J32" s="2708"/>
      <c r="K32" s="270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1277</v>
      </c>
      <c r="C39" s="1121"/>
      <c r="M39" s="1222"/>
    </row>
    <row r="40" spans="1:13" ht="12.6" customHeight="1" x14ac:dyDescent="0.2">
      <c r="B40" s="1221" t="s">
        <v>1725</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6" t="str">
        <f>'Single Audit Cover'!A7</f>
        <v xml:space="preserve">  Forest Ridge SD 142 </v>
      </c>
      <c r="C1" s="2716"/>
      <c r="D1" s="2716"/>
      <c r="E1" s="2716"/>
      <c r="F1" s="2716"/>
      <c r="G1" s="2716"/>
      <c r="H1" s="2716"/>
      <c r="I1" s="2716"/>
      <c r="J1" s="2716"/>
      <c r="K1" s="2716"/>
      <c r="L1" s="1266"/>
    </row>
    <row r="2" spans="1:12" ht="12.75" customHeight="1" x14ac:dyDescent="0.2">
      <c r="B2" s="2717">
        <f>'Single Audit Cover'!E7</f>
        <v>7016142002</v>
      </c>
      <c r="C2" s="2717"/>
      <c r="D2" s="2717"/>
      <c r="E2" s="2717"/>
      <c r="F2" s="2717"/>
      <c r="G2" s="2717"/>
      <c r="H2" s="2717"/>
      <c r="I2" s="2717"/>
      <c r="J2" s="2717"/>
      <c r="K2" s="2717"/>
      <c r="L2" s="1267"/>
    </row>
    <row r="3" spans="1:12" ht="12.75" customHeight="1" x14ac:dyDescent="0.2">
      <c r="B3" s="2709" t="s">
        <v>1276</v>
      </c>
      <c r="C3" s="2709"/>
      <c r="D3" s="2709"/>
      <c r="E3" s="2709"/>
      <c r="F3" s="2709"/>
      <c r="G3" s="2709"/>
      <c r="H3" s="2709"/>
      <c r="I3" s="2709"/>
      <c r="J3" s="2709"/>
      <c r="K3" s="2709"/>
      <c r="L3" s="1192"/>
    </row>
    <row r="4" spans="1:12" ht="12.75" customHeight="1" x14ac:dyDescent="0.2">
      <c r="B4" s="2709" t="str">
        <f>'Single Audit Cover'!A4</f>
        <v>Year Ending June 30, 2020</v>
      </c>
      <c r="C4" s="2709"/>
      <c r="D4" s="2709"/>
      <c r="E4" s="2709"/>
      <c r="F4" s="2709"/>
      <c r="G4" s="2709"/>
      <c r="H4" s="2709"/>
      <c r="I4" s="2709"/>
      <c r="J4" s="2709"/>
      <c r="K4" s="2709"/>
      <c r="L4" s="1192"/>
    </row>
    <row r="5" spans="1:12" ht="5.25" customHeight="1" x14ac:dyDescent="0.2">
      <c r="B5" s="1081" t="s">
        <v>1161</v>
      </c>
      <c r="C5" s="1081"/>
      <c r="L5" s="300"/>
    </row>
    <row r="6" spans="1:12" ht="30.75" customHeight="1" x14ac:dyDescent="0.2">
      <c r="A6" s="300"/>
      <c r="B6" s="2718" t="s">
        <v>1299</v>
      </c>
      <c r="C6" s="2718"/>
      <c r="D6" s="2718"/>
      <c r="E6" s="2718"/>
      <c r="F6" s="2718"/>
      <c r="G6" s="2718"/>
      <c r="H6" s="2718"/>
      <c r="I6" s="2718"/>
      <c r="J6" s="2718"/>
      <c r="K6" s="2718"/>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700"/>
      <c r="G12" s="2700"/>
      <c r="H12" s="2700"/>
      <c r="I12" s="2700"/>
      <c r="J12" s="2700"/>
      <c r="K12" s="2700"/>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3"/>
      <c r="E14" s="2713"/>
      <c r="F14" s="2713"/>
      <c r="H14" s="1275" t="s">
        <v>1294</v>
      </c>
      <c r="I14" s="2714"/>
      <c r="J14" s="2714"/>
      <c r="K14" s="2714"/>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4"/>
      <c r="E16" s="2714"/>
      <c r="F16" s="2714"/>
      <c r="G16" s="2714"/>
      <c r="H16" s="2714"/>
      <c r="I16" s="2714"/>
      <c r="J16" s="2714"/>
      <c r="K16" s="2714"/>
      <c r="L16" s="300"/>
    </row>
    <row r="17" spans="2:12" ht="13.5" customHeight="1" x14ac:dyDescent="0.2">
      <c r="B17" s="1201" t="s">
        <v>1292</v>
      </c>
      <c r="C17" s="1201"/>
      <c r="D17" s="2715"/>
      <c r="E17" s="2715"/>
      <c r="F17" s="2715"/>
      <c r="G17" s="2715"/>
      <c r="H17" s="2715"/>
      <c r="I17" s="2715"/>
      <c r="J17" s="2715"/>
      <c r="K17" s="2715"/>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8"/>
      <c r="C20" s="2708"/>
      <c r="D20" s="2708"/>
      <c r="E20" s="2708"/>
      <c r="F20" s="2708"/>
      <c r="G20" s="2708"/>
      <c r="H20" s="2708"/>
      <c r="I20" s="2708"/>
      <c r="J20" s="2708"/>
      <c r="K20" s="270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08"/>
      <c r="C23" s="2708"/>
      <c r="D23" s="2708"/>
      <c r="E23" s="2708"/>
      <c r="F23" s="2708"/>
      <c r="G23" s="2708"/>
      <c r="H23" s="2708"/>
      <c r="I23" s="2708"/>
      <c r="J23" s="2708"/>
      <c r="K23" s="270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08"/>
      <c r="C26" s="2708"/>
      <c r="D26" s="2708"/>
      <c r="E26" s="2708"/>
      <c r="F26" s="2708"/>
      <c r="G26" s="2708"/>
      <c r="H26" s="2708"/>
      <c r="I26" s="2708"/>
      <c r="J26" s="2708"/>
      <c r="K26" s="270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08"/>
      <c r="C29" s="2708"/>
      <c r="D29" s="2708"/>
      <c r="E29" s="2708"/>
      <c r="F29" s="2708"/>
      <c r="G29" s="2708"/>
      <c r="H29" s="2708"/>
      <c r="I29" s="2708"/>
      <c r="J29" s="2708"/>
      <c r="K29" s="270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8"/>
      <c r="C32" s="2708"/>
      <c r="D32" s="2708"/>
      <c r="E32" s="2708"/>
      <c r="F32" s="2708"/>
      <c r="G32" s="2708"/>
      <c r="H32" s="2708"/>
      <c r="I32" s="2708"/>
      <c r="J32" s="2708"/>
      <c r="K32" s="270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8"/>
      <c r="C35" s="2708"/>
      <c r="D35" s="2708"/>
      <c r="E35" s="2708"/>
      <c r="F35" s="2708"/>
      <c r="G35" s="2708"/>
      <c r="H35" s="2708"/>
      <c r="I35" s="2708"/>
      <c r="J35" s="2708"/>
      <c r="K35" s="270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8"/>
      <c r="C38" s="2708"/>
      <c r="D38" s="2708"/>
      <c r="E38" s="2708"/>
      <c r="F38" s="2708"/>
      <c r="G38" s="2708"/>
      <c r="H38" s="2708"/>
      <c r="I38" s="2708"/>
      <c r="J38" s="2708"/>
      <c r="K38" s="270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08"/>
      <c r="C41" s="2708"/>
      <c r="D41" s="2708"/>
      <c r="E41" s="2708"/>
      <c r="F41" s="2708"/>
      <c r="G41" s="2708"/>
      <c r="H41" s="2708"/>
      <c r="I41" s="2708"/>
      <c r="J41" s="2708"/>
      <c r="K41" s="270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3" t="str">
        <f>'Single Audit Cover'!A7</f>
        <v xml:space="preserve">  Forest Ridge SD 142 </v>
      </c>
      <c r="C1" s="2693"/>
      <c r="D1" s="2693"/>
      <c r="E1" s="1285"/>
    </row>
    <row r="2" spans="2:5" s="1103" customFormat="1" ht="12.75" customHeight="1" x14ac:dyDescent="0.2">
      <c r="B2" s="2695">
        <f>'Single Audit Cover'!E7</f>
        <v>7016142002</v>
      </c>
      <c r="C2" s="2695"/>
      <c r="D2" s="2695"/>
      <c r="E2" s="1286"/>
    </row>
    <row r="3" spans="2:5" ht="12.75" customHeight="1" x14ac:dyDescent="0.2">
      <c r="B3" s="2709" t="s">
        <v>1744</v>
      </c>
      <c r="C3" s="2709"/>
      <c r="D3" s="2709"/>
      <c r="E3" s="1095"/>
    </row>
    <row r="4" spans="2:5" s="1103" customFormat="1" ht="12.75" customHeight="1" x14ac:dyDescent="0.2">
      <c r="B4" s="2719" t="str">
        <f>'Single Audit Cover'!A4</f>
        <v>Year Ending June 30, 2020</v>
      </c>
      <c r="C4" s="2719"/>
      <c r="D4" s="2719"/>
      <c r="E4" s="1287"/>
    </row>
    <row r="5" spans="2:5" s="1103" customFormat="1" ht="40.15" customHeight="1" x14ac:dyDescent="0.2">
      <c r="B5" s="1288" t="s">
        <v>1745</v>
      </c>
      <c r="C5" s="306"/>
      <c r="D5" s="306"/>
      <c r="E5" s="306"/>
    </row>
    <row r="6" spans="2:5" s="1103" customFormat="1" ht="13.5" customHeight="1" x14ac:dyDescent="0.2">
      <c r="B6" s="1289" t="s">
        <v>1306</v>
      </c>
      <c r="C6" s="1289" t="s">
        <v>1305</v>
      </c>
      <c r="D6" s="1289" t="s">
        <v>1746</v>
      </c>
    </row>
    <row r="7" spans="2:5" ht="13.5" customHeight="1" x14ac:dyDescent="0.2">
      <c r="B7" s="1290" t="s">
        <v>2135</v>
      </c>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1747</v>
      </c>
    </row>
    <row r="46" spans="2:5" ht="12.2" customHeight="1" x14ac:dyDescent="0.2">
      <c r="B46" s="1299" t="s">
        <v>1748</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2" t="s">
        <v>383</v>
      </c>
      <c r="B1" s="2262"/>
      <c r="C1" s="2262"/>
      <c r="D1" s="2262"/>
      <c r="E1" s="2262"/>
      <c r="F1" s="2262"/>
      <c r="G1" s="2262"/>
      <c r="H1" s="2262"/>
      <c r="I1" s="2262"/>
      <c r="J1" s="2262"/>
      <c r="K1" s="2262"/>
      <c r="L1" s="2262"/>
      <c r="M1" s="226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253347140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2.5690000000000001E-2</v>
      </c>
      <c r="E10" s="333" t="s">
        <v>998</v>
      </c>
      <c r="F10" s="332">
        <v>3.666E-3</v>
      </c>
      <c r="G10" s="333" t="s">
        <v>998</v>
      </c>
      <c r="H10" s="332">
        <v>1.266E-3</v>
      </c>
      <c r="I10" s="333" t="s">
        <v>999</v>
      </c>
      <c r="J10" s="1473">
        <f>ROUND(D10+F10+H10,5)</f>
        <v>3.0620000000000001E-2</v>
      </c>
      <c r="K10" s="217"/>
      <c r="L10" s="332">
        <v>2.5000000000000001E-5</v>
      </c>
      <c r="M10" s="217"/>
    </row>
    <row r="11" spans="1:14" ht="7.5" customHeight="1" x14ac:dyDescent="0.2">
      <c r="B11" s="217"/>
      <c r="C11" s="217"/>
      <c r="D11" s="2272" t="str">
        <f>IF(SUM(J10)&lt;=0.0999999,"","Enter the Tax Rates by moving the decimal two places to the left.")</f>
        <v/>
      </c>
      <c r="E11" s="2273"/>
      <c r="F11" s="2273"/>
      <c r="G11" s="2273"/>
      <c r="H11" s="2273"/>
      <c r="I11" s="2273"/>
      <c r="J11" s="227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16820137</v>
      </c>
      <c r="E16" s="1597"/>
      <c r="F16" s="1596">
        <f>SUM('Acct Summary 7-8'!C17,'Acct Summary 7-8'!D17,'Acct Summary 7-8'!F17)</f>
        <v>14759706</v>
      </c>
      <c r="G16" s="1597"/>
      <c r="H16" s="1596">
        <f>SUM(D16-F16)</f>
        <v>2060431</v>
      </c>
      <c r="I16" s="1598"/>
      <c r="J16" s="1596">
        <f>SUM('Acct Summary 7-8'!C81,'Acct Summary 7-8'!D81,'Acct Summary 7-8'!F81,'Acct Summary 7-8'!I81)</f>
        <v>12930484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2026</v>
      </c>
      <c r="C31" s="344" t="s">
        <v>582</v>
      </c>
      <c r="D31" s="232" t="s">
        <v>1065</v>
      </c>
      <c r="E31" s="217"/>
      <c r="F31" s="217"/>
      <c r="G31" s="340"/>
      <c r="H31" s="1474">
        <f>IF(B31="X",(J7*0.069),IF(B32="X",(J7*0.138),"Enter x in a.or b."))</f>
        <v>17480952.66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4520529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3"/>
      <c r="C54" s="2264"/>
      <c r="D54" s="2264"/>
      <c r="E54" s="2264"/>
      <c r="F54" s="2264"/>
      <c r="G54" s="2264"/>
      <c r="H54" s="2264"/>
      <c r="I54" s="2264"/>
      <c r="J54" s="2264"/>
      <c r="K54" s="2264"/>
      <c r="L54" s="2265"/>
      <c r="M54" s="357"/>
    </row>
    <row r="55" spans="1:13" ht="12.75" customHeight="1" x14ac:dyDescent="0.2">
      <c r="B55" s="2266"/>
      <c r="C55" s="2267"/>
      <c r="D55" s="2267"/>
      <c r="E55" s="2267"/>
      <c r="F55" s="2267"/>
      <c r="G55" s="2267"/>
      <c r="H55" s="2267"/>
      <c r="I55" s="2267"/>
      <c r="J55" s="2267"/>
      <c r="K55" s="2267"/>
      <c r="L55" s="2268"/>
      <c r="M55" s="357"/>
    </row>
    <row r="56" spans="1:13" ht="12.75" customHeight="1" x14ac:dyDescent="0.2">
      <c r="B56" s="2266"/>
      <c r="C56" s="2267"/>
      <c r="D56" s="2267"/>
      <c r="E56" s="2267"/>
      <c r="F56" s="2267"/>
      <c r="G56" s="2267"/>
      <c r="H56" s="2267"/>
      <c r="I56" s="2267"/>
      <c r="J56" s="2267"/>
      <c r="K56" s="2267"/>
      <c r="L56" s="2268"/>
      <c r="M56" s="217"/>
    </row>
    <row r="57" spans="1:13" ht="12.75" customHeight="1" x14ac:dyDescent="0.2">
      <c r="B57" s="2266"/>
      <c r="C57" s="2267"/>
      <c r="D57" s="2267"/>
      <c r="E57" s="2267"/>
      <c r="F57" s="2267"/>
      <c r="G57" s="2267"/>
      <c r="H57" s="2267"/>
      <c r="I57" s="2267"/>
      <c r="J57" s="2267"/>
      <c r="K57" s="2267"/>
      <c r="L57" s="2268"/>
      <c r="M57" s="217"/>
    </row>
    <row r="58" spans="1:13" x14ac:dyDescent="0.2">
      <c r="B58" s="2269"/>
      <c r="C58" s="2270"/>
      <c r="D58" s="2270"/>
      <c r="E58" s="2270"/>
      <c r="F58" s="2270"/>
      <c r="G58" s="2270"/>
      <c r="H58" s="2270"/>
      <c r="I58" s="2270"/>
      <c r="J58" s="2270"/>
      <c r="K58" s="2270"/>
      <c r="L58" s="227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4"/>
      <c r="D61" s="227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7"/>
      <c r="B1" s="2278"/>
      <c r="C1" s="2278"/>
      <c r="D1" s="361"/>
      <c r="E1" s="361"/>
      <c r="F1" s="361"/>
      <c r="G1" s="361"/>
      <c r="H1" s="361"/>
      <c r="I1" s="361"/>
      <c r="J1" s="361"/>
      <c r="K1" s="361"/>
      <c r="L1" s="361"/>
      <c r="M1" s="361"/>
      <c r="N1" s="361"/>
      <c r="O1" s="2277"/>
      <c r="P1" s="2278"/>
      <c r="Q1" s="2278"/>
    </row>
    <row r="2" spans="1:18" ht="15" x14ac:dyDescent="0.2">
      <c r="A2" s="2281" t="s">
        <v>552</v>
      </c>
      <c r="B2" s="2281"/>
      <c r="C2" s="2281"/>
      <c r="D2" s="2281"/>
      <c r="E2" s="2281"/>
      <c r="F2" s="2281"/>
      <c r="G2" s="2281"/>
      <c r="H2" s="2281"/>
      <c r="I2" s="2281"/>
      <c r="J2" s="2281"/>
      <c r="K2" s="2281"/>
      <c r="L2" s="2281"/>
      <c r="M2" s="2281"/>
      <c r="N2" s="2281"/>
      <c r="O2" s="2281"/>
      <c r="P2" s="2281"/>
      <c r="Q2" s="2281"/>
      <c r="R2" s="2281"/>
    </row>
    <row r="3" spans="1:18" ht="12.75" x14ac:dyDescent="0.2">
      <c r="A3" s="2282" t="s">
        <v>1399</v>
      </c>
      <c r="B3" s="2282"/>
      <c r="C3" s="2282"/>
      <c r="D3" s="2282"/>
      <c r="E3" s="2282"/>
      <c r="F3" s="2282"/>
      <c r="G3" s="2282"/>
      <c r="H3" s="2282"/>
      <c r="I3" s="2282"/>
      <c r="J3" s="2282"/>
      <c r="K3" s="2282"/>
      <c r="L3" s="2282"/>
      <c r="M3" s="2282"/>
      <c r="N3" s="2282"/>
      <c r="O3" s="2282"/>
      <c r="P3" s="2282"/>
      <c r="Q3" s="2282"/>
      <c r="R3" s="2282"/>
    </row>
    <row r="4" spans="1:18" x14ac:dyDescent="0.2">
      <c r="A4" s="2283" t="s">
        <v>1540</v>
      </c>
      <c r="B4" s="2283"/>
      <c r="C4" s="2283"/>
      <c r="D4" s="2283"/>
      <c r="E4" s="2283"/>
      <c r="F4" s="2283"/>
      <c r="G4" s="2283"/>
      <c r="H4" s="2283"/>
      <c r="I4" s="2283"/>
      <c r="J4" s="2283"/>
      <c r="K4" s="2283"/>
      <c r="L4" s="2283"/>
      <c r="M4" s="2283"/>
      <c r="N4" s="2283"/>
      <c r="O4" s="2283"/>
      <c r="P4" s="2283"/>
      <c r="Q4" s="2283"/>
      <c r="R4" s="228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Forest Ridge SD 142 </v>
      </c>
      <c r="E7" s="368"/>
      <c r="G7" s="247"/>
      <c r="H7" s="364"/>
      <c r="I7" s="364"/>
      <c r="J7" s="364"/>
      <c r="K7" s="364"/>
      <c r="L7" s="307"/>
      <c r="M7" s="307"/>
      <c r="N7" s="307"/>
      <c r="O7" s="307"/>
      <c r="P7" s="307"/>
    </row>
    <row r="8" spans="1:18" ht="12.75" x14ac:dyDescent="0.2">
      <c r="A8" s="307"/>
      <c r="B8" s="307"/>
      <c r="C8" s="366" t="s">
        <v>1117</v>
      </c>
      <c r="D8" s="369">
        <f>COVER!A13</f>
        <v>7016142002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12930484</v>
      </c>
      <c r="I12" s="380"/>
      <c r="J12" s="380"/>
      <c r="K12" s="1609">
        <f>TRUNC((H12/H13*100000),5)/100000</f>
        <v>0.76875021880000005</v>
      </c>
      <c r="L12" s="381"/>
      <c r="M12" s="337" t="s">
        <v>1136</v>
      </c>
      <c r="N12" s="337"/>
      <c r="O12" s="1612">
        <v>0.35</v>
      </c>
      <c r="P12" s="213"/>
      <c r="Q12" s="213"/>
    </row>
    <row r="13" spans="1:18" s="382" customFormat="1" ht="12.75" x14ac:dyDescent="0.2">
      <c r="A13" s="213"/>
      <c r="B13" s="377"/>
      <c r="C13" s="2279" t="s">
        <v>1315</v>
      </c>
      <c r="D13" s="2280"/>
      <c r="E13" s="213"/>
      <c r="F13" s="383" t="s">
        <v>788</v>
      </c>
      <c r="G13" s="378"/>
      <c r="H13" s="1601">
        <f>SUM('Acct Summary 7-8'!C8+'Acct Summary 7-8'!D8+'Acct Summary 7-8'!F8+'Acct Summary 7-8'!I8)+H14</f>
        <v>16820137</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14759706</v>
      </c>
      <c r="I17" s="380"/>
      <c r="J17" s="389"/>
      <c r="K17" s="1609">
        <f>TRUNC((H17/H18*100000),5)/100000</f>
        <v>0.87750212729999999</v>
      </c>
      <c r="L17" s="381"/>
      <c r="M17" s="390" t="s">
        <v>1163</v>
      </c>
      <c r="O17" s="1615" t="str">
        <f>IF(AND(O16="2", J20 &gt; 2),"1",IF(AND(O16 = "1", J20 &gt; 2),"2",IF(AND(O16="1", J20 &gt;1),"1","0")))</f>
        <v>0</v>
      </c>
      <c r="P17" s="213"/>
    </row>
    <row r="18" spans="1:18" s="382" customFormat="1" ht="11.25" x14ac:dyDescent="0.2">
      <c r="A18" s="213"/>
      <c r="B18" s="377"/>
      <c r="C18" s="2279" t="s">
        <v>1308</v>
      </c>
      <c r="D18" s="2280"/>
      <c r="E18" s="213"/>
      <c r="F18" s="391" t="s">
        <v>789</v>
      </c>
      <c r="G18" s="378"/>
      <c r="H18" s="1601">
        <f>SUM('Acct Summary 7-8'!C8+'Acct Summary 7-8'!D8+'Acct Summary 7-8'!F8+'Acct Summary 7-8'!I8)+H19</f>
        <v>16820137</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6" t="s">
        <v>1398</v>
      </c>
      <c r="D24" s="2276"/>
      <c r="E24" s="213"/>
      <c r="F24" s="213" t="s">
        <v>442</v>
      </c>
      <c r="G24" s="378"/>
      <c r="H24" s="1601">
        <f>SUM('Assets-Liab 5-6'!C4+'Assets-Liab 5-6'!D4+'Assets-Liab 5-6'!F4+'Assets-Liab 5-6'!I4+'Assets-Liab 5-6'!C5+'Assets-Liab 5-6'!D5+'Assets-Liab 5-6'!F5+'Assets-Liab 5-6'!I5)</f>
        <v>12930484</v>
      </c>
      <c r="I24" s="394"/>
      <c r="J24" s="394"/>
      <c r="K24" s="1605">
        <f>TRUNC(((H24/H25*100000)/100000),2)</f>
        <v>315.38</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40999.18333</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1894</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6593866.0127800005</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x14ac:dyDescent="0.2">
      <c r="A32" s="213"/>
      <c r="B32" s="377"/>
      <c r="C32" s="213" t="s">
        <v>842</v>
      </c>
      <c r="D32" s="213"/>
      <c r="E32" s="213"/>
      <c r="F32" s="213"/>
      <c r="G32" s="378"/>
      <c r="H32" s="1601">
        <f>'FP Info 3'!H37</f>
        <v>4520529</v>
      </c>
      <c r="I32" s="392"/>
      <c r="J32" s="392"/>
      <c r="K32" s="1605">
        <f>TRUNC(100-((((H32/H33*100))*100)/100),2)</f>
        <v>74.14</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17480952.66</v>
      </c>
      <c r="I33" s="392"/>
      <c r="J33" s="392"/>
      <c r="K33" s="379"/>
      <c r="L33" s="213"/>
      <c r="M33" s="401" t="s">
        <v>1137</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6" t="s">
        <v>967</v>
      </c>
      <c r="B3" s="2287"/>
      <c r="C3" s="1351"/>
      <c r="D3" s="1352"/>
      <c r="E3" s="1352"/>
      <c r="F3" s="1352"/>
      <c r="G3" s="1352"/>
      <c r="H3" s="1352"/>
      <c r="I3" s="1352"/>
      <c r="J3" s="1352"/>
      <c r="K3" s="1352"/>
      <c r="L3" s="1352"/>
      <c r="M3" s="1353"/>
      <c r="N3" s="1354"/>
    </row>
    <row r="4" spans="1:14" ht="13.5" customHeight="1" x14ac:dyDescent="0.2">
      <c r="A4" s="427" t="s">
        <v>1635</v>
      </c>
      <c r="B4" s="428"/>
      <c r="C4" s="1622">
        <v>7545280</v>
      </c>
      <c r="D4" s="1623">
        <v>365547</v>
      </c>
      <c r="E4" s="1623">
        <v>1561521</v>
      </c>
      <c r="F4" s="1623">
        <v>583726</v>
      </c>
      <c r="G4" s="1623">
        <v>883245</v>
      </c>
      <c r="H4" s="1623">
        <v>938632</v>
      </c>
      <c r="I4" s="1623">
        <v>4435931</v>
      </c>
      <c r="J4" s="1624">
        <v>243929</v>
      </c>
      <c r="K4" s="1623">
        <v>68521</v>
      </c>
      <c r="L4" s="1623">
        <v>98553</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7545280</v>
      </c>
      <c r="D13" s="1637">
        <f t="shared" ref="D13:L13" si="0">SUM(D4:D12)</f>
        <v>365547</v>
      </c>
      <c r="E13" s="1637">
        <f t="shared" si="0"/>
        <v>1561521</v>
      </c>
      <c r="F13" s="1637">
        <f t="shared" si="0"/>
        <v>583726</v>
      </c>
      <c r="G13" s="1637">
        <f t="shared" si="0"/>
        <v>883245</v>
      </c>
      <c r="H13" s="1637">
        <f t="shared" si="0"/>
        <v>938632</v>
      </c>
      <c r="I13" s="1637">
        <f t="shared" si="0"/>
        <v>4435931</v>
      </c>
      <c r="J13" s="1637">
        <f t="shared" si="0"/>
        <v>243929</v>
      </c>
      <c r="K13" s="1637">
        <f t="shared" si="0"/>
        <v>68521</v>
      </c>
      <c r="L13" s="1637">
        <f t="shared" si="0"/>
        <v>98553</v>
      </c>
      <c r="M13" s="1625"/>
      <c r="N13" s="1626"/>
    </row>
    <row r="14" spans="1:14" ht="18" customHeight="1" thickTop="1" x14ac:dyDescent="0.2">
      <c r="A14" s="2288" t="s">
        <v>146</v>
      </c>
      <c r="B14" s="2289"/>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122641</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27992246</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594124</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445928+1926355+12212</f>
        <v>2384495</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1561521</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2959008</v>
      </c>
    </row>
    <row r="23" spans="1:14" ht="13.5" customHeight="1" thickBot="1" x14ac:dyDescent="0.25">
      <c r="A23" s="1475" t="s">
        <v>638</v>
      </c>
      <c r="B23" s="1478"/>
      <c r="C23" s="1625"/>
      <c r="D23" s="1625"/>
      <c r="E23" s="1625"/>
      <c r="F23" s="1625"/>
      <c r="G23" s="1625"/>
      <c r="H23" s="1625"/>
      <c r="I23" s="1625"/>
      <c r="J23" s="1625"/>
      <c r="K23" s="1625"/>
      <c r="L23" s="1625"/>
      <c r="M23" s="1644">
        <f>SUM(M15:M22)</f>
        <v>31093506</v>
      </c>
      <c r="N23" s="1644">
        <f>SUM(N21:N22)</f>
        <v>4520529</v>
      </c>
    </row>
    <row r="24" spans="1:14" ht="18" customHeight="1" thickTop="1" x14ac:dyDescent="0.2">
      <c r="A24" s="2290" t="s">
        <v>594</v>
      </c>
      <c r="B24" s="2291"/>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t="s">
        <v>1161</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98553</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98553</v>
      </c>
      <c r="M34" s="1625"/>
      <c r="N34" s="1635"/>
    </row>
    <row r="35" spans="1:14" ht="18" customHeight="1" thickTop="1" x14ac:dyDescent="0.2">
      <c r="A35" s="2292" t="s">
        <v>526</v>
      </c>
      <c r="B35" s="229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4520529</v>
      </c>
    </row>
    <row r="37" spans="1:14" ht="13.5" thickBot="1" x14ac:dyDescent="0.25">
      <c r="A37" s="1475" t="s">
        <v>648</v>
      </c>
      <c r="B37" s="1478"/>
      <c r="C37" s="1632"/>
      <c r="D37" s="1632"/>
      <c r="E37" s="1632"/>
      <c r="F37" s="1632"/>
      <c r="G37" s="1632"/>
      <c r="H37" s="1632"/>
      <c r="I37" s="1632"/>
      <c r="J37" s="1632"/>
      <c r="K37" s="1632"/>
      <c r="L37" s="1635"/>
      <c r="M37" s="1625"/>
      <c r="N37" s="1644">
        <f>SUM(N36:N36)</f>
        <v>4520529</v>
      </c>
    </row>
    <row r="38" spans="1:14" s="307" customFormat="1" ht="13.5" customHeight="1" thickTop="1" x14ac:dyDescent="0.2">
      <c r="A38" s="438" t="s">
        <v>417</v>
      </c>
      <c r="B38" s="432">
        <v>714</v>
      </c>
      <c r="C38" s="1623">
        <v>0</v>
      </c>
      <c r="D38" s="1623">
        <v>0</v>
      </c>
      <c r="E38" s="1623">
        <v>0</v>
      </c>
      <c r="F38" s="1623">
        <v>0</v>
      </c>
      <c r="G38" s="1623">
        <v>0</v>
      </c>
      <c r="H38" s="1623">
        <v>0</v>
      </c>
      <c r="I38" s="1623">
        <v>0</v>
      </c>
      <c r="J38" s="1624">
        <v>0</v>
      </c>
      <c r="K38" s="1623">
        <v>0</v>
      </c>
      <c r="L38" s="1636"/>
      <c r="M38" s="1654"/>
      <c r="N38" s="1654"/>
    </row>
    <row r="39" spans="1:14" s="307" customFormat="1" ht="13.5" customHeight="1" x14ac:dyDescent="0.2">
      <c r="A39" s="438" t="s">
        <v>339</v>
      </c>
      <c r="B39" s="432">
        <v>730</v>
      </c>
      <c r="C39" s="1623">
        <v>7545280</v>
      </c>
      <c r="D39" s="1623">
        <v>365547</v>
      </c>
      <c r="E39" s="1623">
        <v>1561521</v>
      </c>
      <c r="F39" s="1623">
        <v>583726</v>
      </c>
      <c r="G39" s="1623">
        <v>883245</v>
      </c>
      <c r="H39" s="1623">
        <v>938632</v>
      </c>
      <c r="I39" s="1623">
        <v>4435931</v>
      </c>
      <c r="J39" s="1624">
        <v>243929</v>
      </c>
      <c r="K39" s="1623">
        <v>68521</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31093506</v>
      </c>
      <c r="N40" s="1654"/>
    </row>
    <row r="41" spans="1:14" ht="13.5" customHeight="1" thickBot="1" x14ac:dyDescent="0.25">
      <c r="A41" s="1475" t="s">
        <v>650</v>
      </c>
      <c r="B41" s="1454"/>
      <c r="C41" s="1644">
        <f>(SUM(C34,C37,C38,C39))</f>
        <v>7545280</v>
      </c>
      <c r="D41" s="1644">
        <f t="shared" ref="D41:L41" si="2">SUM(D34,D37,D38:D39)</f>
        <v>365547</v>
      </c>
      <c r="E41" s="1644">
        <f t="shared" si="2"/>
        <v>1561521</v>
      </c>
      <c r="F41" s="1644">
        <f t="shared" si="2"/>
        <v>583726</v>
      </c>
      <c r="G41" s="1644">
        <f t="shared" si="2"/>
        <v>883245</v>
      </c>
      <c r="H41" s="1644">
        <f t="shared" si="2"/>
        <v>938632</v>
      </c>
      <c r="I41" s="1644">
        <f t="shared" si="2"/>
        <v>4435931</v>
      </c>
      <c r="J41" s="1644">
        <f t="shared" si="2"/>
        <v>243929</v>
      </c>
      <c r="K41" s="1644">
        <f t="shared" si="2"/>
        <v>68521</v>
      </c>
      <c r="L41" s="1644">
        <f t="shared" si="2"/>
        <v>98553</v>
      </c>
      <c r="M41" s="1644">
        <f>SUM(M40)</f>
        <v>31093506</v>
      </c>
      <c r="N41" s="1644">
        <f>SUM(N37)</f>
        <v>4520529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C37" sqref="C3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4" t="s">
        <v>1167</v>
      </c>
      <c r="B3" s="2315"/>
      <c r="C3" s="1356"/>
      <c r="D3" s="1357"/>
      <c r="E3" s="1357"/>
      <c r="F3" s="1357"/>
      <c r="G3" s="1357"/>
      <c r="H3" s="1357"/>
      <c r="I3" s="1357"/>
      <c r="J3" s="1357"/>
      <c r="K3" s="1358"/>
      <c r="L3" s="446"/>
    </row>
    <row r="4" spans="1:13" ht="15.75" customHeight="1" x14ac:dyDescent="0.2">
      <c r="A4" s="1587" t="s">
        <v>1485</v>
      </c>
      <c r="B4" s="1588">
        <v>1000</v>
      </c>
      <c r="C4" s="1656">
        <f>'Revenues 9-14'!C109</f>
        <v>7095588</v>
      </c>
      <c r="D4" s="1656">
        <f>'Revenues 9-14'!D109</f>
        <v>908078</v>
      </c>
      <c r="E4" s="1656">
        <f>'Revenues 9-14'!E109</f>
        <v>1936013</v>
      </c>
      <c r="F4" s="1656">
        <f>'Revenues 9-14'!F109</f>
        <v>331787</v>
      </c>
      <c r="G4" s="1656">
        <f>'Revenues 9-14'!G109</f>
        <v>516361</v>
      </c>
      <c r="H4" s="1656">
        <f>'Revenues 9-14'!H109</f>
        <v>17381</v>
      </c>
      <c r="I4" s="1656">
        <f>'Revenues 9-14'!I109</f>
        <v>143448</v>
      </c>
      <c r="J4" s="1656">
        <f>'Revenues 9-14'!J109</f>
        <v>140713</v>
      </c>
      <c r="K4" s="1656">
        <f>'Revenues 9-14'!K109</f>
        <v>4279</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6590526</v>
      </c>
      <c r="D6" s="1657">
        <f>'Revenues 9-14'!D170</f>
        <v>100000</v>
      </c>
      <c r="E6" s="1657">
        <f>'Revenues 9-14'!E170</f>
        <v>0</v>
      </c>
      <c r="F6" s="1657">
        <f>'Revenues 9-14'!F170</f>
        <v>513289</v>
      </c>
      <c r="G6" s="1657">
        <f>'Revenues 9-14'!G170</f>
        <v>0</v>
      </c>
      <c r="H6" s="1657">
        <f>'Revenues 9-14'!H170</f>
        <v>50000</v>
      </c>
      <c r="I6" s="1657">
        <f>'Revenues 9-14'!I170</f>
        <v>0</v>
      </c>
      <c r="J6" s="1657">
        <f>'Revenues 9-14'!J170</f>
        <v>0</v>
      </c>
      <c r="K6" s="1657">
        <f>'Revenues 9-14'!K170</f>
        <v>0</v>
      </c>
      <c r="L6" s="325"/>
      <c r="M6" s="448"/>
    </row>
    <row r="7" spans="1:13" ht="15.75" customHeight="1" x14ac:dyDescent="0.2">
      <c r="A7" s="1359" t="s">
        <v>1488</v>
      </c>
      <c r="B7" s="1361">
        <v>4000</v>
      </c>
      <c r="C7" s="1657">
        <f>'Revenues 9-14'!C267</f>
        <v>1137421</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14823535</v>
      </c>
      <c r="D8" s="1644">
        <f t="shared" ref="D8:K8" si="0">SUM(D4:D7)</f>
        <v>1008078</v>
      </c>
      <c r="E8" s="1644">
        <f t="shared" si="0"/>
        <v>1936013</v>
      </c>
      <c r="F8" s="1644">
        <f t="shared" si="0"/>
        <v>845076</v>
      </c>
      <c r="G8" s="1644">
        <f t="shared" si="0"/>
        <v>516361</v>
      </c>
      <c r="H8" s="1644">
        <f t="shared" si="0"/>
        <v>67381</v>
      </c>
      <c r="I8" s="1644">
        <f t="shared" si="0"/>
        <v>143448</v>
      </c>
      <c r="J8" s="1644">
        <f t="shared" si="0"/>
        <v>140713</v>
      </c>
      <c r="K8" s="1644">
        <f t="shared" si="0"/>
        <v>4279</v>
      </c>
      <c r="L8" s="325"/>
    </row>
    <row r="9" spans="1:13" ht="15.75" thickTop="1" x14ac:dyDescent="0.2">
      <c r="A9" s="449" t="s">
        <v>1637</v>
      </c>
      <c r="B9" s="450">
        <v>3998</v>
      </c>
      <c r="C9" s="1636">
        <v>5803265</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20626800</v>
      </c>
      <c r="D10" s="1644">
        <f t="shared" ref="D10:K10" si="1">SUM(D8:D9)</f>
        <v>1008078</v>
      </c>
      <c r="E10" s="1644">
        <f t="shared" si="1"/>
        <v>1936013</v>
      </c>
      <c r="F10" s="1644">
        <f t="shared" si="1"/>
        <v>845076</v>
      </c>
      <c r="G10" s="1644">
        <f t="shared" si="1"/>
        <v>516361</v>
      </c>
      <c r="H10" s="1644">
        <f t="shared" si="1"/>
        <v>67381</v>
      </c>
      <c r="I10" s="1644">
        <f t="shared" si="1"/>
        <v>143448</v>
      </c>
      <c r="J10" s="1644">
        <f t="shared" si="1"/>
        <v>140713</v>
      </c>
      <c r="K10" s="1644">
        <f t="shared" si="1"/>
        <v>4279</v>
      </c>
      <c r="L10" s="451"/>
    </row>
    <row r="11" spans="1:13" s="452" customFormat="1" ht="16.7" customHeight="1" thickTop="1" x14ac:dyDescent="0.2">
      <c r="A11" s="2288" t="s">
        <v>1168</v>
      </c>
      <c r="B11" s="2289"/>
      <c r="C11" s="1652"/>
      <c r="D11" s="1653"/>
      <c r="E11" s="1653"/>
      <c r="F11" s="1653"/>
      <c r="G11" s="1653"/>
      <c r="H11" s="1653"/>
      <c r="I11" s="1653"/>
      <c r="J11" s="1653"/>
      <c r="K11" s="1665"/>
      <c r="L11" s="451"/>
    </row>
    <row r="12" spans="1:13" ht="15.75" customHeight="1" x14ac:dyDescent="0.2">
      <c r="A12" s="1359" t="s">
        <v>453</v>
      </c>
      <c r="B12" s="1361">
        <v>1000</v>
      </c>
      <c r="C12" s="1656">
        <f>'Expenditures 15-22'!K33</f>
        <v>7650412</v>
      </c>
      <c r="D12" s="1666" t="s">
        <v>1161</v>
      </c>
      <c r="E12" s="1625" t="s">
        <v>1161</v>
      </c>
      <c r="F12" s="1625" t="s">
        <v>1161</v>
      </c>
      <c r="G12" s="1656">
        <f>'Expenditures 15-22'!K229</f>
        <v>129701</v>
      </c>
      <c r="H12" s="1667"/>
      <c r="I12" s="1625" t="s">
        <v>1161</v>
      </c>
      <c r="J12" s="1625" t="s">
        <v>1161</v>
      </c>
      <c r="K12" s="1667" t="s">
        <v>1161</v>
      </c>
      <c r="L12" s="325"/>
    </row>
    <row r="13" spans="1:13" ht="15.75" customHeight="1" x14ac:dyDescent="0.2">
      <c r="A13" s="1359" t="s">
        <v>454</v>
      </c>
      <c r="B13" s="1361">
        <v>2000</v>
      </c>
      <c r="C13" s="1657">
        <f>'Expenditures 15-22'!K74</f>
        <v>4056219</v>
      </c>
      <c r="D13" s="1657">
        <f>'Expenditures 15-22'!K129</f>
        <v>987337</v>
      </c>
      <c r="E13" s="1626" t="s">
        <v>1161</v>
      </c>
      <c r="F13" s="1657">
        <f>'Expenditures 15-22'!K184</f>
        <v>640926</v>
      </c>
      <c r="G13" s="1657">
        <f>'Expenditures 15-22'!K279</f>
        <v>215483</v>
      </c>
      <c r="H13" s="1657">
        <f>'Expenditures 15-22'!K303</f>
        <v>400777</v>
      </c>
      <c r="I13" s="1625" t="s">
        <v>1161</v>
      </c>
      <c r="J13" s="1657">
        <f>'Expenditures 15-22'!K330</f>
        <v>125507</v>
      </c>
      <c r="K13" s="1668">
        <f>'Expenditures 15-22'!K352</f>
        <v>0</v>
      </c>
      <c r="L13" s="325"/>
    </row>
    <row r="14" spans="1:13" ht="15.75" customHeight="1" x14ac:dyDescent="0.2">
      <c r="A14" s="1359" t="s">
        <v>446</v>
      </c>
      <c r="B14" s="1361">
        <v>3000</v>
      </c>
      <c r="C14" s="1657">
        <f>'Expenditures 15-22'!K75</f>
        <v>240014</v>
      </c>
      <c r="D14" s="1657">
        <f>'Expenditures 15-22'!K130</f>
        <v>0</v>
      </c>
      <c r="E14" s="1666" t="s">
        <v>1161</v>
      </c>
      <c r="F14" s="1657">
        <f>'Expenditures 15-22'!K185</f>
        <v>0</v>
      </c>
      <c r="G14" s="1657">
        <f>'Expenditures 15-22'!K280</f>
        <v>26314</v>
      </c>
      <c r="H14" s="1662"/>
      <c r="I14" s="1625" t="s">
        <v>1161</v>
      </c>
      <c r="J14" s="1625" t="s">
        <v>1161</v>
      </c>
      <c r="K14" s="1662" t="s">
        <v>1161</v>
      </c>
      <c r="L14" s="325"/>
    </row>
    <row r="15" spans="1:13" ht="15.75" customHeight="1" x14ac:dyDescent="0.2">
      <c r="A15" s="1359" t="s">
        <v>107</v>
      </c>
      <c r="B15" s="1361">
        <v>4000</v>
      </c>
      <c r="C15" s="1657">
        <f>'Expenditures 15-22'!K102</f>
        <v>1184798</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1904171</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13131443</v>
      </c>
      <c r="D17" s="1644">
        <f t="shared" si="2"/>
        <v>987337</v>
      </c>
      <c r="E17" s="1644">
        <f t="shared" si="2"/>
        <v>1904171</v>
      </c>
      <c r="F17" s="1644">
        <f t="shared" si="2"/>
        <v>640926</v>
      </c>
      <c r="G17" s="1644">
        <f t="shared" si="2"/>
        <v>371498</v>
      </c>
      <c r="H17" s="1644">
        <f t="shared" si="2"/>
        <v>400777</v>
      </c>
      <c r="I17" s="1625"/>
      <c r="J17" s="1644">
        <f>SUM(J12:J16)</f>
        <v>125507</v>
      </c>
      <c r="K17" s="1644">
        <f>SUM(K12:K16)</f>
        <v>0</v>
      </c>
      <c r="L17" s="325"/>
    </row>
    <row r="18" spans="1:12" ht="15" customHeight="1" thickTop="1" x14ac:dyDescent="0.2">
      <c r="A18" s="1479" t="s">
        <v>1638</v>
      </c>
      <c r="B18" s="1480">
        <v>4180</v>
      </c>
      <c r="C18" s="1656">
        <f t="shared" ref="C18:H18" si="3">C9</f>
        <v>5803265</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18934708</v>
      </c>
      <c r="D19" s="1644">
        <f t="shared" si="4"/>
        <v>987337</v>
      </c>
      <c r="E19" s="1644">
        <f t="shared" si="4"/>
        <v>1904171</v>
      </c>
      <c r="F19" s="1644">
        <f t="shared" si="4"/>
        <v>640926</v>
      </c>
      <c r="G19" s="1644">
        <f t="shared" si="4"/>
        <v>371498</v>
      </c>
      <c r="H19" s="1644">
        <f t="shared" si="4"/>
        <v>400777</v>
      </c>
      <c r="I19" s="1625"/>
      <c r="J19" s="1644">
        <f>SUM(J17:J18)</f>
        <v>125507</v>
      </c>
      <c r="K19" s="1644">
        <f>SUM(K17:K18)</f>
        <v>0</v>
      </c>
      <c r="L19" s="325"/>
    </row>
    <row r="20" spans="1:12" ht="16.5" thickTop="1" thickBot="1" x14ac:dyDescent="0.25">
      <c r="A20" s="2304" t="s">
        <v>1639</v>
      </c>
      <c r="B20" s="2305"/>
      <c r="C20" s="1672">
        <f>C8-C17</f>
        <v>1692092</v>
      </c>
      <c r="D20" s="1672">
        <f t="shared" ref="D20:K20" si="5">D8-D17</f>
        <v>20741</v>
      </c>
      <c r="E20" s="1672">
        <f t="shared" si="5"/>
        <v>31842</v>
      </c>
      <c r="F20" s="1672">
        <f t="shared" si="5"/>
        <v>204150</v>
      </c>
      <c r="G20" s="1672">
        <f t="shared" si="5"/>
        <v>144863</v>
      </c>
      <c r="H20" s="1672">
        <f t="shared" si="5"/>
        <v>-333396</v>
      </c>
      <c r="I20" s="1672">
        <f t="shared" si="5"/>
        <v>143448</v>
      </c>
      <c r="J20" s="1672">
        <f t="shared" si="5"/>
        <v>15206</v>
      </c>
      <c r="K20" s="1672">
        <f t="shared" si="5"/>
        <v>4279</v>
      </c>
      <c r="L20" s="325"/>
    </row>
    <row r="21" spans="1:12" ht="16.7" customHeight="1" thickTop="1" x14ac:dyDescent="0.2">
      <c r="A21" s="2316" t="s">
        <v>591</v>
      </c>
      <c r="B21" s="2317"/>
      <c r="C21" s="1652"/>
      <c r="D21" s="1653"/>
      <c r="E21" s="1653"/>
      <c r="F21" s="1653"/>
      <c r="G21" s="1653"/>
      <c r="H21" s="1653"/>
      <c r="I21" s="1653"/>
      <c r="J21" s="1653"/>
      <c r="K21" s="1665"/>
      <c r="L21" s="453"/>
    </row>
    <row r="22" spans="1:12" ht="15.75" customHeight="1" collapsed="1" x14ac:dyDescent="0.2">
      <c r="A22" s="2312" t="s">
        <v>592</v>
      </c>
      <c r="B22" s="2313"/>
      <c r="C22" s="1632"/>
      <c r="D22" s="1632"/>
      <c r="E22" s="1632"/>
      <c r="F22" s="1632"/>
      <c r="G22" s="1632"/>
      <c r="H22" s="1632"/>
      <c r="I22" s="1632"/>
      <c r="J22" s="1632"/>
      <c r="K22" s="1632"/>
      <c r="L22" s="325"/>
    </row>
    <row r="23" spans="1:12" s="433" customFormat="1" ht="15.75" customHeight="1" x14ac:dyDescent="0.2">
      <c r="A23" s="2308" t="s">
        <v>290</v>
      </c>
      <c r="B23" s="2309"/>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500000</v>
      </c>
      <c r="D25" s="1624">
        <v>0</v>
      </c>
      <c r="E25" s="1624">
        <v>0</v>
      </c>
      <c r="F25" s="1624">
        <v>0</v>
      </c>
      <c r="G25" s="1624">
        <v>0</v>
      </c>
      <c r="H25" s="1624">
        <v>500000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1772</v>
      </c>
      <c r="B30" s="455">
        <v>7160</v>
      </c>
      <c r="C30" s="1632"/>
      <c r="D30" s="1624">
        <v>0</v>
      </c>
      <c r="E30" s="1632"/>
      <c r="F30" s="1632"/>
      <c r="G30" s="1632"/>
      <c r="H30" s="1632"/>
      <c r="I30" s="1632"/>
      <c r="J30" s="1632"/>
      <c r="K30" s="1632"/>
      <c r="L30" s="453"/>
    </row>
    <row r="31" spans="1:12" s="433" customFormat="1" ht="26.25" x14ac:dyDescent="0.2">
      <c r="A31" s="1305" t="s">
        <v>1776</v>
      </c>
      <c r="B31" s="455">
        <v>7170</v>
      </c>
      <c r="C31" s="1632"/>
      <c r="D31" s="1632"/>
      <c r="E31" s="1629">
        <v>0</v>
      </c>
      <c r="F31" s="1632"/>
      <c r="G31" s="1632"/>
      <c r="H31" s="1632"/>
      <c r="I31" s="1632"/>
      <c r="J31" s="1632"/>
      <c r="K31" s="1632"/>
      <c r="L31" s="453"/>
    </row>
    <row r="32" spans="1:12" s="433" customFormat="1" ht="15.75" customHeight="1" x14ac:dyDescent="0.2">
      <c r="A32" s="2310" t="s">
        <v>974</v>
      </c>
      <c r="B32" s="2311"/>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13250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8" t="s">
        <v>371</v>
      </c>
      <c r="B44" s="2319"/>
      <c r="C44" s="1674">
        <f>SUM(C24:C43)</f>
        <v>513250</v>
      </c>
      <c r="D44" s="1674">
        <f t="shared" ref="D44:K44" si="6">SUM(D24:D43)</f>
        <v>0</v>
      </c>
      <c r="E44" s="1674">
        <f t="shared" si="6"/>
        <v>0</v>
      </c>
      <c r="F44" s="1674">
        <f t="shared" si="6"/>
        <v>0</v>
      </c>
      <c r="G44" s="1674">
        <f t="shared" si="6"/>
        <v>0</v>
      </c>
      <c r="H44" s="1674">
        <f t="shared" si="6"/>
        <v>500000</v>
      </c>
      <c r="I44" s="1674">
        <f t="shared" si="6"/>
        <v>0</v>
      </c>
      <c r="J44" s="1674">
        <f t="shared" si="6"/>
        <v>0</v>
      </c>
      <c r="K44" s="1674">
        <f t="shared" si="6"/>
        <v>0</v>
      </c>
      <c r="L44" s="453"/>
    </row>
    <row r="45" spans="1:12" ht="15.75" customHeight="1" thickTop="1" x14ac:dyDescent="0.2">
      <c r="A45" s="2312" t="s">
        <v>108</v>
      </c>
      <c r="B45" s="2313"/>
      <c r="C45" s="1675"/>
      <c r="D45" s="1675"/>
      <c r="E45" s="1675"/>
      <c r="F45" s="1675"/>
      <c r="G45" s="1675"/>
      <c r="H45" s="1675"/>
      <c r="I45" s="1675"/>
      <c r="J45" s="1675"/>
      <c r="K45" s="1675"/>
      <c r="L45" s="325"/>
    </row>
    <row r="46" spans="1:12" s="433" customFormat="1" ht="15.75" customHeight="1" x14ac:dyDescent="0.2">
      <c r="A46" s="2320" t="s">
        <v>109</v>
      </c>
      <c r="B46" s="232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1000000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v>0</v>
      </c>
      <c r="E54" s="1632"/>
      <c r="F54" s="1632"/>
      <c r="G54" s="1632"/>
      <c r="H54" s="1676">
        <v>0</v>
      </c>
      <c r="I54" s="1632"/>
      <c r="J54" s="1632"/>
      <c r="K54" s="1630"/>
      <c r="L54" s="453"/>
    </row>
    <row r="55" spans="1:12" s="433" customFormat="1" ht="14.25" thickTop="1" thickBot="1" x14ac:dyDescent="0.25">
      <c r="A55" s="1307" t="s">
        <v>688</v>
      </c>
      <c r="B55" s="432">
        <v>8420</v>
      </c>
      <c r="C55" s="1677">
        <v>0</v>
      </c>
      <c r="D55" s="1677">
        <v>0</v>
      </c>
      <c r="E55" s="1632"/>
      <c r="F55" s="1632"/>
      <c r="G55" s="1632"/>
      <c r="H55" s="1676">
        <v>0</v>
      </c>
      <c r="I55" s="1632"/>
      <c r="J55" s="1632"/>
      <c r="K55" s="1632"/>
      <c r="L55" s="453"/>
    </row>
    <row r="56" spans="1:12" s="433" customFormat="1" ht="14.25" thickTop="1" thickBot="1" x14ac:dyDescent="0.25">
      <c r="A56" s="1306" t="s">
        <v>577</v>
      </c>
      <c r="B56" s="432">
        <v>8430</v>
      </c>
      <c r="C56" s="1677">
        <v>0</v>
      </c>
      <c r="D56" s="1677">
        <v>0</v>
      </c>
      <c r="E56" s="1632"/>
      <c r="F56" s="1632"/>
      <c r="G56" s="1632"/>
      <c r="H56" s="1676">
        <v>0</v>
      </c>
      <c r="I56" s="1632"/>
      <c r="J56" s="1632"/>
      <c r="K56" s="1632"/>
      <c r="L56" s="453"/>
    </row>
    <row r="57" spans="1:12" s="433" customFormat="1" ht="14.25" thickTop="1" thickBot="1" x14ac:dyDescent="0.25">
      <c r="A57" s="1307" t="s">
        <v>574</v>
      </c>
      <c r="B57" s="432">
        <v>8440</v>
      </c>
      <c r="C57" s="1677">
        <v>0</v>
      </c>
      <c r="D57" s="1677">
        <v>0</v>
      </c>
      <c r="E57" s="1632"/>
      <c r="F57" s="1632"/>
      <c r="G57" s="1632"/>
      <c r="H57" s="1676">
        <v>0</v>
      </c>
      <c r="I57" s="1632"/>
      <c r="J57" s="1632"/>
      <c r="K57" s="1632"/>
      <c r="L57" s="453"/>
    </row>
    <row r="58" spans="1:12" s="433" customFormat="1" ht="14.25" thickTop="1" thickBot="1" x14ac:dyDescent="0.25">
      <c r="A58" s="1306" t="s">
        <v>575</v>
      </c>
      <c r="B58" s="432">
        <v>8510</v>
      </c>
      <c r="C58" s="1677">
        <v>0</v>
      </c>
      <c r="D58" s="1677">
        <v>0</v>
      </c>
      <c r="E58" s="1632"/>
      <c r="F58" s="1632"/>
      <c r="G58" s="1632"/>
      <c r="H58" s="1676">
        <v>0</v>
      </c>
      <c r="I58" s="1632"/>
      <c r="J58" s="1632"/>
      <c r="K58" s="1632"/>
      <c r="L58" s="453"/>
    </row>
    <row r="59" spans="1:12" s="433" customFormat="1" ht="14.25" thickTop="1" thickBot="1" x14ac:dyDescent="0.25">
      <c r="A59" s="1308" t="s">
        <v>689</v>
      </c>
      <c r="B59" s="432">
        <v>8520</v>
      </c>
      <c r="C59" s="1677">
        <v>0</v>
      </c>
      <c r="D59" s="1677">
        <v>0</v>
      </c>
      <c r="E59" s="1632"/>
      <c r="F59" s="1632"/>
      <c r="G59" s="1632"/>
      <c r="H59" s="1676">
        <v>0</v>
      </c>
      <c r="I59" s="1632"/>
      <c r="J59" s="1632"/>
      <c r="K59" s="1632"/>
      <c r="L59" s="453"/>
    </row>
    <row r="60" spans="1:12" s="433" customFormat="1" ht="14.25" thickTop="1" thickBot="1" x14ac:dyDescent="0.25">
      <c r="A60" s="1306" t="s">
        <v>576</v>
      </c>
      <c r="B60" s="432">
        <v>8530</v>
      </c>
      <c r="C60" s="1677">
        <v>0</v>
      </c>
      <c r="D60" s="1677">
        <v>0</v>
      </c>
      <c r="E60" s="1632"/>
      <c r="F60" s="1632"/>
      <c r="G60" s="1632"/>
      <c r="H60" s="1676">
        <v>0</v>
      </c>
      <c r="I60" s="1632"/>
      <c r="J60" s="1632"/>
      <c r="K60" s="1632"/>
      <c r="L60" s="453"/>
    </row>
    <row r="61" spans="1:12" s="433" customFormat="1" ht="14.25" thickTop="1" thickBot="1" x14ac:dyDescent="0.25">
      <c r="A61" s="1307" t="s">
        <v>738</v>
      </c>
      <c r="B61" s="432">
        <v>8540</v>
      </c>
      <c r="C61" s="1677">
        <v>0</v>
      </c>
      <c r="D61" s="1677">
        <v>0</v>
      </c>
      <c r="E61" s="1632"/>
      <c r="F61" s="1632"/>
      <c r="G61" s="1632"/>
      <c r="H61" s="1676">
        <v>0</v>
      </c>
      <c r="I61" s="1632"/>
      <c r="J61" s="1632"/>
      <c r="K61" s="1632"/>
      <c r="L61" s="453"/>
    </row>
    <row r="62" spans="1:12" s="433" customFormat="1" ht="13.5" customHeight="1" thickTop="1" thickBot="1" x14ac:dyDescent="0.25">
      <c r="A62" s="1306" t="s">
        <v>739</v>
      </c>
      <c r="B62" s="432">
        <v>8610</v>
      </c>
      <c r="C62" s="1677">
        <v>0</v>
      </c>
      <c r="D62" s="1677">
        <v>0</v>
      </c>
      <c r="E62" s="1632"/>
      <c r="F62" s="1632"/>
      <c r="G62" s="1632"/>
      <c r="H62" s="1632"/>
      <c r="I62" s="1632"/>
      <c r="J62" s="1632"/>
      <c r="K62" s="1632"/>
      <c r="L62" s="453"/>
    </row>
    <row r="63" spans="1:12" s="433" customFormat="1" ht="14.25" thickTop="1" thickBot="1" x14ac:dyDescent="0.25">
      <c r="A63" s="1307" t="s">
        <v>690</v>
      </c>
      <c r="B63" s="432">
        <v>8620</v>
      </c>
      <c r="C63" s="1677">
        <v>0</v>
      </c>
      <c r="D63" s="1677">
        <v>0</v>
      </c>
      <c r="E63" s="1632"/>
      <c r="F63" s="1632"/>
      <c r="G63" s="1632"/>
      <c r="H63" s="1632"/>
      <c r="I63" s="1632"/>
      <c r="J63" s="1632"/>
      <c r="K63" s="1632"/>
      <c r="L63" s="453"/>
    </row>
    <row r="64" spans="1:12" s="433" customFormat="1" ht="13.5" customHeight="1" thickTop="1" thickBot="1" x14ac:dyDescent="0.25">
      <c r="A64" s="1306" t="s">
        <v>740</v>
      </c>
      <c r="B64" s="432">
        <v>8630</v>
      </c>
      <c r="C64" s="1677">
        <v>0</v>
      </c>
      <c r="D64" s="1677">
        <v>0</v>
      </c>
      <c r="E64" s="1632"/>
      <c r="F64" s="1632"/>
      <c r="G64" s="1632"/>
      <c r="H64" s="1632"/>
      <c r="I64" s="1632"/>
      <c r="J64" s="1632"/>
      <c r="K64" s="1632"/>
      <c r="L64" s="453"/>
    </row>
    <row r="65" spans="1:12" s="433" customFormat="1" ht="14.25" thickTop="1" thickBot="1" x14ac:dyDescent="0.25">
      <c r="A65" s="1307" t="s">
        <v>741</v>
      </c>
      <c r="B65" s="432">
        <v>8640</v>
      </c>
      <c r="C65" s="1677">
        <v>0</v>
      </c>
      <c r="D65" s="1677">
        <v>0</v>
      </c>
      <c r="E65" s="1632"/>
      <c r="F65" s="1632"/>
      <c r="G65" s="1632"/>
      <c r="H65" s="1632"/>
      <c r="I65" s="1632"/>
      <c r="J65" s="1632"/>
      <c r="K65" s="1632"/>
      <c r="L65" s="453"/>
    </row>
    <row r="66" spans="1:12" s="433" customFormat="1" ht="14.25" thickTop="1" thickBot="1" x14ac:dyDescent="0.25">
      <c r="A66" s="1306" t="s">
        <v>742</v>
      </c>
      <c r="B66" s="432">
        <v>8710</v>
      </c>
      <c r="C66" s="1677">
        <v>0</v>
      </c>
      <c r="D66" s="1677">
        <v>0</v>
      </c>
      <c r="E66" s="1632"/>
      <c r="F66" s="1632"/>
      <c r="G66" s="1632"/>
      <c r="H66" s="1632"/>
      <c r="I66" s="1632"/>
      <c r="J66" s="1632"/>
      <c r="K66" s="1632"/>
      <c r="L66" s="453"/>
    </row>
    <row r="67" spans="1:12" s="433" customFormat="1" ht="14.25" thickTop="1" thickBot="1" x14ac:dyDescent="0.25">
      <c r="A67" s="1307" t="s">
        <v>691</v>
      </c>
      <c r="B67" s="432">
        <v>8720</v>
      </c>
      <c r="C67" s="1677">
        <v>0</v>
      </c>
      <c r="D67" s="1677">
        <v>0</v>
      </c>
      <c r="E67" s="1632"/>
      <c r="F67" s="1632"/>
      <c r="G67" s="1632"/>
      <c r="H67" s="1632"/>
      <c r="I67" s="1632"/>
      <c r="J67" s="1632"/>
      <c r="K67" s="1632"/>
      <c r="L67" s="453"/>
    </row>
    <row r="68" spans="1:12" s="433" customFormat="1" ht="14.25" thickTop="1" thickBot="1" x14ac:dyDescent="0.25">
      <c r="A68" s="1308" t="s">
        <v>743</v>
      </c>
      <c r="B68" s="432">
        <v>8730</v>
      </c>
      <c r="C68" s="1677">
        <v>0</v>
      </c>
      <c r="D68" s="1677">
        <v>0</v>
      </c>
      <c r="E68" s="1632"/>
      <c r="F68" s="1632"/>
      <c r="G68" s="1632"/>
      <c r="H68" s="1632"/>
      <c r="I68" s="1632"/>
      <c r="J68" s="1632"/>
      <c r="K68" s="1632"/>
      <c r="L68" s="453"/>
    </row>
    <row r="69" spans="1:12" s="433" customFormat="1" ht="14.25" thickTop="1" thickBot="1" x14ac:dyDescent="0.25">
      <c r="A69" s="1307" t="s">
        <v>744</v>
      </c>
      <c r="B69" s="432">
        <v>8740</v>
      </c>
      <c r="C69" s="1677">
        <v>0</v>
      </c>
      <c r="D69" s="1677">
        <v>0</v>
      </c>
      <c r="E69" s="1632"/>
      <c r="F69" s="1632"/>
      <c r="G69" s="1632"/>
      <c r="H69" s="1632"/>
      <c r="I69" s="1632"/>
      <c r="J69" s="1632"/>
      <c r="K69" s="1632"/>
      <c r="L69" s="453"/>
    </row>
    <row r="70" spans="1:12" s="433" customFormat="1" ht="14.25" thickTop="1" thickBot="1" x14ac:dyDescent="0.25">
      <c r="A70" s="1306" t="s">
        <v>745</v>
      </c>
      <c r="B70" s="432">
        <v>8810</v>
      </c>
      <c r="C70" s="1677">
        <v>0</v>
      </c>
      <c r="D70" s="1677">
        <v>0</v>
      </c>
      <c r="E70" s="1632"/>
      <c r="F70" s="1632"/>
      <c r="G70" s="1632"/>
      <c r="H70" s="1632"/>
      <c r="I70" s="1632"/>
      <c r="J70" s="1632"/>
      <c r="K70" s="1632"/>
      <c r="L70" s="453"/>
    </row>
    <row r="71" spans="1:12" s="433" customFormat="1" ht="14.25" thickTop="1" thickBot="1" x14ac:dyDescent="0.25">
      <c r="A71" s="1306" t="s">
        <v>749</v>
      </c>
      <c r="B71" s="432">
        <v>8820</v>
      </c>
      <c r="C71" s="1677">
        <v>0</v>
      </c>
      <c r="D71" s="1677">
        <v>0</v>
      </c>
      <c r="E71" s="1632"/>
      <c r="F71" s="1632"/>
      <c r="G71" s="1632"/>
      <c r="H71" s="1632"/>
      <c r="I71" s="1632"/>
      <c r="J71" s="1632"/>
      <c r="K71" s="1632"/>
      <c r="L71" s="453"/>
    </row>
    <row r="72" spans="1:12" s="433" customFormat="1" ht="14.25" thickTop="1" thickBot="1" x14ac:dyDescent="0.25">
      <c r="A72" s="1306" t="s">
        <v>746</v>
      </c>
      <c r="B72" s="432">
        <v>8830</v>
      </c>
      <c r="C72" s="1677">
        <v>0</v>
      </c>
      <c r="D72" s="1677">
        <v>0</v>
      </c>
      <c r="E72" s="1632"/>
      <c r="F72" s="1632"/>
      <c r="G72" s="1632"/>
      <c r="H72" s="1632"/>
      <c r="I72" s="1632"/>
      <c r="J72" s="1632"/>
      <c r="K72" s="1632"/>
      <c r="L72" s="453"/>
    </row>
    <row r="73" spans="1:12" s="433" customFormat="1" ht="14.25" thickTop="1" thickBot="1" x14ac:dyDescent="0.25">
      <c r="A73" s="1306" t="s">
        <v>747</v>
      </c>
      <c r="B73" s="432">
        <v>8840</v>
      </c>
      <c r="C73" s="1677">
        <v>0</v>
      </c>
      <c r="D73" s="1677">
        <v>0</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4" t="s">
        <v>437</v>
      </c>
      <c r="B76" s="2295"/>
      <c r="C76" s="1674">
        <f t="shared" ref="C76:K76" si="7">SUM(C47:C75)</f>
        <v>0</v>
      </c>
      <c r="D76" s="1674">
        <f t="shared" si="7"/>
        <v>0</v>
      </c>
      <c r="E76" s="1674">
        <f t="shared" si="7"/>
        <v>0</v>
      </c>
      <c r="F76" s="1674">
        <f t="shared" si="7"/>
        <v>0</v>
      </c>
      <c r="G76" s="1674">
        <f t="shared" si="7"/>
        <v>0</v>
      </c>
      <c r="H76" s="1674">
        <f t="shared" si="7"/>
        <v>0</v>
      </c>
      <c r="I76" s="1674">
        <f t="shared" si="7"/>
        <v>1000000</v>
      </c>
      <c r="J76" s="1674">
        <f t="shared" si="7"/>
        <v>0</v>
      </c>
      <c r="K76" s="1674">
        <f t="shared" si="7"/>
        <v>0</v>
      </c>
      <c r="L76" s="453"/>
    </row>
    <row r="77" spans="1:12" ht="14.25" thickTop="1" thickBot="1" x14ac:dyDescent="0.25">
      <c r="A77" s="2296" t="s">
        <v>1169</v>
      </c>
      <c r="B77" s="2297"/>
      <c r="C77" s="1674">
        <f t="shared" ref="C77:K77" si="8">C44-C76</f>
        <v>513250</v>
      </c>
      <c r="D77" s="1674">
        <f t="shared" si="8"/>
        <v>0</v>
      </c>
      <c r="E77" s="1674">
        <f t="shared" si="8"/>
        <v>0</v>
      </c>
      <c r="F77" s="1674">
        <f t="shared" si="8"/>
        <v>0</v>
      </c>
      <c r="G77" s="1674">
        <f t="shared" si="8"/>
        <v>0</v>
      </c>
      <c r="H77" s="1674">
        <f t="shared" si="8"/>
        <v>500000</v>
      </c>
      <c r="I77" s="1674">
        <f t="shared" si="8"/>
        <v>-1000000</v>
      </c>
      <c r="J77" s="1674">
        <f t="shared" si="8"/>
        <v>0</v>
      </c>
      <c r="K77" s="1674">
        <f t="shared" si="8"/>
        <v>0</v>
      </c>
      <c r="L77" s="325"/>
    </row>
    <row r="78" spans="1:12" ht="21.75" customHeight="1" thickTop="1" thickBot="1" x14ac:dyDescent="0.25">
      <c r="A78" s="2300" t="s">
        <v>593</v>
      </c>
      <c r="B78" s="2301"/>
      <c r="C78" s="1679">
        <f t="shared" ref="C78:K78" si="9">C20+C77</f>
        <v>2205342</v>
      </c>
      <c r="D78" s="1679">
        <f t="shared" si="9"/>
        <v>20741</v>
      </c>
      <c r="E78" s="1679">
        <f t="shared" si="9"/>
        <v>31842</v>
      </c>
      <c r="F78" s="1679">
        <f t="shared" si="9"/>
        <v>204150</v>
      </c>
      <c r="G78" s="1679">
        <f t="shared" si="9"/>
        <v>144863</v>
      </c>
      <c r="H78" s="1679">
        <f t="shared" si="9"/>
        <v>166604</v>
      </c>
      <c r="I78" s="1679">
        <f t="shared" si="9"/>
        <v>-856552</v>
      </c>
      <c r="J78" s="1679">
        <f t="shared" si="9"/>
        <v>15206</v>
      </c>
      <c r="K78" s="1679">
        <f t="shared" si="9"/>
        <v>4279</v>
      </c>
      <c r="L78" s="457"/>
    </row>
    <row r="79" spans="1:12" ht="13.5" thickTop="1" x14ac:dyDescent="0.2">
      <c r="A79" s="1902" t="str">
        <f>"Fund Balances - July 1, "&amp;'AFR20'!E2-1</f>
        <v>Fund Balances - July 1, 2019</v>
      </c>
      <c r="B79" s="458"/>
      <c r="C79" s="1633">
        <v>5339938</v>
      </c>
      <c r="D79" s="1680">
        <v>344806</v>
      </c>
      <c r="E79" s="1680">
        <v>1529679</v>
      </c>
      <c r="F79" s="1680">
        <v>379576</v>
      </c>
      <c r="G79" s="1680">
        <v>738382</v>
      </c>
      <c r="H79" s="1680">
        <v>772028</v>
      </c>
      <c r="I79" s="1680">
        <v>5292483</v>
      </c>
      <c r="J79" s="1680">
        <v>228723</v>
      </c>
      <c r="K79" s="1680">
        <v>64242</v>
      </c>
      <c r="L79" s="325"/>
    </row>
    <row r="80" spans="1:12" x14ac:dyDescent="0.2">
      <c r="A80" s="2306" t="s">
        <v>1773</v>
      </c>
      <c r="B80" s="2307"/>
      <c r="C80" s="1624"/>
      <c r="D80" s="1624"/>
      <c r="E80" s="1624"/>
      <c r="F80" s="1624"/>
      <c r="G80" s="1624"/>
      <c r="H80" s="1624"/>
      <c r="I80" s="1624"/>
      <c r="J80" s="1624"/>
      <c r="K80" s="1624"/>
      <c r="L80" s="325"/>
    </row>
    <row r="81" spans="1:12" ht="13.5" thickBot="1" x14ac:dyDescent="0.25">
      <c r="A81" s="2298" t="str">
        <f>"Fund Balances - June 30, "&amp;'AFR20'!E2</f>
        <v>Fund Balances - June 30, 2020</v>
      </c>
      <c r="B81" s="2299"/>
      <c r="C81" s="1644">
        <f>(SUM(C78:C80))</f>
        <v>7545280</v>
      </c>
      <c r="D81" s="1644">
        <f>SUM(D78:D80)</f>
        <v>365547</v>
      </c>
      <c r="E81" s="1644">
        <f t="shared" ref="E81:K81" si="10">SUM(E78:E80)</f>
        <v>1561521</v>
      </c>
      <c r="F81" s="1644">
        <f t="shared" si="10"/>
        <v>583726</v>
      </c>
      <c r="G81" s="1644">
        <f t="shared" si="10"/>
        <v>883245</v>
      </c>
      <c r="H81" s="1644">
        <f t="shared" si="10"/>
        <v>938632</v>
      </c>
      <c r="I81" s="1644">
        <f t="shared" si="10"/>
        <v>4435931</v>
      </c>
      <c r="J81" s="1644">
        <f t="shared" si="10"/>
        <v>243929</v>
      </c>
      <c r="K81" s="1644">
        <f t="shared" si="10"/>
        <v>68521</v>
      </c>
      <c r="L81" s="325"/>
    </row>
    <row r="82" spans="1:12" ht="0.75" customHeight="1" thickTop="1" thickBot="1" x14ac:dyDescent="0.25">
      <c r="A82" s="459" t="s">
        <v>340</v>
      </c>
      <c r="B82" s="460"/>
      <c r="C82" s="461">
        <f>(C81-C79)</f>
        <v>2205342</v>
      </c>
      <c r="D82" s="461">
        <f t="shared" ref="D82:K82" si="11">(D81-D79)</f>
        <v>20741</v>
      </c>
      <c r="E82" s="461">
        <f t="shared" si="11"/>
        <v>31842</v>
      </c>
      <c r="F82" s="461">
        <f t="shared" si="11"/>
        <v>204150</v>
      </c>
      <c r="G82" s="461">
        <f t="shared" si="11"/>
        <v>144863</v>
      </c>
      <c r="H82" s="461">
        <f t="shared" si="11"/>
        <v>166604</v>
      </c>
      <c r="I82" s="461">
        <f t="shared" si="11"/>
        <v>-856552</v>
      </c>
      <c r="J82" s="461">
        <f t="shared" si="11"/>
        <v>15206</v>
      </c>
      <c r="K82" s="461">
        <f t="shared" si="11"/>
        <v>4279</v>
      </c>
    </row>
    <row r="83" spans="1:12" ht="14.25" hidden="1" thickTop="1" thickBot="1" x14ac:dyDescent="0.25">
      <c r="A83" s="462" t="s">
        <v>341</v>
      </c>
      <c r="B83" s="428"/>
      <c r="C83" s="463">
        <f>C82/C81</f>
        <v>0.29228100216294162</v>
      </c>
      <c r="D83" s="463">
        <f t="shared" ref="D83:K83" si="12">D82/D81</f>
        <v>5.6739625821029857E-2</v>
      </c>
      <c r="E83" s="463">
        <f t="shared" si="12"/>
        <v>2.0391656596357013E-2</v>
      </c>
      <c r="F83" s="463">
        <f t="shared" si="12"/>
        <v>0.34973600627691759</v>
      </c>
      <c r="G83" s="463">
        <f t="shared" si="12"/>
        <v>0.16401225028163194</v>
      </c>
      <c r="H83" s="463">
        <f t="shared" si="12"/>
        <v>0.17749661209078743</v>
      </c>
      <c r="I83" s="463">
        <f t="shared" si="12"/>
        <v>-0.19309407653094693</v>
      </c>
      <c r="J83" s="463">
        <f t="shared" si="12"/>
        <v>6.2337811412337199E-2</v>
      </c>
      <c r="K83" s="463">
        <f t="shared" si="12"/>
        <v>6.2448008639687101E-2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2" t="s">
        <v>1780</v>
      </c>
      <c r="B1" s="416"/>
      <c r="C1" s="417" t="s">
        <v>422</v>
      </c>
      <c r="D1" s="417" t="s">
        <v>423</v>
      </c>
      <c r="E1" s="417" t="s">
        <v>424</v>
      </c>
      <c r="F1" s="417" t="s">
        <v>425</v>
      </c>
      <c r="G1" s="417" t="s">
        <v>426</v>
      </c>
      <c r="H1" s="417" t="s">
        <v>427</v>
      </c>
      <c r="I1" s="417" t="s">
        <v>428</v>
      </c>
      <c r="J1" s="417" t="s">
        <v>429</v>
      </c>
      <c r="K1" s="417" t="s">
        <v>751</v>
      </c>
    </row>
    <row r="2" spans="1:12" ht="36" x14ac:dyDescent="0.2">
      <c r="A2" s="230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6211388</v>
      </c>
      <c r="D5" s="1636">
        <v>891205</v>
      </c>
      <c r="E5" s="1623">
        <v>1909347</v>
      </c>
      <c r="F5" s="1681">
        <v>309153</v>
      </c>
      <c r="G5" s="1623">
        <v>258571</v>
      </c>
      <c r="H5" s="1623">
        <v>0</v>
      </c>
      <c r="I5" s="1623">
        <v>6033</v>
      </c>
      <c r="J5" s="1624">
        <v>135593</v>
      </c>
      <c r="K5" s="1623">
        <v>2701</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2701</v>
      </c>
      <c r="D7" s="1623">
        <v>0</v>
      </c>
      <c r="E7" s="1625"/>
      <c r="F7" s="1624">
        <v>0</v>
      </c>
      <c r="G7" s="1624">
        <v>0</v>
      </c>
      <c r="H7" s="1624">
        <v>0</v>
      </c>
      <c r="I7" s="1625"/>
      <c r="J7" s="1625"/>
      <c r="K7" s="1625"/>
    </row>
    <row r="8" spans="1:12" x14ac:dyDescent="0.2">
      <c r="A8" s="427" t="s">
        <v>410</v>
      </c>
      <c r="B8" s="429">
        <v>1150</v>
      </c>
      <c r="C8" s="1630"/>
      <c r="D8" s="1630"/>
      <c r="E8" s="1632"/>
      <c r="F8" s="1632"/>
      <c r="G8" s="1636">
        <v>239502</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6214089</v>
      </c>
      <c r="D12" s="1683">
        <f t="shared" si="0"/>
        <v>891205</v>
      </c>
      <c r="E12" s="1683">
        <f t="shared" si="0"/>
        <v>1909347</v>
      </c>
      <c r="F12" s="1683">
        <f t="shared" si="0"/>
        <v>309153</v>
      </c>
      <c r="G12" s="1683">
        <f t="shared" si="0"/>
        <v>498073</v>
      </c>
      <c r="H12" s="1683">
        <f t="shared" si="0"/>
        <v>0</v>
      </c>
      <c r="I12" s="1683">
        <f t="shared" si="0"/>
        <v>6033</v>
      </c>
      <c r="J12" s="1683">
        <f t="shared" si="0"/>
        <v>135593</v>
      </c>
      <c r="K12" s="1644">
        <f t="shared" si="0"/>
        <v>2701</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85556</v>
      </c>
      <c r="D16" s="1623">
        <v>0</v>
      </c>
      <c r="E16" s="1623">
        <v>0</v>
      </c>
      <c r="F16" s="1623">
        <v>0</v>
      </c>
      <c r="G16" s="1623">
        <v>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85556</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11874</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11874</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163941</v>
      </c>
      <c r="D65" s="1623">
        <v>8114</v>
      </c>
      <c r="E65" s="1623">
        <v>26666</v>
      </c>
      <c r="F65" s="1624">
        <v>10760</v>
      </c>
      <c r="G65" s="1623">
        <v>18288</v>
      </c>
      <c r="H65" s="1623">
        <v>17381</v>
      </c>
      <c r="I65" s="1623">
        <v>137415</v>
      </c>
      <c r="J65" s="1624">
        <v>5120</v>
      </c>
      <c r="K65" s="1623">
        <v>1578</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163941</v>
      </c>
      <c r="D67" s="1644">
        <f t="shared" ref="D67:K67" si="2">SUM(D65:D66)</f>
        <v>8114</v>
      </c>
      <c r="E67" s="1644">
        <f t="shared" si="2"/>
        <v>26666</v>
      </c>
      <c r="F67" s="1644">
        <f t="shared" si="2"/>
        <v>10760</v>
      </c>
      <c r="G67" s="1644">
        <f t="shared" si="2"/>
        <v>18288</v>
      </c>
      <c r="H67" s="1644">
        <f t="shared" si="2"/>
        <v>17381</v>
      </c>
      <c r="I67" s="1644">
        <f t="shared" si="2"/>
        <v>137415</v>
      </c>
      <c r="J67" s="1644">
        <f t="shared" si="2"/>
        <v>5120</v>
      </c>
      <c r="K67" s="1644">
        <f t="shared" si="2"/>
        <v>1578</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97099</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28041</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79</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125219</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0</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30118</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30118</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155079</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155079</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141522</v>
      </c>
      <c r="D95" s="1682">
        <v>0</v>
      </c>
      <c r="E95" s="1667"/>
      <c r="F95" s="1667"/>
      <c r="G95" s="1667"/>
      <c r="H95" s="1667"/>
      <c r="I95" s="1667"/>
      <c r="J95" s="1667"/>
      <c r="K95" s="1667"/>
    </row>
    <row r="96" spans="1:11" ht="12.75" customHeight="1" x14ac:dyDescent="0.2">
      <c r="A96" s="427" t="s">
        <v>388</v>
      </c>
      <c r="B96" s="429">
        <v>1920</v>
      </c>
      <c r="C96" s="1682">
        <v>24165</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14629</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141270</v>
      </c>
      <c r="D107" s="1623">
        <v>8759</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321586</v>
      </c>
      <c r="D108" s="1683">
        <f t="shared" ref="D108:K108" si="3">SUM(D95:D107)</f>
        <v>8759</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7095588</v>
      </c>
      <c r="D109" s="1691">
        <f t="shared" si="4"/>
        <v>908078</v>
      </c>
      <c r="E109" s="1691">
        <f t="shared" si="4"/>
        <v>1936013</v>
      </c>
      <c r="F109" s="1691">
        <f t="shared" si="4"/>
        <v>331787</v>
      </c>
      <c r="G109" s="1691">
        <f t="shared" si="4"/>
        <v>516361</v>
      </c>
      <c r="H109" s="1691">
        <f t="shared" si="4"/>
        <v>17381</v>
      </c>
      <c r="I109" s="1691">
        <f t="shared" si="4"/>
        <v>143448</v>
      </c>
      <c r="J109" s="1691">
        <f t="shared" si="4"/>
        <v>140713</v>
      </c>
      <c r="K109" s="1679">
        <f t="shared" si="4"/>
        <v>4279</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6100895</v>
      </c>
      <c r="D117" s="1636">
        <v>100000</v>
      </c>
      <c r="E117" s="1623">
        <v>0</v>
      </c>
      <c r="F117" s="1636">
        <v>107000</v>
      </c>
      <c r="G117" s="1636">
        <v>0</v>
      </c>
      <c r="H117" s="1623">
        <v>0</v>
      </c>
      <c r="I117" s="1625"/>
      <c r="J117" s="1624">
        <v>0</v>
      </c>
      <c r="K117" s="1623">
        <v>0</v>
      </c>
    </row>
    <row r="118" spans="1:11" ht="12.75" customHeight="1" x14ac:dyDescent="0.2">
      <c r="A118" s="427" t="s">
        <v>1777</v>
      </c>
      <c r="B118" s="478">
        <v>3002</v>
      </c>
      <c r="C118" s="1682">
        <v>0</v>
      </c>
      <c r="D118" s="1623">
        <v>0</v>
      </c>
      <c r="E118" s="1623">
        <v>0</v>
      </c>
      <c r="F118" s="1623">
        <v>0</v>
      </c>
      <c r="G118" s="1623">
        <v>0</v>
      </c>
      <c r="H118" s="1623">
        <v>0</v>
      </c>
      <c r="I118" s="1625"/>
      <c r="J118" s="1624">
        <v>0</v>
      </c>
      <c r="K118" s="1623">
        <v>0</v>
      </c>
    </row>
    <row r="119" spans="1:11" ht="12.75" customHeight="1" x14ac:dyDescent="0.2">
      <c r="A119" s="427" t="s">
        <v>1778</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1896</v>
      </c>
      <c r="B120" s="478">
        <v>3030</v>
      </c>
      <c r="C120" s="1682">
        <v>0</v>
      </c>
      <c r="D120" s="1623">
        <v>0</v>
      </c>
      <c r="E120" s="1623">
        <v>0</v>
      </c>
      <c r="F120" s="1623">
        <v>0</v>
      </c>
      <c r="G120" s="1623">
        <v>0</v>
      </c>
      <c r="H120" s="1623">
        <v>0</v>
      </c>
      <c r="I120" s="1625"/>
      <c r="J120" s="1624">
        <v>0</v>
      </c>
      <c r="K120" s="1623">
        <v>0</v>
      </c>
    </row>
    <row r="121" spans="1:11" x14ac:dyDescent="0.2">
      <c r="A121" s="1311" t="s">
        <v>1779</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6100895</v>
      </c>
      <c r="D122" s="1683">
        <f t="shared" si="5"/>
        <v>100000</v>
      </c>
      <c r="E122" s="1683">
        <f t="shared" si="5"/>
        <v>0</v>
      </c>
      <c r="F122" s="1683">
        <f t="shared" si="5"/>
        <v>107000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3414</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12041</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15455</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3197</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227951</v>
      </c>
      <c r="G152" s="1624">
        <v>0</v>
      </c>
      <c r="H152" s="1625"/>
      <c r="I152" s="1625"/>
      <c r="J152" s="1625"/>
      <c r="K152" s="1625"/>
    </row>
    <row r="153" spans="1:11" ht="12.75" customHeight="1" x14ac:dyDescent="0.2">
      <c r="A153" s="427" t="s">
        <v>1050</v>
      </c>
      <c r="B153" s="478">
        <v>3510</v>
      </c>
      <c r="C153" s="1682">
        <v>0</v>
      </c>
      <c r="D153" s="1623">
        <v>0</v>
      </c>
      <c r="E153" s="1690"/>
      <c r="F153" s="1623">
        <v>178338</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406289</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470979</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0</v>
      </c>
      <c r="E167" s="1667"/>
      <c r="F167" s="1667"/>
      <c r="G167" s="1625"/>
      <c r="H167" s="1677">
        <v>50000</v>
      </c>
      <c r="I167" s="1625"/>
      <c r="J167" s="1625"/>
      <c r="K167" s="1676">
        <v>0</v>
      </c>
    </row>
    <row r="168" spans="1:11" ht="14.25" thickTop="1" thickBot="1" x14ac:dyDescent="0.25">
      <c r="A168" s="1315" t="s">
        <v>70</v>
      </c>
      <c r="B168" s="484">
        <v>3999</v>
      </c>
      <c r="C168" s="1704">
        <v>0</v>
      </c>
      <c r="D168" s="1705">
        <v>0</v>
      </c>
      <c r="E168" s="1705">
        <v>0</v>
      </c>
      <c r="F168" s="1705">
        <v>0</v>
      </c>
      <c r="G168" s="1706">
        <v>0</v>
      </c>
      <c r="H168" s="1707">
        <v>0</v>
      </c>
      <c r="I168" s="1706">
        <v>0</v>
      </c>
      <c r="J168" s="1706">
        <v>0</v>
      </c>
      <c r="K168" s="1707">
        <v>0</v>
      </c>
    </row>
    <row r="169" spans="1:11" ht="12.75" customHeight="1" thickTop="1" thickBot="1" x14ac:dyDescent="0.25">
      <c r="A169" s="2322" t="s">
        <v>395</v>
      </c>
      <c r="B169" s="2323"/>
      <c r="C169" s="1708">
        <f t="shared" ref="C169:K169" si="6">SUM(C132,C141,C145,C146:C150,C155,C156:C167,C168)</f>
        <v>489631</v>
      </c>
      <c r="D169" s="1708">
        <f t="shared" si="6"/>
        <v>0</v>
      </c>
      <c r="E169" s="1708">
        <f t="shared" si="6"/>
        <v>0</v>
      </c>
      <c r="F169" s="1708">
        <f t="shared" si="6"/>
        <v>406289</v>
      </c>
      <c r="G169" s="1708">
        <f t="shared" si="6"/>
        <v>0</v>
      </c>
      <c r="H169" s="1708">
        <f t="shared" si="6"/>
        <v>50000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6590526</v>
      </c>
      <c r="D170" s="1691">
        <f t="shared" si="7"/>
        <v>100000</v>
      </c>
      <c r="E170" s="1691">
        <f t="shared" si="7"/>
        <v>0</v>
      </c>
      <c r="F170" s="1691">
        <f t="shared" si="7"/>
        <v>513289</v>
      </c>
      <c r="G170" s="1691">
        <f t="shared" si="7"/>
        <v>0</v>
      </c>
      <c r="H170" s="1691">
        <f t="shared" si="7"/>
        <v>50000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4" t="s">
        <v>1478</v>
      </c>
      <c r="B172" s="2325"/>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8" t="s">
        <v>1649</v>
      </c>
      <c r="B175" s="232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2" t="s">
        <v>1648</v>
      </c>
      <c r="B176" s="2333"/>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30" t="s">
        <v>780</v>
      </c>
      <c r="B181" s="233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6" t="s">
        <v>1781</v>
      </c>
      <c r="B182" s="232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156404</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51173</v>
      </c>
      <c r="D193" s="1625"/>
      <c r="E193" s="1690"/>
      <c r="F193" s="1625"/>
      <c r="G193" s="1714">
        <v>0</v>
      </c>
      <c r="H193" s="1625"/>
      <c r="I193" s="1625"/>
      <c r="J193" s="1625"/>
      <c r="K193" s="1625"/>
    </row>
    <row r="194" spans="1:11" ht="12.75" customHeight="1" x14ac:dyDescent="0.2">
      <c r="A194" s="427" t="s">
        <v>1437</v>
      </c>
      <c r="B194" s="429">
        <v>4225</v>
      </c>
      <c r="C194" s="1682">
        <v>0</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207577</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278894</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34555</v>
      </c>
      <c r="D203" s="1623">
        <v>0</v>
      </c>
      <c r="E203" s="1625"/>
      <c r="F203" s="1623">
        <v>0</v>
      </c>
      <c r="G203" s="1623">
        <v>0</v>
      </c>
      <c r="H203" s="1625"/>
      <c r="I203" s="1625"/>
      <c r="J203" s="1625"/>
      <c r="K203" s="1625"/>
    </row>
    <row r="204" spans="1:11" ht="12.75" customHeight="1" thickBot="1" x14ac:dyDescent="0.25">
      <c r="A204" s="1455" t="s">
        <v>397</v>
      </c>
      <c r="B204" s="1456"/>
      <c r="C204" s="1683">
        <f>SUM(C200:C203)</f>
        <v>313449</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861</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861</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31657</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412802</v>
      </c>
      <c r="D213" s="1623">
        <v>0</v>
      </c>
      <c r="E213" s="1625"/>
      <c r="F213" s="1623">
        <v>0</v>
      </c>
      <c r="G213" s="1623">
        <v>0</v>
      </c>
      <c r="H213" s="1625"/>
      <c r="I213" s="1625"/>
      <c r="J213" s="1625"/>
      <c r="K213" s="1625"/>
    </row>
    <row r="214" spans="1:11" ht="12.75" customHeight="1" x14ac:dyDescent="0.2">
      <c r="A214" s="427" t="s">
        <v>1047</v>
      </c>
      <c r="B214" s="429">
        <v>4625</v>
      </c>
      <c r="C214" s="1682">
        <v>41215</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485674</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9166</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30113</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1897</v>
      </c>
      <c r="B261" s="429">
        <v>4981</v>
      </c>
      <c r="C261" s="1700">
        <v>0</v>
      </c>
      <c r="D261" s="1701">
        <v>0</v>
      </c>
      <c r="E261" s="1625"/>
      <c r="F261" s="1701">
        <v>0</v>
      </c>
      <c r="G261" s="1701">
        <v>0</v>
      </c>
      <c r="H261" s="1625"/>
      <c r="I261" s="1625"/>
      <c r="J261" s="1625"/>
      <c r="K261" s="1625"/>
    </row>
    <row r="262" spans="1:11" ht="12.75" customHeight="1" thickTop="1" thickBot="1" x14ac:dyDescent="0.25">
      <c r="A262" s="1590" t="s">
        <v>1898</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70896</v>
      </c>
      <c r="D263" s="1701">
        <v>0</v>
      </c>
      <c r="E263" s="1625"/>
      <c r="F263" s="1701">
        <v>0</v>
      </c>
      <c r="G263" s="1701">
        <v>0</v>
      </c>
      <c r="H263" s="1625"/>
      <c r="I263" s="1625"/>
      <c r="J263" s="1625"/>
      <c r="K263" s="1625"/>
    </row>
    <row r="264" spans="1:11" ht="12.75" customHeight="1" thickTop="1" thickBot="1" x14ac:dyDescent="0.25">
      <c r="A264" s="427" t="s">
        <v>374</v>
      </c>
      <c r="B264" s="429">
        <v>4992</v>
      </c>
      <c r="C264" s="1700">
        <v>19685</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1137421</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1137421</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14823535</v>
      </c>
      <c r="D268" s="1691">
        <f t="shared" si="12"/>
        <v>1008078</v>
      </c>
      <c r="E268" s="1691">
        <f t="shared" si="12"/>
        <v>1936013</v>
      </c>
      <c r="F268" s="1691">
        <f t="shared" si="12"/>
        <v>845076</v>
      </c>
      <c r="G268" s="1691">
        <f t="shared" si="12"/>
        <v>516361</v>
      </c>
      <c r="H268" s="1691">
        <f t="shared" si="12"/>
        <v>67381</v>
      </c>
      <c r="I268" s="1691">
        <f t="shared" si="12"/>
        <v>143448</v>
      </c>
      <c r="J268" s="1691">
        <f t="shared" si="12"/>
        <v>140713</v>
      </c>
      <c r="K268" s="1679">
        <f t="shared" si="12"/>
        <v>4279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2"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0" t="s">
        <v>294</v>
      </c>
      <c r="B3" s="2341"/>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4416248</v>
      </c>
      <c r="D5" s="1623">
        <v>686028</v>
      </c>
      <c r="E5" s="1623">
        <v>267794</v>
      </c>
      <c r="F5" s="1623">
        <v>289228</v>
      </c>
      <c r="G5" s="1623">
        <v>0</v>
      </c>
      <c r="H5" s="1623">
        <v>480</v>
      </c>
      <c r="I5" s="1624">
        <v>0</v>
      </c>
      <c r="J5" s="1624">
        <v>0</v>
      </c>
      <c r="K5" s="1722">
        <f>SUM(C5:J5)</f>
        <v>5659778</v>
      </c>
      <c r="L5" s="1623">
        <v>6508350</v>
      </c>
    </row>
    <row r="6" spans="1:14" x14ac:dyDescent="0.2">
      <c r="A6" s="1319" t="s">
        <v>1419</v>
      </c>
      <c r="B6" s="503" t="s">
        <v>1417</v>
      </c>
      <c r="C6" s="1632"/>
      <c r="D6" s="1632"/>
      <c r="E6" s="1623" t="s">
        <v>1161</v>
      </c>
      <c r="F6" s="1632"/>
      <c r="G6" s="1632"/>
      <c r="H6" s="1632"/>
      <c r="I6" s="1632"/>
      <c r="J6" s="1632"/>
      <c r="K6" s="1722">
        <f>SUM(C6,E6)</f>
        <v>0</v>
      </c>
      <c r="L6" s="1623">
        <v>0</v>
      </c>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v>0</v>
      </c>
    </row>
    <row r="8" spans="1:14" x14ac:dyDescent="0.2">
      <c r="A8" s="1319" t="s">
        <v>163</v>
      </c>
      <c r="B8" s="503">
        <v>1200</v>
      </c>
      <c r="C8" s="1623">
        <v>891025</v>
      </c>
      <c r="D8" s="1623">
        <v>173247</v>
      </c>
      <c r="E8" s="1623">
        <v>40149</v>
      </c>
      <c r="F8" s="1623">
        <v>60728</v>
      </c>
      <c r="G8" s="1623">
        <v>0</v>
      </c>
      <c r="H8" s="1623">
        <v>0</v>
      </c>
      <c r="I8" s="1624">
        <v>0</v>
      </c>
      <c r="J8" s="1624">
        <v>0</v>
      </c>
      <c r="K8" s="1722">
        <f t="shared" si="0"/>
        <v>1165149</v>
      </c>
      <c r="L8" s="1623">
        <v>1260200</v>
      </c>
    </row>
    <row r="9" spans="1:14" x14ac:dyDescent="0.2">
      <c r="A9" s="1319" t="s">
        <v>716</v>
      </c>
      <c r="B9" s="503" t="s">
        <v>962</v>
      </c>
      <c r="C9" s="1624">
        <v>99587</v>
      </c>
      <c r="D9" s="1624">
        <v>18717</v>
      </c>
      <c r="E9" s="1624">
        <v>0</v>
      </c>
      <c r="F9" s="1624">
        <v>342</v>
      </c>
      <c r="G9" s="1624">
        <v>0</v>
      </c>
      <c r="H9" s="1624">
        <v>0</v>
      </c>
      <c r="I9" s="1624">
        <v>0</v>
      </c>
      <c r="J9" s="1624">
        <v>0</v>
      </c>
      <c r="K9" s="1722">
        <f t="shared" si="0"/>
        <v>118646</v>
      </c>
      <c r="L9" s="1623">
        <v>149000</v>
      </c>
    </row>
    <row r="10" spans="1:14" x14ac:dyDescent="0.2">
      <c r="A10" s="1319" t="s">
        <v>717</v>
      </c>
      <c r="B10" s="503">
        <v>1250</v>
      </c>
      <c r="C10" s="1623">
        <v>108688</v>
      </c>
      <c r="D10" s="1623">
        <v>35026</v>
      </c>
      <c r="E10" s="1623">
        <v>0</v>
      </c>
      <c r="F10" s="1623">
        <v>126187</v>
      </c>
      <c r="G10" s="1623">
        <v>0</v>
      </c>
      <c r="H10" s="1623">
        <v>0</v>
      </c>
      <c r="I10" s="1624">
        <v>0</v>
      </c>
      <c r="J10" s="1624">
        <v>0</v>
      </c>
      <c r="K10" s="1722">
        <f t="shared" si="0"/>
        <v>269901</v>
      </c>
      <c r="L10" s="1623">
        <v>274000</v>
      </c>
    </row>
    <row r="11" spans="1:14" x14ac:dyDescent="0.2">
      <c r="A11" s="1319" t="s">
        <v>1122</v>
      </c>
      <c r="B11" s="503" t="s">
        <v>160</v>
      </c>
      <c r="C11" s="1624">
        <v>138005</v>
      </c>
      <c r="D11" s="1624">
        <v>20897</v>
      </c>
      <c r="E11" s="1624">
        <v>2612</v>
      </c>
      <c r="F11" s="1624">
        <v>43685</v>
      </c>
      <c r="G11" s="1624">
        <v>0</v>
      </c>
      <c r="H11" s="1624">
        <v>0</v>
      </c>
      <c r="I11" s="1624">
        <v>4601</v>
      </c>
      <c r="J11" s="1624">
        <v>0</v>
      </c>
      <c r="K11" s="1722">
        <f t="shared" si="0"/>
        <v>209800</v>
      </c>
      <c r="L11" s="1623">
        <v>239700</v>
      </c>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v>0</v>
      </c>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v>0</v>
      </c>
    </row>
    <row r="14" spans="1:14" x14ac:dyDescent="0.2">
      <c r="A14" s="1319" t="s">
        <v>957</v>
      </c>
      <c r="B14" s="503">
        <v>1500</v>
      </c>
      <c r="C14" s="1623">
        <v>40744</v>
      </c>
      <c r="D14" s="1623">
        <v>610</v>
      </c>
      <c r="E14" s="1623">
        <v>0</v>
      </c>
      <c r="F14" s="1623">
        <v>0</v>
      </c>
      <c r="G14" s="1623">
        <v>0</v>
      </c>
      <c r="H14" s="1623">
        <v>5051</v>
      </c>
      <c r="I14" s="1624">
        <v>0</v>
      </c>
      <c r="J14" s="1624">
        <v>0</v>
      </c>
      <c r="K14" s="1722">
        <f t="shared" si="0"/>
        <v>46405</v>
      </c>
      <c r="L14" s="1623">
        <v>58200</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v>0</v>
      </c>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v>0</v>
      </c>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v>0</v>
      </c>
    </row>
    <row r="18" spans="1:12" x14ac:dyDescent="0.2">
      <c r="A18" s="1319" t="s">
        <v>1080</v>
      </c>
      <c r="B18" s="503">
        <v>1800</v>
      </c>
      <c r="C18" s="1623">
        <v>106142</v>
      </c>
      <c r="D18" s="1623">
        <v>7190</v>
      </c>
      <c r="E18" s="1623">
        <v>1050</v>
      </c>
      <c r="F18" s="1623">
        <v>10665</v>
      </c>
      <c r="G18" s="1623">
        <v>0</v>
      </c>
      <c r="H18" s="1623">
        <v>0</v>
      </c>
      <c r="I18" s="1624">
        <v>0</v>
      </c>
      <c r="J18" s="1624">
        <v>0</v>
      </c>
      <c r="K18" s="1722">
        <f t="shared" si="0"/>
        <v>125047</v>
      </c>
      <c r="L18" s="1623">
        <v>163800</v>
      </c>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v>0</v>
      </c>
    </row>
    <row r="20" spans="1:12" x14ac:dyDescent="0.2">
      <c r="A20" s="1320" t="s">
        <v>733</v>
      </c>
      <c r="B20" s="494" t="s">
        <v>720</v>
      </c>
      <c r="C20" s="1632"/>
      <c r="D20" s="1632"/>
      <c r="E20" s="1632"/>
      <c r="F20" s="1632"/>
      <c r="G20" s="1632"/>
      <c r="H20" s="1629">
        <v>0</v>
      </c>
      <c r="I20" s="1723"/>
      <c r="J20" s="1630"/>
      <c r="K20" s="1722">
        <f t="shared" si="0"/>
        <v>0</v>
      </c>
      <c r="L20" s="1627">
        <v>0</v>
      </c>
    </row>
    <row r="21" spans="1:12" x14ac:dyDescent="0.2">
      <c r="A21" s="1320" t="s">
        <v>734</v>
      </c>
      <c r="B21" s="494" t="s">
        <v>721</v>
      </c>
      <c r="C21" s="1632"/>
      <c r="D21" s="1632"/>
      <c r="E21" s="1632"/>
      <c r="F21" s="1632"/>
      <c r="G21" s="1632"/>
      <c r="H21" s="1629">
        <v>0</v>
      </c>
      <c r="I21" s="1723"/>
      <c r="J21" s="1632"/>
      <c r="K21" s="1722">
        <f t="shared" si="0"/>
        <v>0</v>
      </c>
      <c r="L21" s="1627">
        <v>0</v>
      </c>
    </row>
    <row r="22" spans="1:12" x14ac:dyDescent="0.2">
      <c r="A22" s="1320" t="s">
        <v>735</v>
      </c>
      <c r="B22" s="494" t="s">
        <v>722</v>
      </c>
      <c r="C22" s="1632"/>
      <c r="D22" s="1632"/>
      <c r="E22" s="1632"/>
      <c r="F22" s="1632"/>
      <c r="G22" s="1632"/>
      <c r="H22" s="1629">
        <v>55686</v>
      </c>
      <c r="I22" s="1723"/>
      <c r="J22" s="1632"/>
      <c r="K22" s="1722">
        <f t="shared" si="0"/>
        <v>55686</v>
      </c>
      <c r="L22" s="1627">
        <v>65000</v>
      </c>
    </row>
    <row r="23" spans="1:12" x14ac:dyDescent="0.2">
      <c r="A23" s="1320" t="s">
        <v>736</v>
      </c>
      <c r="B23" s="494" t="s">
        <v>723</v>
      </c>
      <c r="C23" s="1632"/>
      <c r="D23" s="1632"/>
      <c r="E23" s="1632"/>
      <c r="F23" s="1632"/>
      <c r="G23" s="1632"/>
      <c r="H23" s="1629">
        <v>0</v>
      </c>
      <c r="I23" s="1723"/>
      <c r="J23" s="1632"/>
      <c r="K23" s="1722">
        <f t="shared" si="0"/>
        <v>0</v>
      </c>
      <c r="L23" s="1627">
        <v>0</v>
      </c>
    </row>
    <row r="24" spans="1:12" ht="12.75" customHeight="1" x14ac:dyDescent="0.2">
      <c r="A24" s="1320" t="s">
        <v>737</v>
      </c>
      <c r="B24" s="494" t="s">
        <v>724</v>
      </c>
      <c r="C24" s="1632"/>
      <c r="D24" s="1632"/>
      <c r="E24" s="1632"/>
      <c r="F24" s="1632"/>
      <c r="G24" s="1632"/>
      <c r="H24" s="1629">
        <v>0</v>
      </c>
      <c r="I24" s="1723"/>
      <c r="J24" s="1632"/>
      <c r="K24" s="1722">
        <f t="shared" si="0"/>
        <v>0</v>
      </c>
      <c r="L24" s="1627">
        <v>0</v>
      </c>
    </row>
    <row r="25" spans="1:12" ht="12.75" customHeight="1" x14ac:dyDescent="0.2">
      <c r="A25" s="1320" t="s">
        <v>797</v>
      </c>
      <c r="B25" s="494" t="s">
        <v>725</v>
      </c>
      <c r="C25" s="1632"/>
      <c r="D25" s="1632"/>
      <c r="E25" s="1632"/>
      <c r="F25" s="1632"/>
      <c r="G25" s="1632"/>
      <c r="H25" s="1629">
        <v>0</v>
      </c>
      <c r="I25" s="1723"/>
      <c r="J25" s="1632"/>
      <c r="K25" s="1722">
        <f t="shared" si="0"/>
        <v>0</v>
      </c>
      <c r="L25" s="1627">
        <v>0</v>
      </c>
    </row>
    <row r="26" spans="1:12" x14ac:dyDescent="0.2">
      <c r="A26" s="1320" t="s">
        <v>618</v>
      </c>
      <c r="B26" s="494" t="s">
        <v>726</v>
      </c>
      <c r="C26" s="1632"/>
      <c r="D26" s="1632"/>
      <c r="E26" s="1632"/>
      <c r="F26" s="1632"/>
      <c r="G26" s="1632"/>
      <c r="H26" s="1629">
        <v>0</v>
      </c>
      <c r="I26" s="1723"/>
      <c r="J26" s="1632"/>
      <c r="K26" s="1722">
        <f t="shared" si="0"/>
        <v>0</v>
      </c>
      <c r="L26" s="1627">
        <v>0</v>
      </c>
    </row>
    <row r="27" spans="1:12" x14ac:dyDescent="0.2">
      <c r="A27" s="1320" t="s">
        <v>619</v>
      </c>
      <c r="B27" s="494" t="s">
        <v>727</v>
      </c>
      <c r="C27" s="1632"/>
      <c r="D27" s="1632"/>
      <c r="E27" s="1632"/>
      <c r="F27" s="1632"/>
      <c r="G27" s="1632"/>
      <c r="H27" s="1629">
        <v>0</v>
      </c>
      <c r="I27" s="1723"/>
      <c r="J27" s="1632"/>
      <c r="K27" s="1722">
        <f t="shared" si="0"/>
        <v>0</v>
      </c>
      <c r="L27" s="1627">
        <v>0</v>
      </c>
    </row>
    <row r="28" spans="1:12" x14ac:dyDescent="0.2">
      <c r="A28" s="1320" t="s">
        <v>149</v>
      </c>
      <c r="B28" s="494" t="s">
        <v>728</v>
      </c>
      <c r="C28" s="1632"/>
      <c r="D28" s="1632"/>
      <c r="E28" s="1632"/>
      <c r="F28" s="1632"/>
      <c r="G28" s="1632"/>
      <c r="H28" s="1629">
        <v>0</v>
      </c>
      <c r="I28" s="1723"/>
      <c r="J28" s="1632"/>
      <c r="K28" s="1722">
        <f t="shared" si="0"/>
        <v>0</v>
      </c>
      <c r="L28" s="1627">
        <v>0</v>
      </c>
    </row>
    <row r="29" spans="1:12" x14ac:dyDescent="0.2">
      <c r="A29" s="1320" t="s">
        <v>150</v>
      </c>
      <c r="B29" s="494" t="s">
        <v>729</v>
      </c>
      <c r="C29" s="1632"/>
      <c r="D29" s="1632"/>
      <c r="E29" s="1632"/>
      <c r="F29" s="1632"/>
      <c r="G29" s="1632"/>
      <c r="H29" s="1629">
        <v>0</v>
      </c>
      <c r="I29" s="1723"/>
      <c r="J29" s="1632"/>
      <c r="K29" s="1722">
        <f t="shared" si="0"/>
        <v>0</v>
      </c>
      <c r="L29" s="1627">
        <v>0</v>
      </c>
    </row>
    <row r="30" spans="1:12" x14ac:dyDescent="0.2">
      <c r="A30" s="1320" t="s">
        <v>151</v>
      </c>
      <c r="B30" s="494" t="s">
        <v>730</v>
      </c>
      <c r="C30" s="1632"/>
      <c r="D30" s="1632"/>
      <c r="E30" s="1632"/>
      <c r="F30" s="1632"/>
      <c r="G30" s="1632"/>
      <c r="H30" s="1629">
        <v>0</v>
      </c>
      <c r="I30" s="1723"/>
      <c r="J30" s="1632"/>
      <c r="K30" s="1722">
        <f t="shared" si="0"/>
        <v>0</v>
      </c>
      <c r="L30" s="1627">
        <v>0</v>
      </c>
    </row>
    <row r="31" spans="1:12" x14ac:dyDescent="0.2">
      <c r="A31" s="1320" t="s">
        <v>152</v>
      </c>
      <c r="B31" s="494" t="s">
        <v>731</v>
      </c>
      <c r="C31" s="1632"/>
      <c r="D31" s="1632"/>
      <c r="E31" s="1632"/>
      <c r="F31" s="1632"/>
      <c r="G31" s="1632"/>
      <c r="H31" s="1629">
        <v>0</v>
      </c>
      <c r="I31" s="1723"/>
      <c r="J31" s="1632"/>
      <c r="K31" s="1722">
        <f t="shared" si="0"/>
        <v>0</v>
      </c>
      <c r="L31" s="1627">
        <v>0</v>
      </c>
    </row>
    <row r="32" spans="1:12" x14ac:dyDescent="0.2">
      <c r="A32" s="1321" t="s">
        <v>1121</v>
      </c>
      <c r="B32" s="503" t="s">
        <v>732</v>
      </c>
      <c r="C32" s="1632"/>
      <c r="D32" s="1632"/>
      <c r="E32" s="1632"/>
      <c r="F32" s="1632"/>
      <c r="G32" s="1632"/>
      <c r="H32" s="1629">
        <v>0</v>
      </c>
      <c r="I32" s="1723"/>
      <c r="J32" s="1635"/>
      <c r="K32" s="1722">
        <f t="shared" si="0"/>
        <v>0</v>
      </c>
      <c r="L32" s="1627">
        <v>0</v>
      </c>
    </row>
    <row r="33" spans="1:14" ht="12.75" customHeight="1" thickBot="1" x14ac:dyDescent="0.25">
      <c r="A33" s="1429" t="s">
        <v>1652</v>
      </c>
      <c r="B33" s="1430" t="s">
        <v>566</v>
      </c>
      <c r="C33" s="1724">
        <f>SUM(C5:C32)</f>
        <v>5800439</v>
      </c>
      <c r="D33" s="1724">
        <f t="shared" ref="D33:L33" si="1">SUM(D5:D32)</f>
        <v>941715</v>
      </c>
      <c r="E33" s="1724">
        <f t="shared" si="1"/>
        <v>311605</v>
      </c>
      <c r="F33" s="1724">
        <f t="shared" si="1"/>
        <v>530835</v>
      </c>
      <c r="G33" s="1724">
        <f t="shared" si="1"/>
        <v>0</v>
      </c>
      <c r="H33" s="1724">
        <f t="shared" si="1"/>
        <v>61217</v>
      </c>
      <c r="I33" s="1724">
        <f t="shared" si="1"/>
        <v>4601</v>
      </c>
      <c r="J33" s="1724">
        <f t="shared" si="1"/>
        <v>0</v>
      </c>
      <c r="K33" s="1724">
        <f t="shared" si="1"/>
        <v>7650412</v>
      </c>
      <c r="L33" s="1724">
        <f t="shared" si="1"/>
        <v>8718250</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183653</v>
      </c>
      <c r="D36" s="1636">
        <v>30443</v>
      </c>
      <c r="E36" s="1636">
        <v>26198</v>
      </c>
      <c r="F36" s="1636">
        <v>0</v>
      </c>
      <c r="G36" s="1636">
        <v>0</v>
      </c>
      <c r="H36" s="1636">
        <v>0</v>
      </c>
      <c r="I36" s="1624">
        <v>0</v>
      </c>
      <c r="J36" s="1624">
        <v>0</v>
      </c>
      <c r="K36" s="1722">
        <f t="shared" ref="K36:K41" si="2">SUM(C36:J36)</f>
        <v>240294</v>
      </c>
      <c r="L36" s="1623">
        <v>282800</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v>0</v>
      </c>
    </row>
    <row r="38" spans="1:14" x14ac:dyDescent="0.2">
      <c r="A38" s="1319" t="s">
        <v>196</v>
      </c>
      <c r="B38" s="503">
        <v>2130</v>
      </c>
      <c r="C38" s="1623">
        <v>169796</v>
      </c>
      <c r="D38" s="1623">
        <v>38469</v>
      </c>
      <c r="E38" s="1623">
        <v>100</v>
      </c>
      <c r="F38" s="1623">
        <v>4039</v>
      </c>
      <c r="G38" s="1623">
        <v>0</v>
      </c>
      <c r="H38" s="1623">
        <v>0</v>
      </c>
      <c r="I38" s="1624">
        <v>0</v>
      </c>
      <c r="J38" s="1624">
        <v>0</v>
      </c>
      <c r="K38" s="1722">
        <f t="shared" si="2"/>
        <v>212404</v>
      </c>
      <c r="L38" s="1623">
        <v>222000</v>
      </c>
    </row>
    <row r="39" spans="1:14" x14ac:dyDescent="0.2">
      <c r="A39" s="1319" t="s">
        <v>197</v>
      </c>
      <c r="B39" s="503">
        <v>2140</v>
      </c>
      <c r="C39" s="1623">
        <v>120919</v>
      </c>
      <c r="D39" s="1623">
        <v>9524</v>
      </c>
      <c r="E39" s="1623">
        <v>680</v>
      </c>
      <c r="F39" s="1623">
        <v>810</v>
      </c>
      <c r="G39" s="1623">
        <v>0</v>
      </c>
      <c r="H39" s="1623">
        <v>0</v>
      </c>
      <c r="I39" s="1624">
        <v>0</v>
      </c>
      <c r="J39" s="1624">
        <v>0</v>
      </c>
      <c r="K39" s="1722">
        <f t="shared" si="2"/>
        <v>131933</v>
      </c>
      <c r="L39" s="1623">
        <v>239200</v>
      </c>
    </row>
    <row r="40" spans="1:14" x14ac:dyDescent="0.2">
      <c r="A40" s="1319" t="s">
        <v>198</v>
      </c>
      <c r="B40" s="503">
        <v>2150</v>
      </c>
      <c r="C40" s="1623">
        <v>217751</v>
      </c>
      <c r="D40" s="1623">
        <v>12996</v>
      </c>
      <c r="E40" s="1623">
        <v>0</v>
      </c>
      <c r="F40" s="1623">
        <v>4034</v>
      </c>
      <c r="G40" s="1623">
        <v>0</v>
      </c>
      <c r="H40" s="1623">
        <v>0</v>
      </c>
      <c r="I40" s="1624">
        <v>0</v>
      </c>
      <c r="J40" s="1624">
        <v>0</v>
      </c>
      <c r="K40" s="1722">
        <f t="shared" si="2"/>
        <v>234781</v>
      </c>
      <c r="L40" s="1623">
        <v>268900</v>
      </c>
    </row>
    <row r="41" spans="1:14" x14ac:dyDescent="0.2">
      <c r="A41" s="1319" t="s">
        <v>1653</v>
      </c>
      <c r="B41" s="503">
        <v>2190</v>
      </c>
      <c r="C41" s="1623">
        <v>122942</v>
      </c>
      <c r="D41" s="1623">
        <v>10168</v>
      </c>
      <c r="E41" s="1623">
        <v>33179</v>
      </c>
      <c r="F41" s="1623">
        <v>2368</v>
      </c>
      <c r="G41" s="1623">
        <v>0</v>
      </c>
      <c r="H41" s="1623">
        <v>0</v>
      </c>
      <c r="I41" s="1624">
        <v>0</v>
      </c>
      <c r="J41" s="1624">
        <v>0</v>
      </c>
      <c r="K41" s="1722">
        <f t="shared" si="2"/>
        <v>168657</v>
      </c>
      <c r="L41" s="1623">
        <v>196700</v>
      </c>
    </row>
    <row r="42" spans="1:14" ht="12.75" customHeight="1" thickBot="1" x14ac:dyDescent="0.25">
      <c r="A42" s="1429" t="s">
        <v>556</v>
      </c>
      <c r="B42" s="1430" t="s">
        <v>711</v>
      </c>
      <c r="C42" s="1724">
        <f>SUM(C36:C41)</f>
        <v>815061</v>
      </c>
      <c r="D42" s="1724">
        <f t="shared" ref="D42:L42" si="3">SUM(D36:D41)</f>
        <v>101600</v>
      </c>
      <c r="E42" s="1724">
        <f t="shared" si="3"/>
        <v>60157</v>
      </c>
      <c r="F42" s="1724">
        <f t="shared" si="3"/>
        <v>11251</v>
      </c>
      <c r="G42" s="1724">
        <f t="shared" si="3"/>
        <v>0</v>
      </c>
      <c r="H42" s="1724">
        <f t="shared" si="3"/>
        <v>0</v>
      </c>
      <c r="I42" s="1724">
        <f t="shared" si="3"/>
        <v>0</v>
      </c>
      <c r="J42" s="1724">
        <f t="shared" si="3"/>
        <v>0</v>
      </c>
      <c r="K42" s="1724">
        <f t="shared" si="3"/>
        <v>988069</v>
      </c>
      <c r="L42" s="1724">
        <f t="shared" si="3"/>
        <v>1209600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47513</v>
      </c>
      <c r="D44" s="1636">
        <v>1345</v>
      </c>
      <c r="E44" s="1636">
        <v>54701</v>
      </c>
      <c r="F44" s="1636">
        <v>11614</v>
      </c>
      <c r="G44" s="1636">
        <v>0</v>
      </c>
      <c r="H44" s="1636">
        <v>0</v>
      </c>
      <c r="I44" s="1624">
        <v>0</v>
      </c>
      <c r="J44" s="1624">
        <v>0</v>
      </c>
      <c r="K44" s="1728">
        <f>SUM(C44:J44)</f>
        <v>115173</v>
      </c>
      <c r="L44" s="1636">
        <v>133500</v>
      </c>
    </row>
    <row r="45" spans="1:14" x14ac:dyDescent="0.2">
      <c r="A45" s="1319" t="s">
        <v>810</v>
      </c>
      <c r="B45" s="503">
        <v>2220</v>
      </c>
      <c r="C45" s="1623">
        <v>103633</v>
      </c>
      <c r="D45" s="1623">
        <v>37991</v>
      </c>
      <c r="E45" s="1623">
        <v>0</v>
      </c>
      <c r="F45" s="1623">
        <v>5424</v>
      </c>
      <c r="G45" s="1623">
        <v>0</v>
      </c>
      <c r="H45" s="1623">
        <v>0</v>
      </c>
      <c r="I45" s="1624">
        <v>13563</v>
      </c>
      <c r="J45" s="1624">
        <v>0</v>
      </c>
      <c r="K45" s="1728">
        <f>SUM(C45:J45)</f>
        <v>160611</v>
      </c>
      <c r="L45" s="1623">
        <v>200000</v>
      </c>
    </row>
    <row r="46" spans="1:14" x14ac:dyDescent="0.2">
      <c r="A46" s="1319" t="s">
        <v>811</v>
      </c>
      <c r="B46" s="503">
        <v>2230</v>
      </c>
      <c r="C46" s="1623">
        <v>0</v>
      </c>
      <c r="D46" s="1623">
        <v>0</v>
      </c>
      <c r="E46" s="1623">
        <v>0</v>
      </c>
      <c r="F46" s="1623">
        <v>0</v>
      </c>
      <c r="G46" s="1623">
        <v>0</v>
      </c>
      <c r="H46" s="1623">
        <v>0</v>
      </c>
      <c r="I46" s="1624">
        <v>0</v>
      </c>
      <c r="J46" s="1624">
        <v>0</v>
      </c>
      <c r="K46" s="1728">
        <f>SUM(C46:J46)</f>
        <v>0</v>
      </c>
      <c r="L46" s="1623">
        <v>0</v>
      </c>
    </row>
    <row r="47" spans="1:14" ht="12.75" customHeight="1" thickBot="1" x14ac:dyDescent="0.25">
      <c r="A47" s="1429" t="s">
        <v>557</v>
      </c>
      <c r="B47" s="1430" t="s">
        <v>32</v>
      </c>
      <c r="C47" s="1724">
        <f>SUM(C44:C46)</f>
        <v>151146</v>
      </c>
      <c r="D47" s="1724">
        <f t="shared" ref="D47:K47" si="4">SUM(D44:D46)</f>
        <v>39336</v>
      </c>
      <c r="E47" s="1724">
        <f t="shared" si="4"/>
        <v>54701</v>
      </c>
      <c r="F47" s="1724">
        <f t="shared" si="4"/>
        <v>17038</v>
      </c>
      <c r="G47" s="1724">
        <f t="shared" si="4"/>
        <v>0</v>
      </c>
      <c r="H47" s="1724">
        <f t="shared" si="4"/>
        <v>0</v>
      </c>
      <c r="I47" s="1724">
        <f t="shared" si="4"/>
        <v>13563</v>
      </c>
      <c r="J47" s="1724">
        <f t="shared" si="4"/>
        <v>0</v>
      </c>
      <c r="K47" s="1724">
        <f t="shared" si="4"/>
        <v>275784</v>
      </c>
      <c r="L47" s="1724">
        <f>SUM(L44:L46)</f>
        <v>333500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55883</v>
      </c>
      <c r="D49" s="1636">
        <v>12653</v>
      </c>
      <c r="E49" s="1636">
        <v>124703</v>
      </c>
      <c r="F49" s="1636">
        <v>1808</v>
      </c>
      <c r="G49" s="1636">
        <v>0</v>
      </c>
      <c r="H49" s="1636">
        <v>0</v>
      </c>
      <c r="I49" s="1624">
        <v>0</v>
      </c>
      <c r="J49" s="1624">
        <v>0</v>
      </c>
      <c r="K49" s="1728">
        <f>SUM(C49:J49)</f>
        <v>195047</v>
      </c>
      <c r="L49" s="1636">
        <v>449625</v>
      </c>
    </row>
    <row r="50" spans="1:14" x14ac:dyDescent="0.2">
      <c r="A50" s="1319" t="s">
        <v>813</v>
      </c>
      <c r="B50" s="503">
        <v>2320</v>
      </c>
      <c r="C50" s="1623">
        <v>260846</v>
      </c>
      <c r="D50" s="1623">
        <v>69159</v>
      </c>
      <c r="E50" s="1623">
        <v>14529</v>
      </c>
      <c r="F50" s="1623">
        <v>0</v>
      </c>
      <c r="G50" s="1623">
        <v>0</v>
      </c>
      <c r="H50" s="1623">
        <v>1314</v>
      </c>
      <c r="I50" s="1624">
        <v>0</v>
      </c>
      <c r="J50" s="1624">
        <v>0</v>
      </c>
      <c r="K50" s="1728">
        <f>SUM(C50:J50)</f>
        <v>345848</v>
      </c>
      <c r="L50" s="1623">
        <v>345850</v>
      </c>
    </row>
    <row r="51" spans="1:14" x14ac:dyDescent="0.2">
      <c r="A51" s="1319" t="s">
        <v>42</v>
      </c>
      <c r="B51" s="503">
        <v>2330</v>
      </c>
      <c r="C51" s="1623">
        <v>157770</v>
      </c>
      <c r="D51" s="1623">
        <v>29738</v>
      </c>
      <c r="E51" s="1623">
        <v>0</v>
      </c>
      <c r="F51" s="1623">
        <v>405</v>
      </c>
      <c r="G51" s="1623">
        <v>0</v>
      </c>
      <c r="H51" s="1623">
        <v>1732</v>
      </c>
      <c r="I51" s="1624">
        <v>0</v>
      </c>
      <c r="J51" s="1624">
        <v>0</v>
      </c>
      <c r="K51" s="1728">
        <f>SUM(C51:J51)</f>
        <v>189645</v>
      </c>
      <c r="L51" s="1623">
        <v>202363</v>
      </c>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v>0</v>
      </c>
    </row>
    <row r="53" spans="1:14" ht="12.75" customHeight="1" thickBot="1" x14ac:dyDescent="0.25">
      <c r="A53" s="1429" t="s">
        <v>712</v>
      </c>
      <c r="B53" s="1430" t="s">
        <v>33</v>
      </c>
      <c r="C53" s="1724">
        <f>SUM(C49:C52)</f>
        <v>474499</v>
      </c>
      <c r="D53" s="1724">
        <f t="shared" ref="D53:L53" si="5">SUM(D49:D52)</f>
        <v>111550</v>
      </c>
      <c r="E53" s="1724">
        <f t="shared" si="5"/>
        <v>139232</v>
      </c>
      <c r="F53" s="1724">
        <f t="shared" si="5"/>
        <v>2213</v>
      </c>
      <c r="G53" s="1724">
        <f t="shared" si="5"/>
        <v>0</v>
      </c>
      <c r="H53" s="1724">
        <f t="shared" si="5"/>
        <v>3046</v>
      </c>
      <c r="I53" s="1724">
        <f t="shared" si="5"/>
        <v>0</v>
      </c>
      <c r="J53" s="1724">
        <f t="shared" si="5"/>
        <v>0</v>
      </c>
      <c r="K53" s="1724">
        <f t="shared" si="5"/>
        <v>730540</v>
      </c>
      <c r="L53" s="1724">
        <f t="shared" si="5"/>
        <v>997838</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615481</v>
      </c>
      <c r="D55" s="1636">
        <v>197055</v>
      </c>
      <c r="E55" s="1636">
        <v>7183</v>
      </c>
      <c r="F55" s="1636">
        <v>0</v>
      </c>
      <c r="G55" s="1636">
        <v>0</v>
      </c>
      <c r="H55" s="1636">
        <v>2866</v>
      </c>
      <c r="I55" s="1624">
        <v>0</v>
      </c>
      <c r="J55" s="1624">
        <v>0</v>
      </c>
      <c r="K55" s="1728">
        <f>SUM(C55:J55)</f>
        <v>822585</v>
      </c>
      <c r="L55" s="1636">
        <v>848590</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v>0</v>
      </c>
    </row>
    <row r="57" spans="1:14" s="321" customFormat="1" ht="12.75" customHeight="1" thickBot="1" x14ac:dyDescent="0.25">
      <c r="A57" s="1429" t="s">
        <v>261</v>
      </c>
      <c r="B57" s="1431" t="s">
        <v>34</v>
      </c>
      <c r="C57" s="1729">
        <f>SUM(C55:C56)</f>
        <v>615481</v>
      </c>
      <c r="D57" s="1729">
        <f t="shared" ref="D57:K57" si="6">SUM(D55:D56)</f>
        <v>197055</v>
      </c>
      <c r="E57" s="1729">
        <f t="shared" si="6"/>
        <v>7183</v>
      </c>
      <c r="F57" s="1729">
        <f t="shared" si="6"/>
        <v>0</v>
      </c>
      <c r="G57" s="1729">
        <f t="shared" si="6"/>
        <v>0</v>
      </c>
      <c r="H57" s="1729">
        <f t="shared" si="6"/>
        <v>2866</v>
      </c>
      <c r="I57" s="1729">
        <f t="shared" si="6"/>
        <v>0</v>
      </c>
      <c r="J57" s="1729">
        <f t="shared" si="6"/>
        <v>0</v>
      </c>
      <c r="K57" s="1729">
        <f t="shared" si="6"/>
        <v>822585</v>
      </c>
      <c r="L57" s="1724">
        <f>SUM(L55:L56)</f>
        <v>848590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96000</v>
      </c>
      <c r="D59" s="1636">
        <v>25929</v>
      </c>
      <c r="E59" s="1636">
        <v>171</v>
      </c>
      <c r="F59" s="1636">
        <v>0</v>
      </c>
      <c r="G59" s="1636">
        <v>0</v>
      </c>
      <c r="H59" s="1636">
        <v>200</v>
      </c>
      <c r="I59" s="1624">
        <v>0</v>
      </c>
      <c r="J59" s="1624">
        <v>0</v>
      </c>
      <c r="K59" s="1728">
        <f t="shared" ref="K59:K64" si="7">SUM(C59:J59)</f>
        <v>122300</v>
      </c>
      <c r="L59" s="1636">
        <v>126500</v>
      </c>
      <c r="M59" s="501"/>
      <c r="N59" s="501"/>
    </row>
    <row r="60" spans="1:14" s="321" customFormat="1" x14ac:dyDescent="0.2">
      <c r="A60" s="1319" t="s">
        <v>460</v>
      </c>
      <c r="B60" s="503">
        <v>2520</v>
      </c>
      <c r="C60" s="1623">
        <v>74857</v>
      </c>
      <c r="D60" s="1623">
        <v>3903</v>
      </c>
      <c r="E60" s="1623">
        <v>23366</v>
      </c>
      <c r="F60" s="1623">
        <v>219</v>
      </c>
      <c r="G60" s="1623">
        <v>0</v>
      </c>
      <c r="H60" s="1623">
        <v>30</v>
      </c>
      <c r="I60" s="1624">
        <v>0</v>
      </c>
      <c r="J60" s="1624">
        <v>0</v>
      </c>
      <c r="K60" s="1728">
        <f t="shared" si="7"/>
        <v>102375</v>
      </c>
      <c r="L60" s="1623">
        <v>111100</v>
      </c>
      <c r="M60" s="501"/>
      <c r="N60" s="501"/>
    </row>
    <row r="61" spans="1:14" s="321" customFormat="1" x14ac:dyDescent="0.2">
      <c r="A61" s="1319" t="s">
        <v>195</v>
      </c>
      <c r="B61" s="503">
        <v>2540</v>
      </c>
      <c r="C61" s="1623">
        <v>266721</v>
      </c>
      <c r="D61" s="1623">
        <v>54624</v>
      </c>
      <c r="E61" s="1623">
        <v>29425</v>
      </c>
      <c r="F61" s="1623">
        <v>0</v>
      </c>
      <c r="G61" s="1623">
        <v>0</v>
      </c>
      <c r="H61" s="1623">
        <v>0</v>
      </c>
      <c r="I61" s="1624">
        <v>0</v>
      </c>
      <c r="J61" s="1624">
        <v>0</v>
      </c>
      <c r="K61" s="1728">
        <f t="shared" si="7"/>
        <v>350770</v>
      </c>
      <c r="L61" s="1623">
        <v>346000</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v>0</v>
      </c>
      <c r="M62" s="501"/>
      <c r="N62" s="501"/>
    </row>
    <row r="63" spans="1:14" s="501" customFormat="1" x14ac:dyDescent="0.2">
      <c r="A63" s="1319" t="s">
        <v>100</v>
      </c>
      <c r="B63" s="503">
        <v>2560</v>
      </c>
      <c r="C63" s="1623">
        <v>17982</v>
      </c>
      <c r="D63" s="1623">
        <v>513</v>
      </c>
      <c r="E63" s="1623">
        <v>244080</v>
      </c>
      <c r="F63" s="1623">
        <v>2715</v>
      </c>
      <c r="G63" s="1623">
        <v>0</v>
      </c>
      <c r="H63" s="1623">
        <v>0</v>
      </c>
      <c r="I63" s="1624">
        <v>0</v>
      </c>
      <c r="J63" s="1624">
        <v>0</v>
      </c>
      <c r="K63" s="1728">
        <f t="shared" si="7"/>
        <v>265290</v>
      </c>
      <c r="L63" s="1623">
        <v>436800</v>
      </c>
    </row>
    <row r="64" spans="1:14" s="501" customFormat="1" x14ac:dyDescent="0.2">
      <c r="A64" s="1324" t="s">
        <v>101</v>
      </c>
      <c r="B64" s="513">
        <v>2570</v>
      </c>
      <c r="C64" s="1636">
        <v>0</v>
      </c>
      <c r="D64" s="1636">
        <v>0</v>
      </c>
      <c r="E64" s="1636">
        <v>5783</v>
      </c>
      <c r="F64" s="1636">
        <v>0</v>
      </c>
      <c r="G64" s="1636">
        <v>0</v>
      </c>
      <c r="H64" s="1636">
        <v>0</v>
      </c>
      <c r="I64" s="1624">
        <v>0</v>
      </c>
      <c r="J64" s="1624">
        <v>0</v>
      </c>
      <c r="K64" s="1728">
        <f t="shared" si="7"/>
        <v>5783</v>
      </c>
      <c r="L64" s="1636">
        <v>0</v>
      </c>
    </row>
    <row r="65" spans="1:14" s="321" customFormat="1" ht="12.75" customHeight="1" thickBot="1" x14ac:dyDescent="0.25">
      <c r="A65" s="1429" t="s">
        <v>714</v>
      </c>
      <c r="B65" s="1430" t="s">
        <v>35</v>
      </c>
      <c r="C65" s="1724">
        <f>SUM(C59:C64)</f>
        <v>455560</v>
      </c>
      <c r="D65" s="1724">
        <f t="shared" ref="D65:L65" si="8">SUM(D59:D64)</f>
        <v>84969</v>
      </c>
      <c r="E65" s="1724">
        <f t="shared" si="8"/>
        <v>302825</v>
      </c>
      <c r="F65" s="1724">
        <f t="shared" si="8"/>
        <v>2934</v>
      </c>
      <c r="G65" s="1724">
        <f t="shared" si="8"/>
        <v>0</v>
      </c>
      <c r="H65" s="1724">
        <f t="shared" si="8"/>
        <v>230</v>
      </c>
      <c r="I65" s="1724">
        <f t="shared" si="8"/>
        <v>0</v>
      </c>
      <c r="J65" s="1724">
        <f t="shared" si="8"/>
        <v>0</v>
      </c>
      <c r="K65" s="1724">
        <f t="shared" si="8"/>
        <v>846518</v>
      </c>
      <c r="L65" s="1724">
        <f t="shared" si="8"/>
        <v>1020400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v>0</v>
      </c>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v>0</v>
      </c>
      <c r="M68" s="501"/>
      <c r="N68" s="501"/>
    </row>
    <row r="69" spans="1:14" s="321" customFormat="1" x14ac:dyDescent="0.2">
      <c r="A69" s="1319" t="s">
        <v>1054</v>
      </c>
      <c r="B69" s="503">
        <v>2630</v>
      </c>
      <c r="C69" s="1623">
        <v>0</v>
      </c>
      <c r="D69" s="1623">
        <v>0</v>
      </c>
      <c r="E69" s="1623">
        <v>185</v>
      </c>
      <c r="F69" s="1623">
        <v>0</v>
      </c>
      <c r="G69" s="1623">
        <v>0</v>
      </c>
      <c r="H69" s="1623">
        <v>0</v>
      </c>
      <c r="I69" s="1624">
        <v>0</v>
      </c>
      <c r="J69" s="1624">
        <v>0</v>
      </c>
      <c r="K69" s="1728">
        <f>SUM(C69:J69)</f>
        <v>185</v>
      </c>
      <c r="L69" s="1623">
        <v>0</v>
      </c>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v>0</v>
      </c>
      <c r="M70" s="501"/>
      <c r="N70" s="501"/>
    </row>
    <row r="71" spans="1:14" s="321" customFormat="1" x14ac:dyDescent="0.2">
      <c r="A71" s="1319" t="s">
        <v>401</v>
      </c>
      <c r="B71" s="503">
        <v>2660</v>
      </c>
      <c r="C71" s="1623">
        <v>107381</v>
      </c>
      <c r="D71" s="1623">
        <v>22352</v>
      </c>
      <c r="E71" s="1623">
        <v>178974</v>
      </c>
      <c r="F71" s="1623">
        <v>43721</v>
      </c>
      <c r="G71" s="1623">
        <v>12212</v>
      </c>
      <c r="H71" s="1623">
        <v>0</v>
      </c>
      <c r="I71" s="1624">
        <v>27547</v>
      </c>
      <c r="J71" s="1624">
        <v>0</v>
      </c>
      <c r="K71" s="1728">
        <f>SUM(C71:J71)</f>
        <v>392187</v>
      </c>
      <c r="L71" s="1623">
        <v>462358</v>
      </c>
      <c r="M71" s="501"/>
      <c r="N71" s="501"/>
    </row>
    <row r="72" spans="1:14" s="321" customFormat="1" ht="12.75" customHeight="1" thickBot="1" x14ac:dyDescent="0.25">
      <c r="A72" s="1429" t="s">
        <v>37</v>
      </c>
      <c r="B72" s="1432" t="s">
        <v>36</v>
      </c>
      <c r="C72" s="1724">
        <f>SUM(C67:C71)</f>
        <v>107381</v>
      </c>
      <c r="D72" s="1724">
        <f t="shared" ref="D72:K72" si="9">SUM(D67:D71)</f>
        <v>22352</v>
      </c>
      <c r="E72" s="1724">
        <f t="shared" si="9"/>
        <v>179159</v>
      </c>
      <c r="F72" s="1724">
        <f t="shared" si="9"/>
        <v>43721</v>
      </c>
      <c r="G72" s="1724">
        <f t="shared" si="9"/>
        <v>12212</v>
      </c>
      <c r="H72" s="1724">
        <f t="shared" si="9"/>
        <v>0</v>
      </c>
      <c r="I72" s="1724">
        <f t="shared" si="9"/>
        <v>27547</v>
      </c>
      <c r="J72" s="1724">
        <f t="shared" si="9"/>
        <v>0</v>
      </c>
      <c r="K72" s="1724">
        <f t="shared" si="9"/>
        <v>392372</v>
      </c>
      <c r="L72" s="1724">
        <f>SUM(L67:L71)</f>
        <v>462358</v>
      </c>
      <c r="M72" s="501"/>
      <c r="N72" s="501"/>
    </row>
    <row r="73" spans="1:14" s="321" customFormat="1" ht="14.25" thickTop="1" thickBot="1" x14ac:dyDescent="0.25">
      <c r="A73" s="1325" t="s">
        <v>973</v>
      </c>
      <c r="B73" s="515" t="s">
        <v>570</v>
      </c>
      <c r="C73" s="1699">
        <v>0</v>
      </c>
      <c r="D73" s="1699">
        <v>0</v>
      </c>
      <c r="E73" s="1699">
        <v>40</v>
      </c>
      <c r="F73" s="1699">
        <v>311</v>
      </c>
      <c r="G73" s="1699">
        <v>0</v>
      </c>
      <c r="H73" s="1699">
        <v>0</v>
      </c>
      <c r="I73" s="1677">
        <v>0</v>
      </c>
      <c r="J73" s="1677">
        <v>0</v>
      </c>
      <c r="K73" s="1724">
        <f>SUM(C73:J73)</f>
        <v>351</v>
      </c>
      <c r="L73" s="1701">
        <v>0</v>
      </c>
      <c r="M73" s="501"/>
      <c r="N73" s="501"/>
    </row>
    <row r="74" spans="1:14" ht="12.75" customHeight="1" thickTop="1" thickBot="1" x14ac:dyDescent="0.25">
      <c r="A74" s="1429" t="s">
        <v>806</v>
      </c>
      <c r="B74" s="1433">
        <v>2000</v>
      </c>
      <c r="C74" s="1731">
        <f>SUM(C42,C47,C53,C57,C65,C72,C73)</f>
        <v>2619128</v>
      </c>
      <c r="D74" s="1731">
        <f t="shared" ref="D74:K74" si="10">SUM(D42,D47,D53,D57,D65,D72,D73)</f>
        <v>556862</v>
      </c>
      <c r="E74" s="1731">
        <f t="shared" si="10"/>
        <v>743297</v>
      </c>
      <c r="F74" s="1731">
        <f t="shared" si="10"/>
        <v>77468</v>
      </c>
      <c r="G74" s="1731">
        <f t="shared" si="10"/>
        <v>12212</v>
      </c>
      <c r="H74" s="1731">
        <f t="shared" si="10"/>
        <v>6142</v>
      </c>
      <c r="I74" s="1731">
        <f t="shared" si="10"/>
        <v>41110</v>
      </c>
      <c r="J74" s="1731">
        <f t="shared" si="10"/>
        <v>0</v>
      </c>
      <c r="K74" s="1731">
        <f t="shared" si="10"/>
        <v>4056219</v>
      </c>
      <c r="L74" s="1731">
        <f>SUM(L42,L47,L53,L57,L65,L72,L73)</f>
        <v>4872286</v>
      </c>
    </row>
    <row r="75" spans="1:14" s="254" customFormat="1" ht="15.75" customHeight="1" thickTop="1" thickBot="1" x14ac:dyDescent="0.25">
      <c r="A75" s="1393" t="s">
        <v>47</v>
      </c>
      <c r="B75" s="1394" t="s">
        <v>571</v>
      </c>
      <c r="C75" s="1699">
        <v>165365</v>
      </c>
      <c r="D75" s="1699">
        <v>21960</v>
      </c>
      <c r="E75" s="1699">
        <v>5066</v>
      </c>
      <c r="F75" s="1699">
        <v>46425</v>
      </c>
      <c r="G75" s="1699">
        <v>0</v>
      </c>
      <c r="H75" s="1699">
        <v>0</v>
      </c>
      <c r="I75" s="1677">
        <v>1198</v>
      </c>
      <c r="J75" s="1677">
        <v>0</v>
      </c>
      <c r="K75" s="1724">
        <f>SUM(C75:J75)</f>
        <v>240014</v>
      </c>
      <c r="L75" s="1701">
        <v>297000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v>0</v>
      </c>
    </row>
    <row r="79" spans="1:14" x14ac:dyDescent="0.2">
      <c r="A79" s="1319" t="s">
        <v>301</v>
      </c>
      <c r="B79" s="503">
        <v>4120</v>
      </c>
      <c r="C79" s="1723"/>
      <c r="D79" s="1723"/>
      <c r="E79" s="1623">
        <v>48407</v>
      </c>
      <c r="F79" s="1723"/>
      <c r="G79" s="1723"/>
      <c r="H79" s="1623">
        <v>0</v>
      </c>
      <c r="I79" s="1632"/>
      <c r="J79" s="1632"/>
      <c r="K79" s="1722">
        <f t="shared" si="11"/>
        <v>48407</v>
      </c>
      <c r="L79" s="1623">
        <v>13000</v>
      </c>
    </row>
    <row r="80" spans="1:14" x14ac:dyDescent="0.2">
      <c r="A80" s="1319" t="s">
        <v>302</v>
      </c>
      <c r="B80" s="503">
        <v>4130</v>
      </c>
      <c r="C80" s="1723"/>
      <c r="D80" s="1723"/>
      <c r="E80" s="1623">
        <v>0</v>
      </c>
      <c r="F80" s="1723"/>
      <c r="G80" s="1723"/>
      <c r="H80" s="1623">
        <v>0</v>
      </c>
      <c r="I80" s="1632"/>
      <c r="J80" s="1632"/>
      <c r="K80" s="1722">
        <f t="shared" si="11"/>
        <v>0</v>
      </c>
      <c r="L80" s="1623">
        <v>0</v>
      </c>
    </row>
    <row r="81" spans="1:12" x14ac:dyDescent="0.2">
      <c r="A81" s="1319" t="s">
        <v>692</v>
      </c>
      <c r="B81" s="503">
        <v>4140</v>
      </c>
      <c r="C81" s="1723"/>
      <c r="D81" s="1723"/>
      <c r="E81" s="1623">
        <v>0</v>
      </c>
      <c r="F81" s="1723"/>
      <c r="G81" s="1723"/>
      <c r="H81" s="1623">
        <v>0</v>
      </c>
      <c r="I81" s="1632"/>
      <c r="J81" s="1632"/>
      <c r="K81" s="1722">
        <f t="shared" si="11"/>
        <v>0</v>
      </c>
      <c r="L81" s="1623">
        <v>0</v>
      </c>
    </row>
    <row r="82" spans="1:12" x14ac:dyDescent="0.2">
      <c r="A82" s="1319" t="s">
        <v>86</v>
      </c>
      <c r="B82" s="503">
        <v>4170</v>
      </c>
      <c r="C82" s="1723"/>
      <c r="D82" s="1723"/>
      <c r="E82" s="1623">
        <v>0</v>
      </c>
      <c r="F82" s="1723"/>
      <c r="G82" s="1723"/>
      <c r="H82" s="1623">
        <v>0</v>
      </c>
      <c r="I82" s="1632"/>
      <c r="J82" s="1632"/>
      <c r="K82" s="1722">
        <f t="shared" si="11"/>
        <v>0</v>
      </c>
      <c r="L82" s="1623">
        <v>0</v>
      </c>
    </row>
    <row r="83" spans="1:12" x14ac:dyDescent="0.2">
      <c r="A83" s="1323" t="s">
        <v>693</v>
      </c>
      <c r="B83" s="512">
        <v>4190</v>
      </c>
      <c r="C83" s="1723"/>
      <c r="D83" s="1723"/>
      <c r="E83" s="1623">
        <v>0</v>
      </c>
      <c r="F83" s="1723"/>
      <c r="G83" s="1723"/>
      <c r="H83" s="1623">
        <v>0</v>
      </c>
      <c r="I83" s="1632"/>
      <c r="J83" s="1632"/>
      <c r="K83" s="1722">
        <f t="shared" si="11"/>
        <v>0</v>
      </c>
      <c r="L83" s="1623">
        <v>12000</v>
      </c>
    </row>
    <row r="84" spans="1:12" ht="13.5" thickBot="1" x14ac:dyDescent="0.25">
      <c r="A84" s="1429" t="s">
        <v>1471</v>
      </c>
      <c r="B84" s="1434">
        <v>4100</v>
      </c>
      <c r="C84" s="1723"/>
      <c r="D84" s="1723"/>
      <c r="E84" s="1724">
        <f>SUM(E78:E83)</f>
        <v>48407</v>
      </c>
      <c r="F84" s="1723"/>
      <c r="G84" s="1723"/>
      <c r="H84" s="1724">
        <f>SUM(H78:H83)</f>
        <v>0</v>
      </c>
      <c r="I84" s="1632"/>
      <c r="J84" s="1632"/>
      <c r="K84" s="1724">
        <f>SUM(K78:K83)</f>
        <v>48407</v>
      </c>
      <c r="L84" s="1724">
        <f>SUM(L78:L83)</f>
        <v>25000</v>
      </c>
    </row>
    <row r="85" spans="1:12" ht="12.75" customHeight="1" thickTop="1" thickBot="1" x14ac:dyDescent="0.25">
      <c r="A85" s="1326" t="s">
        <v>253</v>
      </c>
      <c r="B85" s="517">
        <v>4210</v>
      </c>
      <c r="C85" s="1723"/>
      <c r="D85" s="1723"/>
      <c r="E85" s="1733"/>
      <c r="F85" s="1723"/>
      <c r="G85" s="1723"/>
      <c r="H85" s="1680">
        <v>364</v>
      </c>
      <c r="I85" s="1632"/>
      <c r="J85" s="1632"/>
      <c r="K85" s="1731">
        <f>H85</f>
        <v>364</v>
      </c>
      <c r="L85" s="1676">
        <v>0</v>
      </c>
    </row>
    <row r="86" spans="1:12" ht="12.75" customHeight="1" thickTop="1" thickBot="1" x14ac:dyDescent="0.25">
      <c r="A86" s="1327" t="s">
        <v>694</v>
      </c>
      <c r="B86" s="518">
        <v>4220</v>
      </c>
      <c r="C86" s="1723"/>
      <c r="D86" s="1723"/>
      <c r="E86" s="1734"/>
      <c r="F86" s="1723"/>
      <c r="G86" s="1723"/>
      <c r="H86" s="1624">
        <v>1136027</v>
      </c>
      <c r="I86" s="1632"/>
      <c r="J86" s="1632"/>
      <c r="K86" s="1731">
        <f t="shared" ref="K86:K98" si="12">H86</f>
        <v>1136027</v>
      </c>
      <c r="L86" s="1676">
        <v>1174000</v>
      </c>
    </row>
    <row r="87" spans="1:12" ht="14.25" thickTop="1" thickBot="1" x14ac:dyDescent="0.25">
      <c r="A87" s="1328" t="s">
        <v>695</v>
      </c>
      <c r="B87" s="519">
        <v>4230</v>
      </c>
      <c r="C87" s="1723"/>
      <c r="D87" s="1723"/>
      <c r="E87" s="1734"/>
      <c r="F87" s="1723"/>
      <c r="G87" s="1723"/>
      <c r="H87" s="1624">
        <v>0</v>
      </c>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1136391</v>
      </c>
      <c r="I92" s="1632"/>
      <c r="J92" s="1632"/>
      <c r="K92" s="1731">
        <f t="shared" si="12"/>
        <v>1136391</v>
      </c>
      <c r="L92" s="1724">
        <f>SUM(L85:L91)</f>
        <v>1174000</v>
      </c>
    </row>
    <row r="93" spans="1:12" ht="14.25" thickTop="1" thickBot="1" x14ac:dyDescent="0.25">
      <c r="A93" s="1327" t="s">
        <v>683</v>
      </c>
      <c r="B93" s="520">
        <v>4310</v>
      </c>
      <c r="C93" s="1723"/>
      <c r="D93" s="1723"/>
      <c r="E93" s="1734"/>
      <c r="F93" s="1723"/>
      <c r="G93" s="1723"/>
      <c r="H93" s="1735">
        <v>0</v>
      </c>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v>0</v>
      </c>
    </row>
    <row r="96" spans="1:12" ht="14.25" thickTop="1" thickBot="1" x14ac:dyDescent="0.25">
      <c r="A96" s="1328" t="s">
        <v>685</v>
      </c>
      <c r="B96" s="519">
        <v>4340</v>
      </c>
      <c r="C96" s="1723"/>
      <c r="D96" s="1723"/>
      <c r="E96" s="1734"/>
      <c r="F96" s="1723"/>
      <c r="G96" s="1723"/>
      <c r="H96" s="1624">
        <v>0</v>
      </c>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v>0</v>
      </c>
    </row>
    <row r="98" spans="1:14" ht="14.25" thickTop="1" thickBot="1" x14ac:dyDescent="0.25">
      <c r="A98" s="1328" t="s">
        <v>759</v>
      </c>
      <c r="B98" s="519">
        <v>4380</v>
      </c>
      <c r="C98" s="1723"/>
      <c r="D98" s="1723"/>
      <c r="E98" s="1736"/>
      <c r="F98" s="1723"/>
      <c r="G98" s="1723"/>
      <c r="H98" s="1624">
        <v>0</v>
      </c>
      <c r="I98" s="1632"/>
      <c r="J98" s="1632"/>
      <c r="K98" s="1731">
        <f t="shared" si="12"/>
        <v>0</v>
      </c>
      <c r="L98" s="1676">
        <v>0</v>
      </c>
    </row>
    <row r="99" spans="1:14" ht="14.25" thickTop="1" thickBot="1" x14ac:dyDescent="0.25">
      <c r="A99" s="1328" t="s">
        <v>364</v>
      </c>
      <c r="B99" s="519">
        <v>4390</v>
      </c>
      <c r="C99" s="1723"/>
      <c r="D99" s="1723"/>
      <c r="E99" s="1678">
        <v>0</v>
      </c>
      <c r="F99" s="1723"/>
      <c r="G99" s="1723"/>
      <c r="H99" s="1624">
        <v>0</v>
      </c>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v>0</v>
      </c>
    </row>
    <row r="102" spans="1:14" ht="12.75" customHeight="1" thickTop="1" thickBot="1" x14ac:dyDescent="0.25">
      <c r="A102" s="1429" t="s">
        <v>1473</v>
      </c>
      <c r="B102" s="1434">
        <v>4000</v>
      </c>
      <c r="C102" s="1723"/>
      <c r="D102" s="1723"/>
      <c r="E102" s="1731">
        <f>SUM(E84,E92,E100,E101)</f>
        <v>48407</v>
      </c>
      <c r="F102" s="1723"/>
      <c r="G102" s="1723"/>
      <c r="H102" s="1731">
        <f>SUM(H84,H92,H100,H101)</f>
        <v>1136391</v>
      </c>
      <c r="I102" s="1632"/>
      <c r="J102" s="1632"/>
      <c r="K102" s="1731">
        <f>SUM(K84,K92,K100,K101)</f>
        <v>1184798</v>
      </c>
      <c r="L102" s="1731">
        <f>SUM(L84,L92,L100,L101)</f>
        <v>1199000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8584932</v>
      </c>
      <c r="D114" s="1724">
        <f t="shared" ref="D114:K114" si="13">SUM(D33,D74,D75,D102,D112,D113)</f>
        <v>1520537</v>
      </c>
      <c r="E114" s="1724">
        <f t="shared" si="13"/>
        <v>1108375</v>
      </c>
      <c r="F114" s="1724">
        <f t="shared" si="13"/>
        <v>654728</v>
      </c>
      <c r="G114" s="1724">
        <f t="shared" si="13"/>
        <v>12212</v>
      </c>
      <c r="H114" s="1724">
        <f>SUM(H33,H74,H75,H102,H112,H113)</f>
        <v>1203750</v>
      </c>
      <c r="I114" s="1724">
        <f t="shared" si="13"/>
        <v>46909</v>
      </c>
      <c r="J114" s="1724">
        <f t="shared" si="13"/>
        <v>0</v>
      </c>
      <c r="K114" s="1724">
        <f t="shared" si="13"/>
        <v>13131443</v>
      </c>
      <c r="L114" s="1724">
        <f>SUM(L33,L74,L75,L102,L112,L113)</f>
        <v>15086536</v>
      </c>
    </row>
    <row r="115" spans="1:14" ht="13.5" thickTop="1" x14ac:dyDescent="0.2">
      <c r="A115" s="2359" t="s">
        <v>989</v>
      </c>
      <c r="B115" s="2360"/>
      <c r="C115" s="1725"/>
      <c r="D115" s="1725"/>
      <c r="E115" s="1725"/>
      <c r="F115" s="1725"/>
      <c r="G115" s="1725"/>
      <c r="H115" s="1725"/>
      <c r="I115" s="1725"/>
      <c r="J115" s="1725"/>
      <c r="K115" s="1739">
        <f>'Revenues 9-14'!C268-'Expenditures 15-22'!K114</f>
        <v>1692092</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7" t="s">
        <v>293</v>
      </c>
      <c r="B117" s="2338"/>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1964</v>
      </c>
      <c r="B120" s="512" t="s">
        <v>711</v>
      </c>
      <c r="C120" s="1623">
        <v>0</v>
      </c>
      <c r="D120" s="1623">
        <v>0</v>
      </c>
      <c r="E120" s="1623">
        <v>0</v>
      </c>
      <c r="F120" s="1623">
        <v>0</v>
      </c>
      <c r="G120" s="1623">
        <v>0</v>
      </c>
      <c r="H120" s="1623">
        <v>0</v>
      </c>
      <c r="I120" s="1624">
        <v>0</v>
      </c>
      <c r="J120" s="1624">
        <v>0</v>
      </c>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v>0</v>
      </c>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v>0</v>
      </c>
    </row>
    <row r="124" spans="1:14" ht="14.25" thickTop="1" thickBot="1" x14ac:dyDescent="0.25">
      <c r="A124" s="1319" t="s">
        <v>195</v>
      </c>
      <c r="B124" s="503">
        <v>2540</v>
      </c>
      <c r="C124" s="1623">
        <v>21999</v>
      </c>
      <c r="D124" s="1623">
        <v>1000</v>
      </c>
      <c r="E124" s="1623">
        <v>549498</v>
      </c>
      <c r="F124" s="1623">
        <v>413390</v>
      </c>
      <c r="G124" s="1623">
        <v>0</v>
      </c>
      <c r="H124" s="1623">
        <v>0</v>
      </c>
      <c r="I124" s="1624">
        <v>1450</v>
      </c>
      <c r="J124" s="1624">
        <v>0</v>
      </c>
      <c r="K124" s="1724">
        <f>SUM(C124:J124)</f>
        <v>987337</v>
      </c>
      <c r="L124" s="1623">
        <v>987593</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v>0</v>
      </c>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v>0</v>
      </c>
    </row>
    <row r="127" spans="1:14" ht="12.75" customHeight="1" thickTop="1" thickBot="1" x14ac:dyDescent="0.25">
      <c r="A127" s="1429" t="s">
        <v>714</v>
      </c>
      <c r="B127" s="1430" t="s">
        <v>35</v>
      </c>
      <c r="C127" s="1724">
        <f>SUM(C122:C126)</f>
        <v>21999</v>
      </c>
      <c r="D127" s="1724">
        <f t="shared" ref="D127:L127" si="14">SUM(D122:D126)</f>
        <v>1000</v>
      </c>
      <c r="E127" s="1724">
        <f t="shared" si="14"/>
        <v>549498</v>
      </c>
      <c r="F127" s="1724">
        <f t="shared" si="14"/>
        <v>413390</v>
      </c>
      <c r="G127" s="1724">
        <f t="shared" si="14"/>
        <v>0</v>
      </c>
      <c r="H127" s="1724">
        <f t="shared" si="14"/>
        <v>0</v>
      </c>
      <c r="I127" s="1724">
        <f t="shared" si="14"/>
        <v>1450</v>
      </c>
      <c r="J127" s="1724">
        <f t="shared" si="14"/>
        <v>0</v>
      </c>
      <c r="K127" s="1724">
        <f t="shared" si="14"/>
        <v>987337</v>
      </c>
      <c r="L127" s="1724">
        <f t="shared" si="14"/>
        <v>987593</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v>0</v>
      </c>
    </row>
    <row r="129" spans="1:14" ht="12.75" customHeight="1" thickBot="1" x14ac:dyDescent="0.25">
      <c r="A129" s="1438" t="s">
        <v>806</v>
      </c>
      <c r="B129" s="1439" t="s">
        <v>565</v>
      </c>
      <c r="C129" s="1731">
        <f>SUM(C120,C127,C128)</f>
        <v>21999</v>
      </c>
      <c r="D129" s="1731">
        <f t="shared" ref="D129:L129" si="15">SUM(D120,D127,D128)</f>
        <v>1000</v>
      </c>
      <c r="E129" s="1731">
        <f t="shared" si="15"/>
        <v>549498</v>
      </c>
      <c r="F129" s="1731">
        <f t="shared" si="15"/>
        <v>413390</v>
      </c>
      <c r="G129" s="1731">
        <f t="shared" si="15"/>
        <v>0</v>
      </c>
      <c r="H129" s="1731">
        <f t="shared" si="15"/>
        <v>0</v>
      </c>
      <c r="I129" s="1731">
        <f t="shared" si="15"/>
        <v>1450</v>
      </c>
      <c r="J129" s="1731">
        <f t="shared" si="15"/>
        <v>0</v>
      </c>
      <c r="K129" s="1731">
        <f t="shared" si="15"/>
        <v>987337</v>
      </c>
      <c r="L129" s="1731">
        <f t="shared" si="15"/>
        <v>987593</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1817</v>
      </c>
      <c r="C133" s="1625"/>
      <c r="D133" s="1625"/>
      <c r="E133" s="1735">
        <v>0</v>
      </c>
      <c r="F133" s="1625"/>
      <c r="G133" s="1625"/>
      <c r="H133" s="1735">
        <v>0</v>
      </c>
      <c r="I133" s="1625"/>
      <c r="J133" s="1625"/>
      <c r="K133" s="1747">
        <f>SUM(E133,H133)</f>
        <v>0</v>
      </c>
      <c r="L133" s="1735">
        <v>0</v>
      </c>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v>0</v>
      </c>
    </row>
    <row r="135" spans="1:14" x14ac:dyDescent="0.2">
      <c r="A135" s="1319" t="s">
        <v>692</v>
      </c>
      <c r="B135" s="503">
        <v>4140</v>
      </c>
      <c r="C135" s="1723"/>
      <c r="D135" s="1723"/>
      <c r="E135" s="1624">
        <v>0</v>
      </c>
      <c r="F135" s="1723"/>
      <c r="G135" s="1723"/>
      <c r="H135" s="1623">
        <v>0</v>
      </c>
      <c r="I135" s="1632"/>
      <c r="J135" s="1723"/>
      <c r="K135" s="1728">
        <f>SUM(E135,H135)</f>
        <v>0</v>
      </c>
      <c r="L135" s="1623">
        <v>0</v>
      </c>
    </row>
    <row r="136" spans="1:14" x14ac:dyDescent="0.2">
      <c r="A136" s="1323" t="s">
        <v>693</v>
      </c>
      <c r="B136" s="512">
        <v>4190</v>
      </c>
      <c r="C136" s="1723"/>
      <c r="D136" s="1723"/>
      <c r="E136" s="1624">
        <v>0</v>
      </c>
      <c r="F136" s="1723"/>
      <c r="G136" s="1723"/>
      <c r="H136" s="1623">
        <v>0</v>
      </c>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v>0</v>
      </c>
    </row>
    <row r="143" spans="1:14" x14ac:dyDescent="0.2">
      <c r="A143" s="1319" t="s">
        <v>88</v>
      </c>
      <c r="B143" s="503">
        <v>5120</v>
      </c>
      <c r="C143" s="1723"/>
      <c r="D143" s="1723"/>
      <c r="E143" s="1723"/>
      <c r="F143" s="1723"/>
      <c r="G143" s="1723"/>
      <c r="H143" s="1623">
        <v>0</v>
      </c>
      <c r="I143" s="1625"/>
      <c r="J143" s="1723"/>
      <c r="K143" s="1728">
        <f>SUM(H143)</f>
        <v>0</v>
      </c>
      <c r="L143" s="1623">
        <v>0</v>
      </c>
    </row>
    <row r="144" spans="1:14" ht="12.75" customHeight="1" x14ac:dyDescent="0.2">
      <c r="A144" s="1319" t="s">
        <v>1162</v>
      </c>
      <c r="B144" s="512" t="s">
        <v>613</v>
      </c>
      <c r="C144" s="1723"/>
      <c r="D144" s="1723"/>
      <c r="E144" s="1723"/>
      <c r="F144" s="1723"/>
      <c r="G144" s="1723"/>
      <c r="H144" s="1623">
        <v>0</v>
      </c>
      <c r="I144" s="1625"/>
      <c r="J144" s="1723"/>
      <c r="K144" s="1728">
        <f>SUM(H144)</f>
        <v>0</v>
      </c>
      <c r="L144" s="1623">
        <v>0</v>
      </c>
    </row>
    <row r="145" spans="1:14" x14ac:dyDescent="0.2">
      <c r="A145" s="1319" t="s">
        <v>89</v>
      </c>
      <c r="B145" s="503" t="s">
        <v>585</v>
      </c>
      <c r="C145" s="1723"/>
      <c r="D145" s="1723"/>
      <c r="E145" s="1723"/>
      <c r="F145" s="1723"/>
      <c r="G145" s="1723"/>
      <c r="H145" s="1623">
        <v>0</v>
      </c>
      <c r="I145" s="1625"/>
      <c r="J145" s="1723"/>
      <c r="K145" s="1728">
        <f>SUM(H145)</f>
        <v>0</v>
      </c>
      <c r="L145" s="1623">
        <v>0</v>
      </c>
    </row>
    <row r="146" spans="1:14" ht="12.75" customHeight="1" x14ac:dyDescent="0.2">
      <c r="A146" s="1319" t="s">
        <v>615</v>
      </c>
      <c r="B146" s="503" t="s">
        <v>614</v>
      </c>
      <c r="C146" s="1723"/>
      <c r="D146" s="1723"/>
      <c r="E146" s="1723"/>
      <c r="F146" s="1723"/>
      <c r="G146" s="1723"/>
      <c r="H146" s="1623">
        <v>0</v>
      </c>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349" t="s">
        <v>616</v>
      </c>
      <c r="B151" s="2331"/>
      <c r="C151" s="1724">
        <f>SUM(C129,C130,C139,C149,C150)</f>
        <v>21999</v>
      </c>
      <c r="D151" s="1724">
        <f t="shared" ref="D151:K151" si="16">SUM(D129,D130,D139,D149,D150)</f>
        <v>1000</v>
      </c>
      <c r="E151" s="1724">
        <f t="shared" si="16"/>
        <v>549498</v>
      </c>
      <c r="F151" s="1724">
        <f t="shared" si="16"/>
        <v>413390</v>
      </c>
      <c r="G151" s="1724">
        <f t="shared" si="16"/>
        <v>0</v>
      </c>
      <c r="H151" s="1724">
        <f t="shared" si="16"/>
        <v>0</v>
      </c>
      <c r="I151" s="1724">
        <f t="shared" si="16"/>
        <v>1450</v>
      </c>
      <c r="J151" s="1724">
        <f t="shared" si="16"/>
        <v>0</v>
      </c>
      <c r="K151" s="1724">
        <f t="shared" si="16"/>
        <v>987337</v>
      </c>
      <c r="L151" s="1724">
        <f>SUM(L129,L130,L139,L149,L150)</f>
        <v>987593</v>
      </c>
    </row>
    <row r="152" spans="1:14" ht="12.75" customHeight="1" thickTop="1" x14ac:dyDescent="0.2">
      <c r="A152" s="2352" t="s">
        <v>1170</v>
      </c>
      <c r="B152" s="2353"/>
      <c r="C152" s="1725"/>
      <c r="D152" s="1725"/>
      <c r="E152" s="1725"/>
      <c r="F152" s="1725"/>
      <c r="G152" s="1725"/>
      <c r="H152" s="1725"/>
      <c r="I152" s="1725"/>
      <c r="J152" s="1723"/>
      <c r="K152" s="1739">
        <f>'Revenues 9-14'!D268-'Expenditures 15-22'!K151</f>
        <v>20741</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7" t="s">
        <v>617</v>
      </c>
      <c r="B154" s="233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1817</v>
      </c>
      <c r="C157" s="1723"/>
      <c r="D157" s="1723"/>
      <c r="E157" s="1723"/>
      <c r="F157" s="1723"/>
      <c r="G157" s="1723"/>
      <c r="H157" s="1735">
        <v>0</v>
      </c>
      <c r="I157" s="1723"/>
      <c r="J157" s="1723"/>
      <c r="K157" s="1722">
        <f>H157</f>
        <v>0</v>
      </c>
      <c r="L157" s="1624">
        <v>0</v>
      </c>
      <c r="M157" s="505"/>
      <c r="N157" s="505"/>
    </row>
    <row r="158" spans="1:14" s="506" customFormat="1" ht="12" x14ac:dyDescent="0.2">
      <c r="A158" s="1511" t="s">
        <v>301</v>
      </c>
      <c r="B158" s="1512" t="s">
        <v>1819</v>
      </c>
      <c r="C158" s="1723"/>
      <c r="D158" s="1723"/>
      <c r="E158" s="1723"/>
      <c r="F158" s="1723"/>
      <c r="G158" s="1723"/>
      <c r="H158" s="1624">
        <v>0</v>
      </c>
      <c r="I158" s="1723"/>
      <c r="J158" s="1723"/>
      <c r="K158" s="1722">
        <f>H158</f>
        <v>0</v>
      </c>
      <c r="L158" s="1624">
        <v>0</v>
      </c>
      <c r="M158" s="505"/>
      <c r="N158" s="505"/>
    </row>
    <row r="159" spans="1:14" s="506" customFormat="1" ht="12" x14ac:dyDescent="0.2">
      <c r="A159" s="1511" t="s">
        <v>1820</v>
      </c>
      <c r="B159" s="1512" t="s">
        <v>554</v>
      </c>
      <c r="C159" s="1723"/>
      <c r="D159" s="1723"/>
      <c r="E159" s="1723"/>
      <c r="F159" s="1723"/>
      <c r="G159" s="1723"/>
      <c r="H159" s="1624">
        <v>0</v>
      </c>
      <c r="I159" s="1723"/>
      <c r="J159" s="1723"/>
      <c r="K159" s="1722">
        <f>H159</f>
        <v>0</v>
      </c>
      <c r="L159" s="1624">
        <v>0</v>
      </c>
      <c r="M159" s="505"/>
      <c r="N159" s="505"/>
    </row>
    <row r="160" spans="1:14" s="506" customFormat="1" ht="15.75" customHeight="1" thickBot="1" x14ac:dyDescent="0.25">
      <c r="A160" s="1513" t="s">
        <v>1821</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v>0</v>
      </c>
    </row>
    <row r="164" spans="1:14" x14ac:dyDescent="0.2">
      <c r="A164" s="1319" t="s">
        <v>88</v>
      </c>
      <c r="B164" s="503">
        <v>5120</v>
      </c>
      <c r="C164" s="1723"/>
      <c r="D164" s="1723"/>
      <c r="E164" s="1723"/>
      <c r="F164" s="1723"/>
      <c r="G164" s="1723"/>
      <c r="H164" s="1623">
        <v>0</v>
      </c>
      <c r="I164" s="1723"/>
      <c r="J164" s="1723"/>
      <c r="K164" s="1722">
        <f>SUM(C164:J164)</f>
        <v>0</v>
      </c>
      <c r="L164" s="1623">
        <v>0</v>
      </c>
    </row>
    <row r="165" spans="1:14" ht="12.75" customHeight="1" x14ac:dyDescent="0.2">
      <c r="A165" s="1319" t="s">
        <v>1162</v>
      </c>
      <c r="B165" s="503" t="s">
        <v>613</v>
      </c>
      <c r="C165" s="1723"/>
      <c r="D165" s="1723"/>
      <c r="E165" s="1723"/>
      <c r="F165" s="1723"/>
      <c r="G165" s="1723"/>
      <c r="H165" s="1623">
        <v>0</v>
      </c>
      <c r="I165" s="1723"/>
      <c r="J165" s="1723"/>
      <c r="K165" s="1722">
        <f>SUM(C165:J165)</f>
        <v>0</v>
      </c>
      <c r="L165" s="1623">
        <v>0</v>
      </c>
    </row>
    <row r="166" spans="1:14" x14ac:dyDescent="0.2">
      <c r="A166" s="1319" t="s">
        <v>89</v>
      </c>
      <c r="B166" s="512" t="s">
        <v>585</v>
      </c>
      <c r="C166" s="1723"/>
      <c r="D166" s="1723"/>
      <c r="E166" s="1723"/>
      <c r="F166" s="1723"/>
      <c r="G166" s="1723"/>
      <c r="H166" s="1623">
        <v>0</v>
      </c>
      <c r="I166" s="1723"/>
      <c r="J166" s="1723"/>
      <c r="K166" s="1722">
        <f>SUM(C166:J166)</f>
        <v>0</v>
      </c>
      <c r="L166" s="1623">
        <v>0</v>
      </c>
    </row>
    <row r="167" spans="1:14" ht="12.75" customHeight="1" x14ac:dyDescent="0.2">
      <c r="A167" s="1319" t="s">
        <v>615</v>
      </c>
      <c r="B167" s="503" t="s">
        <v>614</v>
      </c>
      <c r="C167" s="1723"/>
      <c r="D167" s="1723"/>
      <c r="E167" s="1723"/>
      <c r="F167" s="1723"/>
      <c r="G167" s="1723"/>
      <c r="H167" s="1623">
        <v>0</v>
      </c>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916477</v>
      </c>
      <c r="I169" s="1723"/>
      <c r="J169" s="1723"/>
      <c r="K169" s="1722">
        <f>SUM(C169:H169)</f>
        <v>916477</v>
      </c>
      <c r="L169" s="1745">
        <v>909377</v>
      </c>
    </row>
    <row r="170" spans="1:14" ht="33.75" customHeight="1" x14ac:dyDescent="0.2">
      <c r="A170" s="543" t="s">
        <v>1654</v>
      </c>
      <c r="B170" s="545" t="s">
        <v>31</v>
      </c>
      <c r="C170" s="1723"/>
      <c r="D170" s="1723"/>
      <c r="E170" s="1723"/>
      <c r="F170" s="1723"/>
      <c r="G170" s="1723"/>
      <c r="H170" s="1696">
        <v>986594</v>
      </c>
      <c r="I170" s="1723"/>
      <c r="J170" s="1723"/>
      <c r="K170" s="1722">
        <f>SUM(C170:J170)</f>
        <v>986594</v>
      </c>
      <c r="L170" s="1696">
        <v>1035000</v>
      </c>
    </row>
    <row r="171" spans="1:14" ht="15.75" customHeight="1" x14ac:dyDescent="0.2">
      <c r="A171" s="507" t="s">
        <v>761</v>
      </c>
      <c r="B171" s="546" t="s">
        <v>84</v>
      </c>
      <c r="C171" s="1723"/>
      <c r="D171" s="1723"/>
      <c r="E171" s="1623">
        <v>0</v>
      </c>
      <c r="F171" s="1723"/>
      <c r="G171" s="1723"/>
      <c r="H171" s="1696">
        <v>1100</v>
      </c>
      <c r="I171" s="1632"/>
      <c r="J171" s="1723"/>
      <c r="K171" s="1722">
        <f>SUM(C171:J171)</f>
        <v>1100</v>
      </c>
      <c r="L171" s="1696">
        <v>10000</v>
      </c>
    </row>
    <row r="172" spans="1:14" ht="12.75" customHeight="1" thickBot="1" x14ac:dyDescent="0.25">
      <c r="A172" s="1429" t="s">
        <v>633</v>
      </c>
      <c r="B172" s="1430" t="s">
        <v>489</v>
      </c>
      <c r="C172" s="1723"/>
      <c r="D172" s="1723"/>
      <c r="E172" s="1731">
        <f>SUM(E168,E169,E170,E171)</f>
        <v>0</v>
      </c>
      <c r="F172" s="1723"/>
      <c r="G172" s="1723"/>
      <c r="H172" s="1731">
        <f>SUM(H168,H169,H170,H171)</f>
        <v>1904171</v>
      </c>
      <c r="I172" s="1734"/>
      <c r="J172" s="1723"/>
      <c r="K172" s="1731">
        <f>SUM(K168,K169,K170,K171)</f>
        <v>1904171</v>
      </c>
      <c r="L172" s="1731">
        <f>SUM(L168,L169,L170,L171)</f>
        <v>1954377</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1904171</v>
      </c>
      <c r="I174" s="1734"/>
      <c r="J174" s="1723"/>
      <c r="K174" s="1731">
        <f>SUM(K160,K172,K173)</f>
        <v>1904171</v>
      </c>
      <c r="L174" s="1731">
        <f>SUM(L160,L172,L173)</f>
        <v>1954377</v>
      </c>
    </row>
    <row r="175" spans="1:14" ht="13.5" thickTop="1" x14ac:dyDescent="0.2">
      <c r="A175" s="2359" t="s">
        <v>989</v>
      </c>
      <c r="B175" s="2360"/>
      <c r="C175" s="1723"/>
      <c r="D175" s="1723"/>
      <c r="E175" s="1723"/>
      <c r="F175" s="1723"/>
      <c r="G175" s="1723"/>
      <c r="H175" s="1725"/>
      <c r="I175" s="1723"/>
      <c r="J175" s="1723"/>
      <c r="K175" s="1739">
        <f>'Revenues 9-14'!E268-'Expenditures 15-22'!K174</f>
        <v>31842</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711</v>
      </c>
      <c r="C180" s="1623">
        <v>0</v>
      </c>
      <c r="D180" s="1623">
        <v>0</v>
      </c>
      <c r="E180" s="1623">
        <v>0</v>
      </c>
      <c r="F180" s="1623">
        <v>0</v>
      </c>
      <c r="G180" s="1623">
        <v>0</v>
      </c>
      <c r="H180" s="1623">
        <v>0</v>
      </c>
      <c r="I180" s="1624">
        <v>0</v>
      </c>
      <c r="J180" s="1624">
        <v>0</v>
      </c>
      <c r="K180" s="1722">
        <f>SUM(C180:J180)</f>
        <v>0</v>
      </c>
      <c r="L180" s="1623">
        <v>813600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17980</v>
      </c>
      <c r="D182" s="1623">
        <v>513</v>
      </c>
      <c r="E182" s="1623">
        <v>622433</v>
      </c>
      <c r="F182" s="1623">
        <v>0</v>
      </c>
      <c r="G182" s="1623">
        <v>0</v>
      </c>
      <c r="H182" s="1623">
        <v>0</v>
      </c>
      <c r="I182" s="1624">
        <v>0</v>
      </c>
      <c r="J182" s="1624">
        <v>0</v>
      </c>
      <c r="K182" s="1722">
        <f>SUM(C182:J182)</f>
        <v>640926</v>
      </c>
      <c r="L182" s="1623">
        <v>0</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v>0</v>
      </c>
    </row>
    <row r="184" spans="1:14" ht="12.75" customHeight="1" thickTop="1" thickBot="1" x14ac:dyDescent="0.25">
      <c r="A184" s="1442" t="s">
        <v>806</v>
      </c>
      <c r="B184" s="1430" t="s">
        <v>565</v>
      </c>
      <c r="C184" s="1731">
        <f>SUM(C180,C182,C183)</f>
        <v>17980</v>
      </c>
      <c r="D184" s="1731">
        <f t="shared" ref="D184:J184" si="17">SUM(D180,D182,D183)</f>
        <v>513</v>
      </c>
      <c r="E184" s="1731">
        <f t="shared" si="17"/>
        <v>622433</v>
      </c>
      <c r="F184" s="1731">
        <f t="shared" si="17"/>
        <v>0</v>
      </c>
      <c r="G184" s="1731">
        <f t="shared" si="17"/>
        <v>0</v>
      </c>
      <c r="H184" s="1731">
        <f t="shared" si="17"/>
        <v>0</v>
      </c>
      <c r="I184" s="1731">
        <f t="shared" si="17"/>
        <v>0</v>
      </c>
      <c r="J184" s="1731">
        <f t="shared" si="17"/>
        <v>0</v>
      </c>
      <c r="K184" s="1731">
        <f>SUM(K180,K182,K183)</f>
        <v>640926</v>
      </c>
      <c r="L184" s="1731">
        <f>SUM(L180, L182:L183)</f>
        <v>813600</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v>0</v>
      </c>
    </row>
    <row r="189" spans="1:14" x14ac:dyDescent="0.2">
      <c r="A189" s="1319" t="s">
        <v>301</v>
      </c>
      <c r="B189" s="503">
        <v>4120</v>
      </c>
      <c r="C189" s="1723"/>
      <c r="D189" s="1723"/>
      <c r="E189" s="1623">
        <v>0</v>
      </c>
      <c r="F189" s="1723"/>
      <c r="G189" s="1723"/>
      <c r="H189" s="1623">
        <v>0</v>
      </c>
      <c r="I189" s="1632"/>
      <c r="J189" s="1723"/>
      <c r="K189" s="1722">
        <f t="shared" si="18"/>
        <v>0</v>
      </c>
      <c r="L189" s="1623">
        <v>0</v>
      </c>
    </row>
    <row r="190" spans="1:14" x14ac:dyDescent="0.2">
      <c r="A190" s="1319" t="s">
        <v>302</v>
      </c>
      <c r="B190" s="512">
        <v>4130</v>
      </c>
      <c r="C190" s="1723"/>
      <c r="D190" s="1723"/>
      <c r="E190" s="1623">
        <v>0</v>
      </c>
      <c r="F190" s="1723"/>
      <c r="G190" s="1723"/>
      <c r="H190" s="1623">
        <v>0</v>
      </c>
      <c r="I190" s="1632"/>
      <c r="J190" s="1723"/>
      <c r="K190" s="1722">
        <f t="shared" si="18"/>
        <v>0</v>
      </c>
      <c r="L190" s="1623">
        <v>0</v>
      </c>
    </row>
    <row r="191" spans="1:14" x14ac:dyDescent="0.2">
      <c r="A191" s="1319" t="s">
        <v>692</v>
      </c>
      <c r="B191" s="503">
        <v>4140</v>
      </c>
      <c r="C191" s="1723"/>
      <c r="D191" s="1723"/>
      <c r="E191" s="1623">
        <v>0</v>
      </c>
      <c r="F191" s="1723"/>
      <c r="G191" s="1723"/>
      <c r="H191" s="1623">
        <v>0</v>
      </c>
      <c r="I191" s="1632"/>
      <c r="J191" s="1723"/>
      <c r="K191" s="1722">
        <f t="shared" si="18"/>
        <v>0</v>
      </c>
      <c r="L191" s="1623">
        <v>0</v>
      </c>
    </row>
    <row r="192" spans="1:14" x14ac:dyDescent="0.2">
      <c r="A192" s="1319" t="s">
        <v>86</v>
      </c>
      <c r="B192" s="503">
        <v>4170</v>
      </c>
      <c r="C192" s="1723"/>
      <c r="D192" s="1723"/>
      <c r="E192" s="1623">
        <v>0</v>
      </c>
      <c r="F192" s="1723"/>
      <c r="G192" s="1723"/>
      <c r="H192" s="1623">
        <v>0</v>
      </c>
      <c r="I192" s="1632"/>
      <c r="J192" s="1723"/>
      <c r="K192" s="1722">
        <f t="shared" si="18"/>
        <v>0</v>
      </c>
      <c r="L192" s="1623">
        <v>0</v>
      </c>
    </row>
    <row r="193" spans="1:14" x14ac:dyDescent="0.2">
      <c r="A193" s="1323" t="s">
        <v>693</v>
      </c>
      <c r="B193" s="512">
        <v>4190</v>
      </c>
      <c r="C193" s="1723"/>
      <c r="D193" s="1723"/>
      <c r="E193" s="1623">
        <v>0</v>
      </c>
      <c r="F193" s="1723"/>
      <c r="G193" s="1723"/>
      <c r="H193" s="1623">
        <v>0</v>
      </c>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v>0</v>
      </c>
    </row>
    <row r="200" spans="1:14" x14ac:dyDescent="0.2">
      <c r="A200" s="1319" t="s">
        <v>88</v>
      </c>
      <c r="B200" s="503">
        <v>5120</v>
      </c>
      <c r="C200" s="1723"/>
      <c r="D200" s="1723"/>
      <c r="E200" s="1723"/>
      <c r="F200" s="1723"/>
      <c r="G200" s="1723"/>
      <c r="H200" s="1623">
        <v>0</v>
      </c>
      <c r="I200" s="1723"/>
      <c r="J200" s="1723"/>
      <c r="K200" s="1722">
        <f>SUM(H200)</f>
        <v>0</v>
      </c>
      <c r="L200" s="1623">
        <v>0</v>
      </c>
    </row>
    <row r="201" spans="1:14" ht="12.75" customHeight="1" x14ac:dyDescent="0.2">
      <c r="A201" s="1319" t="s">
        <v>1162</v>
      </c>
      <c r="B201" s="512" t="s">
        <v>613</v>
      </c>
      <c r="C201" s="1723"/>
      <c r="D201" s="1723"/>
      <c r="E201" s="1723"/>
      <c r="F201" s="1723"/>
      <c r="G201" s="1723"/>
      <c r="H201" s="1623">
        <v>0</v>
      </c>
      <c r="I201" s="1723"/>
      <c r="J201" s="1723"/>
      <c r="K201" s="1722">
        <f>SUM(H201)</f>
        <v>0</v>
      </c>
      <c r="L201" s="1623">
        <v>0</v>
      </c>
    </row>
    <row r="202" spans="1:14" x14ac:dyDescent="0.2">
      <c r="A202" s="1319" t="s">
        <v>89</v>
      </c>
      <c r="B202" s="503" t="s">
        <v>585</v>
      </c>
      <c r="C202" s="1723"/>
      <c r="D202" s="1723"/>
      <c r="E202" s="1723"/>
      <c r="F202" s="1723"/>
      <c r="G202" s="1723"/>
      <c r="H202" s="1623">
        <v>0</v>
      </c>
      <c r="I202" s="1723"/>
      <c r="J202" s="1723"/>
      <c r="K202" s="1722">
        <f>SUM(H202)</f>
        <v>0</v>
      </c>
      <c r="L202" s="1623">
        <v>0</v>
      </c>
    </row>
    <row r="203" spans="1:14" x14ac:dyDescent="0.2">
      <c r="A203" s="1331" t="s">
        <v>615</v>
      </c>
      <c r="B203" s="503" t="s">
        <v>614</v>
      </c>
      <c r="C203" s="1723"/>
      <c r="D203" s="1723"/>
      <c r="E203" s="1723"/>
      <c r="F203" s="1723"/>
      <c r="G203" s="1723"/>
      <c r="H203" s="1627">
        <v>0</v>
      </c>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v>0</v>
      </c>
    </row>
    <row r="206" spans="1:14" ht="30" customHeight="1" x14ac:dyDescent="0.2">
      <c r="A206" s="555" t="s">
        <v>1655</v>
      </c>
      <c r="B206" s="546" t="s">
        <v>31</v>
      </c>
      <c r="C206" s="1723"/>
      <c r="D206" s="1723"/>
      <c r="E206" s="1723"/>
      <c r="F206" s="1723"/>
      <c r="G206" s="1723"/>
      <c r="H206" s="1623">
        <v>0</v>
      </c>
      <c r="I206" s="1723"/>
      <c r="J206" s="1723"/>
      <c r="K206" s="1722">
        <f>SUM(H206)</f>
        <v>0</v>
      </c>
      <c r="L206" s="1623">
        <v>0</v>
      </c>
    </row>
    <row r="207" spans="1:14" ht="15.75" customHeight="1" x14ac:dyDescent="0.2">
      <c r="A207" s="507" t="s">
        <v>761</v>
      </c>
      <c r="B207" s="546" t="s">
        <v>84</v>
      </c>
      <c r="C207" s="1723"/>
      <c r="D207" s="1723"/>
      <c r="E207" s="1723"/>
      <c r="F207" s="1723"/>
      <c r="G207" s="1723"/>
      <c r="H207" s="1624">
        <v>0</v>
      </c>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17980</v>
      </c>
      <c r="D210" s="1724">
        <f>SUM(D184,D185)</f>
        <v>513</v>
      </c>
      <c r="E210" s="1724">
        <f>SUM(E184,E185,E196)</f>
        <v>622433</v>
      </c>
      <c r="F210" s="1724">
        <f>SUM(F184,F185)</f>
        <v>0</v>
      </c>
      <c r="G210" s="1724">
        <f>SUM(G184,G185)</f>
        <v>0</v>
      </c>
      <c r="H210" s="1724">
        <f>SUM(H184,H185,H196,H208,H209)</f>
        <v>0</v>
      </c>
      <c r="I210" s="1724">
        <f>SUM(I184,I185)</f>
        <v>0</v>
      </c>
      <c r="J210" s="1724">
        <f>SUM(J184,J185)</f>
        <v>0</v>
      </c>
      <c r="K210" s="1722">
        <f>SUM(K184,K185,K196,K208,K209)</f>
        <v>640926</v>
      </c>
      <c r="L210" s="1724">
        <f>SUM(L184,L185,L196,L208,L209)</f>
        <v>813600</v>
      </c>
    </row>
    <row r="211" spans="1:14" ht="13.5" thickTop="1" x14ac:dyDescent="0.2">
      <c r="A211" s="2359" t="s">
        <v>989</v>
      </c>
      <c r="B211" s="2360"/>
      <c r="C211" s="1725"/>
      <c r="D211" s="1725"/>
      <c r="E211" s="1725"/>
      <c r="F211" s="1725"/>
      <c r="G211" s="1725"/>
      <c r="H211" s="1725"/>
      <c r="I211" s="1723"/>
      <c r="J211" s="1723"/>
      <c r="K211" s="1739">
        <f>'Revenues 9-14'!F268-'Expenditures 15-22'!K210</f>
        <v>204150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4" t="s">
        <v>959</v>
      </c>
      <c r="B213" s="2355"/>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57773</v>
      </c>
      <c r="E215" s="1723"/>
      <c r="F215" s="1723"/>
      <c r="G215" s="1723"/>
      <c r="H215" s="1723"/>
      <c r="I215" s="1723"/>
      <c r="J215" s="1723"/>
      <c r="K215" s="1722">
        <f>D215</f>
        <v>57773</v>
      </c>
      <c r="L215" s="1623">
        <v>85000</v>
      </c>
    </row>
    <row r="216" spans="1:14" x14ac:dyDescent="0.2">
      <c r="A216" s="1319" t="s">
        <v>162</v>
      </c>
      <c r="B216" s="503" t="s">
        <v>961</v>
      </c>
      <c r="C216" s="1723"/>
      <c r="D216" s="1624">
        <v>0</v>
      </c>
      <c r="E216" s="1723"/>
      <c r="F216" s="1723"/>
      <c r="G216" s="1723"/>
      <c r="H216" s="1723"/>
      <c r="I216" s="1723"/>
      <c r="J216" s="1723"/>
      <c r="K216" s="1722">
        <f t="shared" ref="K216:K228" si="19">D216</f>
        <v>0</v>
      </c>
      <c r="L216" s="1623">
        <v>0</v>
      </c>
    </row>
    <row r="217" spans="1:14" x14ac:dyDescent="0.2">
      <c r="A217" s="1319" t="s">
        <v>163</v>
      </c>
      <c r="B217" s="503">
        <v>1200</v>
      </c>
      <c r="C217" s="1723"/>
      <c r="D217" s="1623">
        <v>60113</v>
      </c>
      <c r="E217" s="1723"/>
      <c r="F217" s="1723"/>
      <c r="G217" s="1723"/>
      <c r="H217" s="1723"/>
      <c r="I217" s="1723"/>
      <c r="J217" s="1723"/>
      <c r="K217" s="1722">
        <f t="shared" si="19"/>
        <v>60113</v>
      </c>
      <c r="L217" s="1623">
        <v>90000</v>
      </c>
    </row>
    <row r="218" spans="1:14" x14ac:dyDescent="0.2">
      <c r="A218" s="1319" t="s">
        <v>276</v>
      </c>
      <c r="B218" s="503" t="s">
        <v>962</v>
      </c>
      <c r="C218" s="1723"/>
      <c r="D218" s="1624">
        <v>1339</v>
      </c>
      <c r="E218" s="1723"/>
      <c r="F218" s="1723"/>
      <c r="G218" s="1723"/>
      <c r="H218" s="1723"/>
      <c r="I218" s="1723"/>
      <c r="J218" s="1723"/>
      <c r="K218" s="1722">
        <f t="shared" si="19"/>
        <v>1339</v>
      </c>
      <c r="L218" s="1623">
        <v>12000</v>
      </c>
    </row>
    <row r="219" spans="1:14" x14ac:dyDescent="0.2">
      <c r="A219" s="1319" t="s">
        <v>277</v>
      </c>
      <c r="B219" s="503">
        <v>1250</v>
      </c>
      <c r="C219" s="1723"/>
      <c r="D219" s="1623">
        <v>1456</v>
      </c>
      <c r="E219" s="1723"/>
      <c r="F219" s="1723"/>
      <c r="G219" s="1723"/>
      <c r="H219" s="1723"/>
      <c r="I219" s="1723"/>
      <c r="J219" s="1723"/>
      <c r="K219" s="1722">
        <f t="shared" si="19"/>
        <v>1456</v>
      </c>
      <c r="L219" s="1623">
        <v>1500</v>
      </c>
    </row>
    <row r="220" spans="1:14" x14ac:dyDescent="0.2">
      <c r="A220" s="1319" t="s">
        <v>278</v>
      </c>
      <c r="B220" s="503" t="s">
        <v>160</v>
      </c>
      <c r="C220" s="1723"/>
      <c r="D220" s="1624">
        <v>6905</v>
      </c>
      <c r="E220" s="1723"/>
      <c r="F220" s="1723"/>
      <c r="G220" s="1723"/>
      <c r="H220" s="1723"/>
      <c r="I220" s="1723"/>
      <c r="J220" s="1723"/>
      <c r="K220" s="1722">
        <f t="shared" si="19"/>
        <v>6905</v>
      </c>
      <c r="L220" s="1623">
        <v>8000</v>
      </c>
    </row>
    <row r="221" spans="1:14" x14ac:dyDescent="0.2">
      <c r="A221" s="1319" t="s">
        <v>956</v>
      </c>
      <c r="B221" s="503">
        <v>1300</v>
      </c>
      <c r="C221" s="1723"/>
      <c r="D221" s="1623">
        <v>0</v>
      </c>
      <c r="E221" s="1723"/>
      <c r="F221" s="1723"/>
      <c r="G221" s="1723"/>
      <c r="H221" s="1723"/>
      <c r="I221" s="1723"/>
      <c r="J221" s="1723"/>
      <c r="K221" s="1722">
        <f t="shared" si="19"/>
        <v>0</v>
      </c>
      <c r="L221" s="1623">
        <v>0</v>
      </c>
    </row>
    <row r="222" spans="1:14" x14ac:dyDescent="0.2">
      <c r="A222" s="1319" t="s">
        <v>718</v>
      </c>
      <c r="B222" s="503">
        <v>1400</v>
      </c>
      <c r="C222" s="1723"/>
      <c r="D222" s="1623">
        <v>0</v>
      </c>
      <c r="E222" s="1723"/>
      <c r="F222" s="1723"/>
      <c r="G222" s="1723"/>
      <c r="H222" s="1723"/>
      <c r="I222" s="1723"/>
      <c r="J222" s="1723"/>
      <c r="K222" s="1722">
        <f t="shared" si="19"/>
        <v>0</v>
      </c>
      <c r="L222" s="1623">
        <v>0</v>
      </c>
    </row>
    <row r="223" spans="1:14" x14ac:dyDescent="0.2">
      <c r="A223" s="1319" t="s">
        <v>957</v>
      </c>
      <c r="B223" s="503">
        <v>1500</v>
      </c>
      <c r="C223" s="1723"/>
      <c r="D223" s="1623">
        <v>590</v>
      </c>
      <c r="E223" s="1723"/>
      <c r="F223" s="1723"/>
      <c r="G223" s="1723"/>
      <c r="H223" s="1723"/>
      <c r="I223" s="1723"/>
      <c r="J223" s="1723"/>
      <c r="K223" s="1722">
        <f t="shared" si="19"/>
        <v>590</v>
      </c>
      <c r="L223" s="1623">
        <v>1000</v>
      </c>
    </row>
    <row r="224" spans="1:14" x14ac:dyDescent="0.2">
      <c r="A224" s="1319" t="s">
        <v>958</v>
      </c>
      <c r="B224" s="503">
        <v>1600</v>
      </c>
      <c r="C224" s="1723"/>
      <c r="D224" s="1623">
        <v>0</v>
      </c>
      <c r="E224" s="1723"/>
      <c r="F224" s="1723"/>
      <c r="G224" s="1723"/>
      <c r="H224" s="1723"/>
      <c r="I224" s="1723"/>
      <c r="J224" s="1723"/>
      <c r="K224" s="1722">
        <f t="shared" si="19"/>
        <v>0</v>
      </c>
      <c r="L224" s="1623">
        <v>0</v>
      </c>
    </row>
    <row r="225" spans="1:12" x14ac:dyDescent="0.2">
      <c r="A225" s="1319" t="s">
        <v>980</v>
      </c>
      <c r="B225" s="503">
        <v>1650</v>
      </c>
      <c r="C225" s="1723"/>
      <c r="D225" s="1623">
        <v>0</v>
      </c>
      <c r="E225" s="1723"/>
      <c r="F225" s="1723"/>
      <c r="G225" s="1723"/>
      <c r="H225" s="1723"/>
      <c r="I225" s="1723"/>
      <c r="J225" s="1723"/>
      <c r="K225" s="1722">
        <f t="shared" si="19"/>
        <v>0</v>
      </c>
      <c r="L225" s="1623">
        <v>0</v>
      </c>
    </row>
    <row r="226" spans="1:12" x14ac:dyDescent="0.2">
      <c r="A226" s="1319" t="s">
        <v>719</v>
      </c>
      <c r="B226" s="503" t="s">
        <v>161</v>
      </c>
      <c r="C226" s="1723"/>
      <c r="D226" s="1624">
        <v>0</v>
      </c>
      <c r="E226" s="1723"/>
      <c r="F226" s="1723"/>
      <c r="G226" s="1723"/>
      <c r="H226" s="1723"/>
      <c r="I226" s="1723"/>
      <c r="J226" s="1723"/>
      <c r="K226" s="1722">
        <f t="shared" si="19"/>
        <v>0</v>
      </c>
      <c r="L226" s="1623">
        <v>0</v>
      </c>
    </row>
    <row r="227" spans="1:12" x14ac:dyDescent="0.2">
      <c r="A227" s="1319" t="s">
        <v>1080</v>
      </c>
      <c r="B227" s="503">
        <v>1800</v>
      </c>
      <c r="C227" s="1723"/>
      <c r="D227" s="1623">
        <v>1525</v>
      </c>
      <c r="E227" s="1723"/>
      <c r="F227" s="1723"/>
      <c r="G227" s="1723"/>
      <c r="H227" s="1723"/>
      <c r="I227" s="1723"/>
      <c r="J227" s="1723"/>
      <c r="K227" s="1722">
        <f t="shared" si="19"/>
        <v>1525</v>
      </c>
      <c r="L227" s="1623">
        <v>3000</v>
      </c>
    </row>
    <row r="228" spans="1:12" x14ac:dyDescent="0.2">
      <c r="A228" s="1319" t="s">
        <v>1081</v>
      </c>
      <c r="B228" s="503">
        <v>1900</v>
      </c>
      <c r="C228" s="1723"/>
      <c r="D228" s="1623">
        <v>0</v>
      </c>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129701</v>
      </c>
      <c r="E229" s="1723"/>
      <c r="F229" s="1723"/>
      <c r="G229" s="1723"/>
      <c r="H229" s="1723"/>
      <c r="I229" s="1723"/>
      <c r="J229" s="1723"/>
      <c r="K229" s="1724">
        <f>SUM(K215:K228)</f>
        <v>129701</v>
      </c>
      <c r="L229" s="1724">
        <f>SUM(L215:L228)</f>
        <v>200500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2517</v>
      </c>
      <c r="E232" s="1723"/>
      <c r="F232" s="1723"/>
      <c r="G232" s="1723"/>
      <c r="H232" s="1723"/>
      <c r="I232" s="1723"/>
      <c r="J232" s="1723"/>
      <c r="K232" s="1722">
        <f t="shared" ref="K232:K237" si="20">D232</f>
        <v>2517</v>
      </c>
      <c r="L232" s="1623">
        <v>3000</v>
      </c>
    </row>
    <row r="233" spans="1:12" x14ac:dyDescent="0.2">
      <c r="A233" s="1319" t="s">
        <v>1083</v>
      </c>
      <c r="B233" s="503">
        <v>2120</v>
      </c>
      <c r="C233" s="1723"/>
      <c r="D233" s="1623">
        <v>0</v>
      </c>
      <c r="E233" s="1723"/>
      <c r="F233" s="1723"/>
      <c r="G233" s="1723"/>
      <c r="H233" s="1723"/>
      <c r="I233" s="1723"/>
      <c r="J233" s="1723"/>
      <c r="K233" s="1722">
        <f t="shared" si="20"/>
        <v>0</v>
      </c>
      <c r="L233" s="1623">
        <v>1000</v>
      </c>
    </row>
    <row r="234" spans="1:12" x14ac:dyDescent="0.2">
      <c r="A234" s="1319" t="s">
        <v>196</v>
      </c>
      <c r="B234" s="503">
        <v>2130</v>
      </c>
      <c r="C234" s="1723"/>
      <c r="D234" s="1623">
        <v>29345</v>
      </c>
      <c r="E234" s="1723"/>
      <c r="F234" s="1723"/>
      <c r="G234" s="1723"/>
      <c r="H234" s="1723"/>
      <c r="I234" s="1723"/>
      <c r="J234" s="1723"/>
      <c r="K234" s="1722">
        <f t="shared" si="20"/>
        <v>29345</v>
      </c>
      <c r="L234" s="1623">
        <v>32000</v>
      </c>
    </row>
    <row r="235" spans="1:12" x14ac:dyDescent="0.2">
      <c r="A235" s="1319" t="s">
        <v>197</v>
      </c>
      <c r="B235" s="503">
        <v>2140</v>
      </c>
      <c r="C235" s="1723"/>
      <c r="D235" s="1623">
        <v>1713</v>
      </c>
      <c r="E235" s="1723"/>
      <c r="F235" s="1723"/>
      <c r="G235" s="1723"/>
      <c r="H235" s="1723"/>
      <c r="I235" s="1723"/>
      <c r="J235" s="1723"/>
      <c r="K235" s="1722">
        <f t="shared" si="20"/>
        <v>1713</v>
      </c>
      <c r="L235" s="1623">
        <v>2000</v>
      </c>
    </row>
    <row r="236" spans="1:12" x14ac:dyDescent="0.2">
      <c r="A236" s="1319" t="s">
        <v>198</v>
      </c>
      <c r="B236" s="503">
        <v>2150</v>
      </c>
      <c r="C236" s="1723"/>
      <c r="D236" s="1623">
        <v>3115</v>
      </c>
      <c r="E236" s="1723"/>
      <c r="F236" s="1723"/>
      <c r="G236" s="1723"/>
      <c r="H236" s="1723"/>
      <c r="I236" s="1723"/>
      <c r="J236" s="1723"/>
      <c r="K236" s="1722">
        <f t="shared" si="20"/>
        <v>3115</v>
      </c>
      <c r="L236" s="1623">
        <v>10500</v>
      </c>
    </row>
    <row r="237" spans="1:12" x14ac:dyDescent="0.2">
      <c r="A237" s="1319" t="s">
        <v>164</v>
      </c>
      <c r="B237" s="503">
        <v>2190</v>
      </c>
      <c r="C237" s="1723"/>
      <c r="D237" s="1623">
        <v>13177</v>
      </c>
      <c r="E237" s="1723"/>
      <c r="F237" s="1723"/>
      <c r="G237" s="1723"/>
      <c r="H237" s="1723"/>
      <c r="I237" s="1723"/>
      <c r="J237" s="1723"/>
      <c r="K237" s="1722">
        <f t="shared" si="20"/>
        <v>13177</v>
      </c>
      <c r="L237" s="1623">
        <v>14000</v>
      </c>
    </row>
    <row r="238" spans="1:12" ht="12.75" customHeight="1" thickBot="1" x14ac:dyDescent="0.25">
      <c r="A238" s="1429" t="s">
        <v>556</v>
      </c>
      <c r="B238" s="1432" t="s">
        <v>711</v>
      </c>
      <c r="C238" s="1723"/>
      <c r="D238" s="1724">
        <f>SUM(D232:D237)</f>
        <v>49867</v>
      </c>
      <c r="E238" s="1723"/>
      <c r="F238" s="1723"/>
      <c r="G238" s="1723"/>
      <c r="H238" s="1723"/>
      <c r="I238" s="1723"/>
      <c r="J238" s="1723"/>
      <c r="K238" s="1724">
        <f>SUM(K232:K237)</f>
        <v>49867</v>
      </c>
      <c r="L238" s="1724">
        <f>SUM(L232:L237)</f>
        <v>62500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2222</v>
      </c>
      <c r="E240" s="1723"/>
      <c r="F240" s="1723"/>
      <c r="G240" s="1723"/>
      <c r="H240" s="1723"/>
      <c r="I240" s="1723"/>
      <c r="J240" s="1723"/>
      <c r="K240" s="1728">
        <f>D240</f>
        <v>2222</v>
      </c>
      <c r="L240" s="1636">
        <v>1000</v>
      </c>
    </row>
    <row r="241" spans="1:12" x14ac:dyDescent="0.2">
      <c r="A241" s="1319" t="s">
        <v>810</v>
      </c>
      <c r="B241" s="503">
        <v>2220</v>
      </c>
      <c r="C241" s="1723"/>
      <c r="D241" s="1623">
        <v>6385</v>
      </c>
      <c r="E241" s="1723"/>
      <c r="F241" s="1723"/>
      <c r="G241" s="1723"/>
      <c r="H241" s="1723"/>
      <c r="I241" s="1723"/>
      <c r="J241" s="1723"/>
      <c r="K241" s="1728">
        <f>D241</f>
        <v>6385</v>
      </c>
      <c r="L241" s="1623">
        <v>14000</v>
      </c>
    </row>
    <row r="242" spans="1:12" x14ac:dyDescent="0.2">
      <c r="A242" s="1319" t="s">
        <v>811</v>
      </c>
      <c r="B242" s="503">
        <v>2230</v>
      </c>
      <c r="C242" s="1723"/>
      <c r="D242" s="1623">
        <v>0</v>
      </c>
      <c r="E242" s="1723"/>
      <c r="F242" s="1723"/>
      <c r="G242" s="1723"/>
      <c r="H242" s="1723"/>
      <c r="I242" s="1723"/>
      <c r="J242" s="1723"/>
      <c r="K242" s="1728">
        <f>D242</f>
        <v>0</v>
      </c>
      <c r="L242" s="1623">
        <v>0</v>
      </c>
    </row>
    <row r="243" spans="1:12" ht="12.75" customHeight="1" thickBot="1" x14ac:dyDescent="0.25">
      <c r="A243" s="1445" t="s">
        <v>557</v>
      </c>
      <c r="B243" s="1446">
        <v>2200</v>
      </c>
      <c r="C243" s="1723"/>
      <c r="D243" s="1724">
        <f>SUM(D240:D242)</f>
        <v>8607</v>
      </c>
      <c r="E243" s="1723"/>
      <c r="F243" s="1723"/>
      <c r="G243" s="1723"/>
      <c r="H243" s="1723"/>
      <c r="I243" s="1723"/>
      <c r="J243" s="1723"/>
      <c r="K243" s="1724">
        <f>SUM(K240:K242)</f>
        <v>8607</v>
      </c>
      <c r="L243" s="1724">
        <f>SUM(L240:L242)</f>
        <v>15000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9921</v>
      </c>
      <c r="E245" s="1723"/>
      <c r="F245" s="1723"/>
      <c r="G245" s="1723"/>
      <c r="H245" s="1723"/>
      <c r="I245" s="1723"/>
      <c r="J245" s="1723"/>
      <c r="K245" s="1728">
        <f>D245</f>
        <v>9921</v>
      </c>
      <c r="L245" s="1636">
        <v>11000</v>
      </c>
    </row>
    <row r="246" spans="1:12" x14ac:dyDescent="0.2">
      <c r="A246" s="1319" t="s">
        <v>813</v>
      </c>
      <c r="B246" s="503">
        <v>2320</v>
      </c>
      <c r="C246" s="1723"/>
      <c r="D246" s="1623">
        <v>4137</v>
      </c>
      <c r="E246" s="1723"/>
      <c r="F246" s="1723"/>
      <c r="G246" s="1723"/>
      <c r="H246" s="1723"/>
      <c r="I246" s="1723"/>
      <c r="J246" s="1723"/>
      <c r="K246" s="1728">
        <f t="shared" ref="K246:K256" si="21">D246</f>
        <v>4137</v>
      </c>
      <c r="L246" s="1623">
        <v>4619</v>
      </c>
    </row>
    <row r="247" spans="1:12" x14ac:dyDescent="0.2">
      <c r="A247" s="1319" t="s">
        <v>814</v>
      </c>
      <c r="B247" s="503">
        <v>2330</v>
      </c>
      <c r="C247" s="1723"/>
      <c r="D247" s="1623">
        <v>9213</v>
      </c>
      <c r="E247" s="1723"/>
      <c r="F247" s="1723"/>
      <c r="G247" s="1723"/>
      <c r="H247" s="1723"/>
      <c r="I247" s="1723"/>
      <c r="J247" s="1723"/>
      <c r="K247" s="1728">
        <f t="shared" si="21"/>
        <v>9213</v>
      </c>
      <c r="L247" s="1623">
        <v>10000</v>
      </c>
    </row>
    <row r="248" spans="1:12" x14ac:dyDescent="0.2">
      <c r="A248" s="1320" t="s">
        <v>296</v>
      </c>
      <c r="B248" s="494" t="s">
        <v>279</v>
      </c>
      <c r="C248" s="1723"/>
      <c r="D248" s="1629">
        <v>0</v>
      </c>
      <c r="E248" s="1723"/>
      <c r="F248" s="1723"/>
      <c r="G248" s="1723"/>
      <c r="H248" s="1723"/>
      <c r="I248" s="1723"/>
      <c r="J248" s="1723"/>
      <c r="K248" s="1728">
        <f t="shared" si="21"/>
        <v>0</v>
      </c>
      <c r="L248" s="1623">
        <v>0</v>
      </c>
    </row>
    <row r="249" spans="1:12" x14ac:dyDescent="0.2">
      <c r="A249" s="1321" t="s">
        <v>1783</v>
      </c>
      <c r="B249" s="557" t="s">
        <v>280</v>
      </c>
      <c r="C249" s="1723"/>
      <c r="D249" s="1629">
        <v>0</v>
      </c>
      <c r="E249" s="1723"/>
      <c r="F249" s="1723"/>
      <c r="G249" s="1723"/>
      <c r="H249" s="1723"/>
      <c r="I249" s="1723"/>
      <c r="J249" s="1723"/>
      <c r="K249" s="1728">
        <f t="shared" si="21"/>
        <v>0</v>
      </c>
      <c r="L249" s="1623">
        <v>0</v>
      </c>
    </row>
    <row r="250" spans="1:12" x14ac:dyDescent="0.2">
      <c r="A250" s="1320" t="s">
        <v>1784</v>
      </c>
      <c r="B250" s="494" t="s">
        <v>281</v>
      </c>
      <c r="C250" s="1723"/>
      <c r="D250" s="1629">
        <v>0</v>
      </c>
      <c r="E250" s="1723"/>
      <c r="F250" s="1723"/>
      <c r="G250" s="1723"/>
      <c r="H250" s="1723"/>
      <c r="I250" s="1723"/>
      <c r="J250" s="1723"/>
      <c r="K250" s="1728">
        <f t="shared" si="21"/>
        <v>0</v>
      </c>
      <c r="L250" s="1623">
        <v>0</v>
      </c>
    </row>
    <row r="251" spans="1:12" x14ac:dyDescent="0.2">
      <c r="A251" s="1320" t="s">
        <v>236</v>
      </c>
      <c r="B251" s="494" t="s">
        <v>282</v>
      </c>
      <c r="C251" s="1723"/>
      <c r="D251" s="1629">
        <v>0</v>
      </c>
      <c r="E251" s="1723"/>
      <c r="F251" s="1723"/>
      <c r="G251" s="1723"/>
      <c r="H251" s="1723"/>
      <c r="I251" s="1723"/>
      <c r="J251" s="1723"/>
      <c r="K251" s="1728">
        <f t="shared" si="21"/>
        <v>0</v>
      </c>
      <c r="L251" s="1623">
        <v>0</v>
      </c>
    </row>
    <row r="252" spans="1:12" x14ac:dyDescent="0.2">
      <c r="A252" s="1320" t="s">
        <v>697</v>
      </c>
      <c r="B252" s="494" t="s">
        <v>283</v>
      </c>
      <c r="C252" s="1723"/>
      <c r="D252" s="1629">
        <v>0</v>
      </c>
      <c r="E252" s="1723"/>
      <c r="F252" s="1723"/>
      <c r="G252" s="1723"/>
      <c r="H252" s="1723"/>
      <c r="I252" s="1723"/>
      <c r="J252" s="1723"/>
      <c r="K252" s="1728">
        <f t="shared" si="21"/>
        <v>0</v>
      </c>
      <c r="L252" s="1623">
        <v>0</v>
      </c>
    </row>
    <row r="253" spans="1:12" x14ac:dyDescent="0.2">
      <c r="A253" s="1320" t="s">
        <v>237</v>
      </c>
      <c r="B253" s="494" t="s">
        <v>284</v>
      </c>
      <c r="C253" s="1723"/>
      <c r="D253" s="1629">
        <v>0</v>
      </c>
      <c r="E253" s="1723"/>
      <c r="F253" s="1723"/>
      <c r="G253" s="1723"/>
      <c r="H253" s="1723"/>
      <c r="I253" s="1723"/>
      <c r="J253" s="1723"/>
      <c r="K253" s="1728">
        <f t="shared" si="21"/>
        <v>0</v>
      </c>
      <c r="L253" s="1623">
        <v>0</v>
      </c>
    </row>
    <row r="254" spans="1:12" ht="22.5" x14ac:dyDescent="0.2">
      <c r="A254" s="1320" t="s">
        <v>1022</v>
      </c>
      <c r="B254" s="557" t="s">
        <v>285</v>
      </c>
      <c r="C254" s="1723"/>
      <c r="D254" s="1629">
        <v>0</v>
      </c>
      <c r="E254" s="1723"/>
      <c r="F254" s="1723"/>
      <c r="G254" s="1723"/>
      <c r="H254" s="1723"/>
      <c r="I254" s="1723"/>
      <c r="J254" s="1723"/>
      <c r="K254" s="1728">
        <f t="shared" si="21"/>
        <v>0</v>
      </c>
      <c r="L254" s="1623">
        <v>0</v>
      </c>
    </row>
    <row r="255" spans="1:12" x14ac:dyDescent="0.2">
      <c r="A255" s="1320" t="s">
        <v>1023</v>
      </c>
      <c r="B255" s="494" t="s">
        <v>286</v>
      </c>
      <c r="C255" s="1723"/>
      <c r="D255" s="1629">
        <v>0</v>
      </c>
      <c r="E255" s="1723"/>
      <c r="F255" s="1723"/>
      <c r="G255" s="1723"/>
      <c r="H255" s="1723"/>
      <c r="I255" s="1723"/>
      <c r="J255" s="1723"/>
      <c r="K255" s="1728">
        <f t="shared" si="21"/>
        <v>0</v>
      </c>
      <c r="L255" s="1623">
        <v>0</v>
      </c>
    </row>
    <row r="256" spans="1:12" x14ac:dyDescent="0.2">
      <c r="A256" s="1320" t="s">
        <v>965</v>
      </c>
      <c r="B256" s="503" t="s">
        <v>287</v>
      </c>
      <c r="C256" s="1723"/>
      <c r="D256" s="1629">
        <v>0</v>
      </c>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23271</v>
      </c>
      <c r="E257" s="1723"/>
      <c r="F257" s="1723"/>
      <c r="G257" s="1723"/>
      <c r="H257" s="1723"/>
      <c r="I257" s="1723"/>
      <c r="J257" s="1723"/>
      <c r="K257" s="1724">
        <f>SUM(K245:K256)</f>
        <v>23271</v>
      </c>
      <c r="L257" s="1724">
        <f>SUM(L245:L256)</f>
        <v>25619</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32079</v>
      </c>
      <c r="E259" s="1723"/>
      <c r="F259" s="1723"/>
      <c r="G259" s="1723"/>
      <c r="H259" s="1723"/>
      <c r="I259" s="1723"/>
      <c r="J259" s="1723"/>
      <c r="K259" s="1728">
        <f>D259</f>
        <v>32079</v>
      </c>
      <c r="L259" s="1636">
        <v>45000</v>
      </c>
    </row>
    <row r="260" spans="1:14" s="493" customFormat="1" x14ac:dyDescent="0.2">
      <c r="A260" s="1337" t="s">
        <v>1782</v>
      </c>
      <c r="B260" s="512">
        <v>2490</v>
      </c>
      <c r="C260" s="1723"/>
      <c r="D260" s="1623">
        <v>0</v>
      </c>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32079</v>
      </c>
      <c r="E261" s="1723"/>
      <c r="F261" s="1723"/>
      <c r="G261" s="1723"/>
      <c r="H261" s="1723"/>
      <c r="I261" s="1723"/>
      <c r="J261" s="1723"/>
      <c r="K261" s="1724">
        <f>SUM(K259:K260)</f>
        <v>32079</v>
      </c>
      <c r="L261" s="1724">
        <f>SUM(L259:L260)</f>
        <v>45000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1500</v>
      </c>
      <c r="E263" s="1723"/>
      <c r="F263" s="1723"/>
      <c r="G263" s="1723"/>
      <c r="H263" s="1723"/>
      <c r="I263" s="1723"/>
      <c r="J263" s="1723"/>
      <c r="K263" s="1728">
        <f>D263</f>
        <v>1500</v>
      </c>
      <c r="L263" s="1636">
        <v>2000</v>
      </c>
    </row>
    <row r="264" spans="1:14" x14ac:dyDescent="0.2">
      <c r="A264" s="1319" t="s">
        <v>460</v>
      </c>
      <c r="B264" s="559">
        <v>2520</v>
      </c>
      <c r="C264" s="1723"/>
      <c r="D264" s="1623">
        <v>12674</v>
      </c>
      <c r="E264" s="1723"/>
      <c r="F264" s="1723"/>
      <c r="G264" s="1723"/>
      <c r="H264" s="1723"/>
      <c r="I264" s="1723"/>
      <c r="J264" s="1723"/>
      <c r="K264" s="1728">
        <f t="shared" ref="K264:K269" si="22">D264</f>
        <v>12674</v>
      </c>
      <c r="L264" s="1623">
        <v>26000</v>
      </c>
    </row>
    <row r="265" spans="1:14" x14ac:dyDescent="0.2">
      <c r="A265" s="1319" t="s">
        <v>4</v>
      </c>
      <c r="B265" s="503">
        <v>2530</v>
      </c>
      <c r="C265" s="1723"/>
      <c r="D265" s="1623">
        <v>0</v>
      </c>
      <c r="E265" s="1723"/>
      <c r="F265" s="1723"/>
      <c r="G265" s="1723"/>
      <c r="H265" s="1723"/>
      <c r="I265" s="1723"/>
      <c r="J265" s="1723"/>
      <c r="K265" s="1728">
        <f t="shared" si="22"/>
        <v>0</v>
      </c>
      <c r="L265" s="1623">
        <v>0</v>
      </c>
    </row>
    <row r="266" spans="1:14" x14ac:dyDescent="0.2">
      <c r="A266" s="1319" t="s">
        <v>195</v>
      </c>
      <c r="B266" s="503">
        <v>2540</v>
      </c>
      <c r="C266" s="1723"/>
      <c r="D266" s="1623">
        <v>55216</v>
      </c>
      <c r="E266" s="1723"/>
      <c r="F266" s="1723"/>
      <c r="G266" s="1723"/>
      <c r="H266" s="1723"/>
      <c r="I266" s="1723"/>
      <c r="J266" s="1723"/>
      <c r="K266" s="1728">
        <f t="shared" si="22"/>
        <v>55216</v>
      </c>
      <c r="L266" s="1623">
        <v>56000</v>
      </c>
    </row>
    <row r="267" spans="1:14" x14ac:dyDescent="0.2">
      <c r="A267" s="1319" t="s">
        <v>947</v>
      </c>
      <c r="B267" s="503">
        <v>2550</v>
      </c>
      <c r="C267" s="1723"/>
      <c r="D267" s="1623">
        <v>3376</v>
      </c>
      <c r="E267" s="1723"/>
      <c r="F267" s="1723"/>
      <c r="G267" s="1723"/>
      <c r="H267" s="1723"/>
      <c r="I267" s="1723"/>
      <c r="J267" s="1723"/>
      <c r="K267" s="1728">
        <f t="shared" si="22"/>
        <v>3376</v>
      </c>
      <c r="L267" s="1623">
        <v>3000</v>
      </c>
    </row>
    <row r="268" spans="1:14" x14ac:dyDescent="0.2">
      <c r="A268" s="1319" t="s">
        <v>100</v>
      </c>
      <c r="B268" s="503">
        <v>2560</v>
      </c>
      <c r="C268" s="1723"/>
      <c r="D268" s="1623">
        <v>3376</v>
      </c>
      <c r="E268" s="1723"/>
      <c r="F268" s="1723"/>
      <c r="G268" s="1723"/>
      <c r="H268" s="1723"/>
      <c r="I268" s="1723"/>
      <c r="J268" s="1723"/>
      <c r="K268" s="1728">
        <f t="shared" si="22"/>
        <v>3376</v>
      </c>
      <c r="L268" s="1623">
        <v>6000</v>
      </c>
    </row>
    <row r="269" spans="1:14" x14ac:dyDescent="0.2">
      <c r="A269" s="1319" t="s">
        <v>101</v>
      </c>
      <c r="B269" s="503">
        <v>2570</v>
      </c>
      <c r="C269" s="1723"/>
      <c r="D269" s="1623">
        <v>0</v>
      </c>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76142</v>
      </c>
      <c r="E270" s="1723"/>
      <c r="F270" s="1723"/>
      <c r="G270" s="1723"/>
      <c r="H270" s="1723"/>
      <c r="I270" s="1723"/>
      <c r="J270" s="1723"/>
      <c r="K270" s="1724">
        <f>SUM(K263:K269)</f>
        <v>76142</v>
      </c>
      <c r="L270" s="1724">
        <f>SUM(L263:L269)</f>
        <v>93000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v>0</v>
      </c>
    </row>
    <row r="273" spans="1:12" x14ac:dyDescent="0.2">
      <c r="A273" s="1319" t="s">
        <v>603</v>
      </c>
      <c r="B273" s="512">
        <v>2620</v>
      </c>
      <c r="C273" s="1723"/>
      <c r="D273" s="1623">
        <v>0</v>
      </c>
      <c r="E273" s="1723"/>
      <c r="F273" s="1723"/>
      <c r="G273" s="1723"/>
      <c r="H273" s="1723"/>
      <c r="I273" s="1723"/>
      <c r="J273" s="1723"/>
      <c r="K273" s="1728">
        <f>D273</f>
        <v>0</v>
      </c>
      <c r="L273" s="1623">
        <v>0</v>
      </c>
    </row>
    <row r="274" spans="1:12" ht="12" customHeight="1" x14ac:dyDescent="0.2">
      <c r="A274" s="1319" t="s">
        <v>1054</v>
      </c>
      <c r="B274" s="503">
        <v>2630</v>
      </c>
      <c r="C274" s="1723"/>
      <c r="D274" s="1623">
        <v>0</v>
      </c>
      <c r="E274" s="1723"/>
      <c r="F274" s="1723"/>
      <c r="G274" s="1723"/>
      <c r="H274" s="1723"/>
      <c r="I274" s="1723"/>
      <c r="J274" s="1723"/>
      <c r="K274" s="1728">
        <f>D274</f>
        <v>0</v>
      </c>
      <c r="L274" s="1623">
        <v>0</v>
      </c>
    </row>
    <row r="275" spans="1:12" x14ac:dyDescent="0.2">
      <c r="A275" s="1319" t="s">
        <v>400</v>
      </c>
      <c r="B275" s="503">
        <v>2640</v>
      </c>
      <c r="C275" s="1723"/>
      <c r="D275" s="1623">
        <v>0</v>
      </c>
      <c r="E275" s="1723"/>
      <c r="F275" s="1723"/>
      <c r="G275" s="1723"/>
      <c r="H275" s="1723"/>
      <c r="I275" s="1723"/>
      <c r="J275" s="1723"/>
      <c r="K275" s="1728">
        <f>D275</f>
        <v>0</v>
      </c>
      <c r="L275" s="1623">
        <v>0</v>
      </c>
    </row>
    <row r="276" spans="1:12" x14ac:dyDescent="0.2">
      <c r="A276" s="1319" t="s">
        <v>401</v>
      </c>
      <c r="B276" s="503">
        <v>2660</v>
      </c>
      <c r="C276" s="1723"/>
      <c r="D276" s="1623">
        <v>25517</v>
      </c>
      <c r="E276" s="1723"/>
      <c r="F276" s="1723"/>
      <c r="G276" s="1723"/>
      <c r="H276" s="1723"/>
      <c r="I276" s="1723"/>
      <c r="J276" s="1723"/>
      <c r="K276" s="1728">
        <f>D276</f>
        <v>25517</v>
      </c>
      <c r="L276" s="1623">
        <v>37000</v>
      </c>
    </row>
    <row r="277" spans="1:12" ht="12.75" customHeight="1" thickBot="1" x14ac:dyDescent="0.25">
      <c r="A277" s="1442" t="s">
        <v>37</v>
      </c>
      <c r="B277" s="1430" t="s">
        <v>36</v>
      </c>
      <c r="C277" s="1723"/>
      <c r="D277" s="1724">
        <f>SUM(D272:D276)</f>
        <v>25517</v>
      </c>
      <c r="E277" s="1723"/>
      <c r="F277" s="1723"/>
      <c r="G277" s="1723"/>
      <c r="H277" s="1723"/>
      <c r="I277" s="1723"/>
      <c r="J277" s="1723"/>
      <c r="K277" s="1724">
        <f>SUM(K272:K276)</f>
        <v>25517</v>
      </c>
      <c r="L277" s="1724">
        <f>SUM(L272:L276)</f>
        <v>37000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215483</v>
      </c>
      <c r="E279" s="1723"/>
      <c r="F279" s="1723"/>
      <c r="G279" s="1723"/>
      <c r="H279" s="1723"/>
      <c r="I279" s="1723"/>
      <c r="J279" s="1723"/>
      <c r="K279" s="1731">
        <f>SUM(K238,K243,K257,K261,K270,K277,K278)</f>
        <v>215483</v>
      </c>
      <c r="L279" s="1731">
        <f>SUM(L238,L243,L257,L261,L270,L277,L278)</f>
        <v>278119</v>
      </c>
    </row>
    <row r="280" spans="1:12" ht="15.75" customHeight="1" thickTop="1" thickBot="1" x14ac:dyDescent="0.25">
      <c r="A280" s="1407" t="s">
        <v>870</v>
      </c>
      <c r="B280" s="1396">
        <v>3000</v>
      </c>
      <c r="C280" s="1723"/>
      <c r="D280" s="1701">
        <v>26314</v>
      </c>
      <c r="E280" s="1723"/>
      <c r="F280" s="1723"/>
      <c r="G280" s="1723"/>
      <c r="H280" s="1723"/>
      <c r="I280" s="1723"/>
      <c r="J280" s="1723"/>
      <c r="K280" s="1737">
        <f>D280</f>
        <v>26314</v>
      </c>
      <c r="L280" s="1701">
        <v>21000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1817</v>
      </c>
      <c r="C282" s="1723"/>
      <c r="D282" s="1624">
        <v>0</v>
      </c>
      <c r="E282" s="1723"/>
      <c r="F282" s="1723"/>
      <c r="G282" s="1723"/>
      <c r="H282" s="1723"/>
      <c r="I282" s="1723"/>
      <c r="J282" s="1723"/>
      <c r="K282" s="1722">
        <f>D282</f>
        <v>0</v>
      </c>
      <c r="L282" s="1624">
        <v>0</v>
      </c>
    </row>
    <row r="283" spans="1:12" x14ac:dyDescent="0.2">
      <c r="A283" s="1319" t="s">
        <v>301</v>
      </c>
      <c r="B283" s="503">
        <v>4120</v>
      </c>
      <c r="C283" s="1723"/>
      <c r="D283" s="1623">
        <v>0</v>
      </c>
      <c r="E283" s="1723"/>
      <c r="F283" s="1723"/>
      <c r="G283" s="1723"/>
      <c r="H283" s="1723"/>
      <c r="I283" s="1723"/>
      <c r="J283" s="1723"/>
      <c r="K283" s="1722">
        <f>D283</f>
        <v>0</v>
      </c>
      <c r="L283" s="1623">
        <v>0</v>
      </c>
    </row>
    <row r="284" spans="1:12" x14ac:dyDescent="0.2">
      <c r="A284" s="1319" t="s">
        <v>692</v>
      </c>
      <c r="B284" s="503">
        <v>4140</v>
      </c>
      <c r="C284" s="1723"/>
      <c r="D284" s="1624">
        <v>0</v>
      </c>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v>0</v>
      </c>
    </row>
    <row r="289" spans="1:14" x14ac:dyDescent="0.2">
      <c r="A289" s="1319" t="s">
        <v>88</v>
      </c>
      <c r="B289" s="503">
        <v>5120</v>
      </c>
      <c r="C289" s="1723"/>
      <c r="D289" s="1723"/>
      <c r="E289" s="1723"/>
      <c r="F289" s="1723"/>
      <c r="G289" s="1723"/>
      <c r="H289" s="1623">
        <v>0</v>
      </c>
      <c r="I289" s="1723"/>
      <c r="J289" s="1723"/>
      <c r="K289" s="1722">
        <f>H289</f>
        <v>0</v>
      </c>
      <c r="L289" s="1623">
        <v>0</v>
      </c>
    </row>
    <row r="290" spans="1:14" ht="12.75" customHeight="1" x14ac:dyDescent="0.2">
      <c r="A290" s="1319" t="s">
        <v>1162</v>
      </c>
      <c r="B290" s="512" t="s">
        <v>613</v>
      </c>
      <c r="C290" s="1723"/>
      <c r="D290" s="1723"/>
      <c r="E290" s="1723"/>
      <c r="F290" s="1723"/>
      <c r="G290" s="1723"/>
      <c r="H290" s="1623">
        <v>0</v>
      </c>
      <c r="I290" s="1723"/>
      <c r="J290" s="1723"/>
      <c r="K290" s="1722">
        <f>H290</f>
        <v>0</v>
      </c>
      <c r="L290" s="1623">
        <v>0</v>
      </c>
    </row>
    <row r="291" spans="1:14" x14ac:dyDescent="0.2">
      <c r="A291" s="1319" t="s">
        <v>89</v>
      </c>
      <c r="B291" s="503" t="s">
        <v>585</v>
      </c>
      <c r="C291" s="1723"/>
      <c r="D291" s="1723"/>
      <c r="E291" s="1723"/>
      <c r="F291" s="1723"/>
      <c r="G291" s="1723"/>
      <c r="H291" s="1623">
        <v>0</v>
      </c>
      <c r="I291" s="1723"/>
      <c r="J291" s="1723"/>
      <c r="K291" s="1722">
        <f>H291</f>
        <v>0</v>
      </c>
      <c r="L291" s="1623">
        <v>0</v>
      </c>
    </row>
    <row r="292" spans="1:14" x14ac:dyDescent="0.2">
      <c r="A292" s="1319" t="s">
        <v>757</v>
      </c>
      <c r="B292" s="503" t="s">
        <v>614</v>
      </c>
      <c r="C292" s="1723"/>
      <c r="D292" s="1723"/>
      <c r="E292" s="1723"/>
      <c r="F292" s="1723"/>
      <c r="G292" s="1723"/>
      <c r="H292" s="1623">
        <v>0</v>
      </c>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350" t="s">
        <v>502</v>
      </c>
      <c r="B295" s="2351"/>
      <c r="C295" s="1723"/>
      <c r="D295" s="1724">
        <f>SUM(D229,D279,D280,D285)</f>
        <v>371498</v>
      </c>
      <c r="E295" s="1723"/>
      <c r="F295" s="1723"/>
      <c r="G295" s="1723"/>
      <c r="H295" s="1724">
        <f>H293</f>
        <v>0</v>
      </c>
      <c r="I295" s="1723"/>
      <c r="J295" s="1723"/>
      <c r="K295" s="1724">
        <f>SUM(K229,K279,K280,K285,K293,K294)</f>
        <v>371498</v>
      </c>
      <c r="L295" s="1724">
        <f>SUM(L229,L279,L280,L285,L293,L294)</f>
        <v>499619</v>
      </c>
    </row>
    <row r="296" spans="1:14" ht="13.5" thickTop="1" x14ac:dyDescent="0.2">
      <c r="A296" s="2359" t="s">
        <v>989</v>
      </c>
      <c r="B296" s="2360"/>
      <c r="C296" s="1723"/>
      <c r="D296" s="1725"/>
      <c r="E296" s="1723"/>
      <c r="F296" s="1723"/>
      <c r="G296" s="1723"/>
      <c r="H296" s="1757"/>
      <c r="I296" s="1723"/>
      <c r="J296" s="1723"/>
      <c r="K296" s="1739">
        <f>'Revenues 9-14'!G268-'Expenditures 15-22'!K295</f>
        <v>144863</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2" t="s">
        <v>142</v>
      </c>
      <c r="B298" s="2336"/>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400777</v>
      </c>
      <c r="F301" s="1623">
        <v>0</v>
      </c>
      <c r="G301" s="1623">
        <v>0</v>
      </c>
      <c r="H301" s="1623">
        <v>0</v>
      </c>
      <c r="I301" s="1624">
        <v>0</v>
      </c>
      <c r="J301" s="1624">
        <v>0</v>
      </c>
      <c r="K301" s="1722">
        <f>SUM(C301:J301)</f>
        <v>400777</v>
      </c>
      <c r="L301" s="1624">
        <v>500000</v>
      </c>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400777</v>
      </c>
      <c r="F303" s="1731">
        <f t="shared" si="23"/>
        <v>0</v>
      </c>
      <c r="G303" s="1731">
        <f t="shared" si="23"/>
        <v>0</v>
      </c>
      <c r="H303" s="1731">
        <f t="shared" si="23"/>
        <v>0</v>
      </c>
      <c r="I303" s="1731">
        <f t="shared" si="23"/>
        <v>0</v>
      </c>
      <c r="J303" s="1731">
        <f t="shared" si="23"/>
        <v>0</v>
      </c>
      <c r="K303" s="1731">
        <f t="shared" si="23"/>
        <v>400777</v>
      </c>
      <c r="L303" s="1731">
        <f t="shared" si="23"/>
        <v>500000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v>0</v>
      </c>
      <c r="F306" s="1723"/>
      <c r="G306" s="1723"/>
      <c r="H306" s="1624">
        <v>0</v>
      </c>
      <c r="I306" s="1723"/>
      <c r="J306" s="1723"/>
      <c r="K306" s="1722">
        <f>SUM(E306,H306)</f>
        <v>0</v>
      </c>
      <c r="L306" s="1624">
        <v>0</v>
      </c>
    </row>
    <row r="307" spans="1:14" x14ac:dyDescent="0.2">
      <c r="A307" s="1319" t="s">
        <v>301</v>
      </c>
      <c r="B307" s="503">
        <v>4120</v>
      </c>
      <c r="C307" s="1723"/>
      <c r="D307" s="1723"/>
      <c r="E307" s="1624">
        <v>0</v>
      </c>
      <c r="F307" s="1723"/>
      <c r="G307" s="1723"/>
      <c r="H307" s="1624">
        <v>0</v>
      </c>
      <c r="I307" s="1632"/>
      <c r="J307" s="1723"/>
      <c r="K307" s="1722">
        <f>SUM(E307,H307)</f>
        <v>0</v>
      </c>
      <c r="L307" s="1623">
        <v>0</v>
      </c>
    </row>
    <row r="308" spans="1:14" x14ac:dyDescent="0.2">
      <c r="A308" s="1319" t="s">
        <v>692</v>
      </c>
      <c r="B308" s="503">
        <v>4140</v>
      </c>
      <c r="C308" s="1723"/>
      <c r="D308" s="1723"/>
      <c r="E308" s="1624">
        <v>0</v>
      </c>
      <c r="F308" s="1723"/>
      <c r="G308" s="1723"/>
      <c r="H308" s="1624">
        <v>0</v>
      </c>
      <c r="I308" s="1632"/>
      <c r="J308" s="1723"/>
      <c r="K308" s="1722">
        <f>SUM(E308,H308)</f>
        <v>0</v>
      </c>
      <c r="L308" s="1623">
        <v>0</v>
      </c>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47" t="s">
        <v>275</v>
      </c>
      <c r="B312" s="2348"/>
      <c r="C312" s="1724">
        <f>SUM(C303)</f>
        <v>0</v>
      </c>
      <c r="D312" s="1724">
        <f>SUM(D303)</f>
        <v>0</v>
      </c>
      <c r="E312" s="1724">
        <f>SUM(E303,E310)</f>
        <v>400777</v>
      </c>
      <c r="F312" s="1724">
        <f>SUM(F303)</f>
        <v>0</v>
      </c>
      <c r="G312" s="1724">
        <f>SUM(G303)</f>
        <v>0</v>
      </c>
      <c r="H312" s="1724">
        <f>SUM(H303,H310)</f>
        <v>0</v>
      </c>
      <c r="I312" s="1724">
        <f>SUM(I303)</f>
        <v>0</v>
      </c>
      <c r="J312" s="1724">
        <f>SUM(J303)</f>
        <v>0</v>
      </c>
      <c r="K312" s="1724">
        <f>SUM(K303,K310,K311)</f>
        <v>400777</v>
      </c>
      <c r="L312" s="1724">
        <f>SUM(L303,L310,L311)</f>
        <v>500000</v>
      </c>
      <c r="M312" s="539"/>
      <c r="N312" s="539"/>
    </row>
    <row r="313" spans="1:14" ht="13.5" thickTop="1" x14ac:dyDescent="0.2">
      <c r="A313" s="2343" t="s">
        <v>989</v>
      </c>
      <c r="B313" s="2344"/>
      <c r="C313" s="1727"/>
      <c r="D313" s="1727"/>
      <c r="E313" s="1727"/>
      <c r="F313" s="1727"/>
      <c r="G313" s="1727"/>
      <c r="H313" s="1727"/>
      <c r="I313" s="1727"/>
      <c r="J313" s="1727"/>
      <c r="K313" s="1746">
        <f>'Revenues 9-14'!H268-'Expenditures 15-22'!K312</f>
        <v>-333396</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6" t="s">
        <v>148</v>
      </c>
      <c r="B315" s="2357"/>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8" t="s">
        <v>892</v>
      </c>
      <c r="B317" s="2357"/>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v>0</v>
      </c>
      <c r="M319" s="539"/>
      <c r="N319" s="539"/>
    </row>
    <row r="320" spans="1:14" s="548" customFormat="1" x14ac:dyDescent="0.2">
      <c r="A320" s="1338" t="s">
        <v>1783</v>
      </c>
      <c r="B320" s="568" t="s">
        <v>280</v>
      </c>
      <c r="C320" s="1624">
        <v>0</v>
      </c>
      <c r="D320" s="1624">
        <v>0</v>
      </c>
      <c r="E320" s="1624">
        <v>47238</v>
      </c>
      <c r="F320" s="1624">
        <v>0</v>
      </c>
      <c r="G320" s="1624">
        <v>0</v>
      </c>
      <c r="H320" s="1624">
        <v>0</v>
      </c>
      <c r="I320" s="1624">
        <v>0</v>
      </c>
      <c r="J320" s="1624">
        <v>0</v>
      </c>
      <c r="K320" s="1722">
        <f t="shared" ref="K320:K327" si="24">SUM(C320:J320)</f>
        <v>47238</v>
      </c>
      <c r="L320" s="1624">
        <v>44000</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v>5000</v>
      </c>
      <c r="M321" s="539"/>
      <c r="N321" s="539"/>
    </row>
    <row r="322" spans="1:14" s="548" customFormat="1" x14ac:dyDescent="0.2">
      <c r="A322" s="1334" t="s">
        <v>236</v>
      </c>
      <c r="B322" s="567" t="s">
        <v>282</v>
      </c>
      <c r="C322" s="1624">
        <v>0</v>
      </c>
      <c r="D322" s="1624">
        <v>0</v>
      </c>
      <c r="E322" s="1624">
        <v>23722</v>
      </c>
      <c r="F322" s="1624">
        <v>0</v>
      </c>
      <c r="G322" s="1624">
        <v>0</v>
      </c>
      <c r="H322" s="1624">
        <v>0</v>
      </c>
      <c r="I322" s="1624">
        <v>0</v>
      </c>
      <c r="J322" s="1624">
        <v>0</v>
      </c>
      <c r="K322" s="1722">
        <f t="shared" si="24"/>
        <v>23722</v>
      </c>
      <c r="L322" s="1624">
        <v>30000</v>
      </c>
      <c r="M322" s="539"/>
      <c r="N322" s="539"/>
    </row>
    <row r="323" spans="1:14" s="548" customFormat="1" x14ac:dyDescent="0.2">
      <c r="A323" s="1334" t="s">
        <v>697</v>
      </c>
      <c r="B323" s="567" t="s">
        <v>283</v>
      </c>
      <c r="C323" s="1624">
        <v>0</v>
      </c>
      <c r="D323" s="1624">
        <v>0</v>
      </c>
      <c r="E323" s="1624">
        <v>14060</v>
      </c>
      <c r="F323" s="1624">
        <v>0</v>
      </c>
      <c r="G323" s="1624">
        <v>0</v>
      </c>
      <c r="H323" s="1624">
        <v>0</v>
      </c>
      <c r="I323" s="1624">
        <v>0</v>
      </c>
      <c r="J323" s="1624">
        <v>0</v>
      </c>
      <c r="K323" s="1722">
        <f t="shared" si="24"/>
        <v>14060</v>
      </c>
      <c r="L323" s="1624">
        <v>12000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v>0</v>
      </c>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22">
        <f t="shared" si="24"/>
        <v>0</v>
      </c>
      <c r="L325" s="1624">
        <v>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v>0</v>
      </c>
      <c r="M326" s="539"/>
      <c r="N326" s="539"/>
    </row>
    <row r="327" spans="1:14" s="548" customFormat="1" x14ac:dyDescent="0.2">
      <c r="A327" s="1334" t="s">
        <v>965</v>
      </c>
      <c r="B327" s="567" t="s">
        <v>287</v>
      </c>
      <c r="C327" s="1624">
        <v>0</v>
      </c>
      <c r="D327" s="1624">
        <v>0</v>
      </c>
      <c r="E327" s="1624">
        <v>40487</v>
      </c>
      <c r="F327" s="1624">
        <v>0</v>
      </c>
      <c r="G327" s="1624">
        <v>0</v>
      </c>
      <c r="H327" s="1624">
        <v>0</v>
      </c>
      <c r="I327" s="1624">
        <v>0</v>
      </c>
      <c r="J327" s="1624">
        <v>0</v>
      </c>
      <c r="K327" s="1722">
        <f t="shared" si="24"/>
        <v>40487</v>
      </c>
      <c r="L327" s="1624">
        <v>45487</v>
      </c>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v>0</v>
      </c>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v>0</v>
      </c>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125507</v>
      </c>
      <c r="F330" s="1724">
        <f t="shared" si="25"/>
        <v>0</v>
      </c>
      <c r="G330" s="1724">
        <f t="shared" si="25"/>
        <v>0</v>
      </c>
      <c r="H330" s="1724">
        <f t="shared" si="25"/>
        <v>0</v>
      </c>
      <c r="I330" s="1724">
        <f t="shared" si="25"/>
        <v>0</v>
      </c>
      <c r="J330" s="1724">
        <f t="shared" si="25"/>
        <v>0</v>
      </c>
      <c r="K330" s="1724">
        <f>SUM(K319:K329)</f>
        <v>125507</v>
      </c>
      <c r="L330" s="1724">
        <f>SUM(L319:L329)</f>
        <v>136487</v>
      </c>
      <c r="M330" s="539"/>
      <c r="N330" s="539"/>
    </row>
    <row r="331" spans="1:14" s="548" customFormat="1" ht="12.75" customHeight="1" thickTop="1" x14ac:dyDescent="0.2">
      <c r="A331" s="1516" t="s">
        <v>1823</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1817</v>
      </c>
      <c r="C332" s="1764"/>
      <c r="D332" s="1764"/>
      <c r="E332" s="1764"/>
      <c r="F332" s="1764"/>
      <c r="G332" s="1764"/>
      <c r="H332" s="1624">
        <v>0</v>
      </c>
      <c r="I332" s="1764"/>
      <c r="J332" s="1764"/>
      <c r="K332" s="1722">
        <f>H332</f>
        <v>0</v>
      </c>
      <c r="L332" s="1624">
        <v>0</v>
      </c>
      <c r="M332" s="539"/>
      <c r="N332" s="539"/>
    </row>
    <row r="333" spans="1:14" s="548" customFormat="1" ht="12.75" customHeight="1" x14ac:dyDescent="0.2">
      <c r="A333" s="1517" t="s">
        <v>301</v>
      </c>
      <c r="B333" s="1512" t="s">
        <v>1819</v>
      </c>
      <c r="C333" s="1764"/>
      <c r="D333" s="1764"/>
      <c r="E333" s="1764"/>
      <c r="F333" s="1764"/>
      <c r="G333" s="1764"/>
      <c r="H333" s="1624">
        <v>0</v>
      </c>
      <c r="I333" s="1764"/>
      <c r="J333" s="1764"/>
      <c r="K333" s="1722">
        <f>H333</f>
        <v>0</v>
      </c>
      <c r="L333" s="1624">
        <v>0</v>
      </c>
      <c r="M333" s="539"/>
      <c r="N333" s="539"/>
    </row>
    <row r="334" spans="1:14" s="548" customFormat="1" ht="12.75" customHeight="1" thickBot="1" x14ac:dyDescent="0.25">
      <c r="A334" s="1517" t="s">
        <v>1824</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v>0</v>
      </c>
    </row>
    <row r="338" spans="1:14" ht="12.75" customHeight="1" x14ac:dyDescent="0.2">
      <c r="A338" s="1333" t="s">
        <v>1162</v>
      </c>
      <c r="B338" s="562" t="s">
        <v>613</v>
      </c>
      <c r="C338" s="1734"/>
      <c r="D338" s="1734"/>
      <c r="E338" s="1734"/>
      <c r="F338" s="1734"/>
      <c r="G338" s="1734"/>
      <c r="H338" s="1633">
        <v>0</v>
      </c>
      <c r="I338" s="1734"/>
      <c r="J338" s="1734"/>
      <c r="K338" s="1722">
        <f>H338</f>
        <v>0</v>
      </c>
      <c r="L338" s="1633">
        <v>0</v>
      </c>
    </row>
    <row r="339" spans="1:14" x14ac:dyDescent="0.2">
      <c r="A339" s="1319" t="s">
        <v>895</v>
      </c>
      <c r="B339" s="512">
        <v>5150</v>
      </c>
      <c r="C339" s="1734"/>
      <c r="D339" s="1734"/>
      <c r="E339" s="1734"/>
      <c r="F339" s="1734"/>
      <c r="G339" s="1734"/>
      <c r="H339" s="1624">
        <v>0</v>
      </c>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0</v>
      </c>
      <c r="D342" s="1724">
        <f>SUM(D330)</f>
        <v>0</v>
      </c>
      <c r="E342" s="1724">
        <f>SUM(E330)</f>
        <v>125507</v>
      </c>
      <c r="F342" s="1724">
        <f>SUM(F330)</f>
        <v>0</v>
      </c>
      <c r="G342" s="1724">
        <f>SUM(G330)</f>
        <v>0</v>
      </c>
      <c r="H342" s="1724">
        <f>SUM(H330,H334,H340)</f>
        <v>0</v>
      </c>
      <c r="I342" s="1724">
        <f>SUM(I330)</f>
        <v>0</v>
      </c>
      <c r="J342" s="1724">
        <f>SUM(J330)</f>
        <v>0</v>
      </c>
      <c r="K342" s="1724">
        <f>SUM(K330,K334,K340)</f>
        <v>125507</v>
      </c>
      <c r="L342" s="1731">
        <f>SUM(L330,L334,L340,L341)</f>
        <v>136487</v>
      </c>
    </row>
    <row r="343" spans="1:14" ht="12.75" customHeight="1" thickTop="1" x14ac:dyDescent="0.2">
      <c r="A343" s="2345" t="s">
        <v>989</v>
      </c>
      <c r="B343" s="2346"/>
      <c r="C343" s="1723"/>
      <c r="D343" s="1723"/>
      <c r="E343" s="1723"/>
      <c r="F343" s="1723"/>
      <c r="G343" s="1723"/>
      <c r="H343" s="1723"/>
      <c r="I343" s="1723"/>
      <c r="J343" s="1723"/>
      <c r="K343" s="1739">
        <f>'Revenues 9-14'!J268-'Expenditures 15-22'!K342</f>
        <v>15206</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5" t="s">
        <v>960</v>
      </c>
      <c r="B345" s="2336"/>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v>0</v>
      </c>
    </row>
    <row r="349" spans="1:14" x14ac:dyDescent="0.2">
      <c r="A349" s="1319" t="s">
        <v>195</v>
      </c>
      <c r="B349" s="503">
        <v>2540</v>
      </c>
      <c r="C349" s="1623">
        <v>0</v>
      </c>
      <c r="D349" s="1623">
        <v>0</v>
      </c>
      <c r="E349" s="1623">
        <v>0</v>
      </c>
      <c r="F349" s="1623">
        <v>0</v>
      </c>
      <c r="G349" s="1623">
        <v>0</v>
      </c>
      <c r="H349" s="1623">
        <v>0</v>
      </c>
      <c r="I349" s="1624">
        <v>0</v>
      </c>
      <c r="J349" s="1624">
        <v>0</v>
      </c>
      <c r="K349" s="1722">
        <f>SUM(C349:J349)</f>
        <v>0</v>
      </c>
      <c r="L349" s="1623">
        <v>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v>0</v>
      </c>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v>0</v>
      </c>
      <c r="I354" s="1766"/>
      <c r="J354" s="1723"/>
      <c r="K354" s="1763">
        <f>H354</f>
        <v>0</v>
      </c>
      <c r="L354" s="1627">
        <v>0</v>
      </c>
    </row>
    <row r="355" spans="1:14" ht="12.75" customHeight="1" x14ac:dyDescent="0.2">
      <c r="A355" s="1328" t="s">
        <v>1826</v>
      </c>
      <c r="B355" s="562" t="s">
        <v>1819</v>
      </c>
      <c r="C355" s="1723"/>
      <c r="D355" s="1723"/>
      <c r="E355" s="1723"/>
      <c r="F355" s="1723"/>
      <c r="G355" s="1723"/>
      <c r="H355" s="1624">
        <v>0</v>
      </c>
      <c r="I355" s="1766"/>
      <c r="J355" s="1723"/>
      <c r="K355" s="1657">
        <f>H355</f>
        <v>0</v>
      </c>
      <c r="L355" s="1624">
        <v>0</v>
      </c>
    </row>
    <row r="356" spans="1:14" ht="12.75" customHeight="1" x14ac:dyDescent="0.2">
      <c r="A356" s="1518" t="s">
        <v>693</v>
      </c>
      <c r="B356" s="557" t="s">
        <v>554</v>
      </c>
      <c r="C356" s="1723"/>
      <c r="D356" s="1723"/>
      <c r="E356" s="1723"/>
      <c r="F356" s="1723"/>
      <c r="G356" s="1723"/>
      <c r="H356" s="1634">
        <v>0</v>
      </c>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v>0</v>
      </c>
    </row>
    <row r="361" spans="1:14" ht="12.75" customHeight="1" x14ac:dyDescent="0.2">
      <c r="A361" s="1320" t="s">
        <v>615</v>
      </c>
      <c r="B361" s="494" t="s">
        <v>614</v>
      </c>
      <c r="C361" s="1723"/>
      <c r="D361" s="1723"/>
      <c r="E361" s="1723"/>
      <c r="F361" s="1723"/>
      <c r="G361" s="1723"/>
      <c r="H361" s="1624">
        <v>0</v>
      </c>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59" t="s">
        <v>989</v>
      </c>
      <c r="B368" s="2360"/>
      <c r="C368" s="1744"/>
      <c r="D368" s="1744"/>
      <c r="E368" s="1727"/>
      <c r="F368" s="1727"/>
      <c r="G368" s="1727"/>
      <c r="H368" s="1727"/>
      <c r="I368" s="1727"/>
      <c r="J368" s="1726"/>
      <c r="K368" s="1722">
        <f>'Revenues 9-14'!K268-'Expenditures 15-22'!K367</f>
        <v>4279</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4d435f69-8686-490b-bd6d-b153bf22ab50"/>
    <ds:schemaRef ds:uri="http://purl.org/dc/dcmitype/"/>
    <ds:schemaRef ds:uri="http://schemas.microsoft.com/office/2006/documentManagement/types"/>
    <ds:schemaRef ds:uri="http://www.w3.org/XML/1998/namespace"/>
    <ds:schemaRef ds:uri="http://schemas.microsoft.com/office/2006/metadata/properties"/>
    <ds:schemaRef ds:uri="6ce3111e-7420-4802-b50a-75d4e9a0b980"/>
    <ds:schemaRef ds:uri="http://purl.org/dc/terms/"/>
    <ds:schemaRef ds:uri="http://schemas.openxmlformats.org/package/2006/metadata/core-properties"/>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2020-09-30T21:27:36Z</cp:lastPrinted>
  <dcterms:created xsi:type="dcterms:W3CDTF">2003-10-29T19:06:34Z</dcterms:created>
  <dcterms:modified xsi:type="dcterms:W3CDTF">2020-10-15T15:06:26Z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