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21076DE-22A8-4C7B-A8EC-92C661CB754C}"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L16" i="186"/>
  <c r="I16" i="186"/>
  <c r="L26" i="186"/>
  <c r="L25" i="186"/>
  <c r="L24" i="186"/>
  <c r="L23" i="186"/>
  <c r="L22" i="186"/>
  <c r="L19" i="186"/>
  <c r="L18" i="186"/>
  <c r="L17" i="186"/>
  <c r="L15" i="186"/>
  <c r="L14" i="186"/>
  <c r="L13" i="186"/>
  <c r="L12" i="186"/>
  <c r="L20" i="186"/>
  <c r="I9" i="186"/>
  <c r="G9" i="186"/>
  <c r="F9" i="186"/>
  <c r="E9" i="186"/>
  <c r="J8" i="186"/>
  <c r="H8" i="186"/>
  <c r="I27" i="185"/>
  <c r="G27" i="185"/>
  <c r="F27" i="185"/>
  <c r="E27" i="185"/>
  <c r="M27" i="179"/>
  <c r="M11" i="185" s="1"/>
  <c r="M20" i="185" s="1"/>
  <c r="K27" i="179"/>
  <c r="K11" i="185" s="1"/>
  <c r="K20" i="185" s="1"/>
  <c r="J27" i="179"/>
  <c r="J11" i="185" s="1"/>
  <c r="J20" i="185" s="1"/>
  <c r="J27" i="186" s="1"/>
  <c r="I27" i="179"/>
  <c r="I11" i="185" s="1"/>
  <c r="I20" i="185" s="1"/>
  <c r="I27" i="186" s="1"/>
  <c r="H27" i="179"/>
  <c r="H11" i="185" s="1"/>
  <c r="H20" i="185" s="1"/>
  <c r="H27" i="186" s="1"/>
  <c r="G27" i="179"/>
  <c r="G11" i="185" s="1"/>
  <c r="F27" i="179"/>
  <c r="F11" i="185" s="1"/>
  <c r="F20" i="185" s="1"/>
  <c r="F27" i="186" s="1"/>
  <c r="D35" i="171" s="1"/>
  <c r="E27" i="179"/>
  <c r="E11" i="185" s="1"/>
  <c r="E20" i="185" s="1"/>
  <c r="E27" i="186" s="1"/>
  <c r="L16" i="179"/>
  <c r="L19" i="179"/>
  <c r="L26" i="185"/>
  <c r="L25" i="185"/>
  <c r="L24" i="185"/>
  <c r="L23" i="185"/>
  <c r="L22" i="185"/>
  <c r="L19" i="185"/>
  <c r="L18" i="185"/>
  <c r="L17" i="185"/>
  <c r="L16" i="185"/>
  <c r="L15" i="185"/>
  <c r="L14" i="185"/>
  <c r="L13" i="185"/>
  <c r="L12" i="185"/>
  <c r="I9" i="185"/>
  <c r="G9" i="185"/>
  <c r="F9" i="185"/>
  <c r="E9" i="185"/>
  <c r="J8" i="185"/>
  <c r="H8" i="185"/>
  <c r="L13" i="179"/>
  <c r="L14" i="179"/>
  <c r="L15" i="179"/>
  <c r="L11" i="185" l="1"/>
  <c r="G20" i="185"/>
  <c r="G27" i="186" s="1"/>
  <c r="L27" i="186" s="1"/>
  <c r="K27" i="186"/>
  <c r="L11" i="186"/>
  <c r="L27" i="185"/>
  <c r="C8" i="7"/>
  <c r="L20" i="185" l="1"/>
  <c r="C39"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8" i="179"/>
  <c r="L17"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1744" i="106"/>
  <c r="D1744" i="106" s="1"/>
  <c r="B1745" i="106"/>
  <c r="D1745" i="106" s="1"/>
  <c r="B6" i="7"/>
  <c r="D6" i="7" s="1"/>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22" i="37"/>
  <c r="D24" i="37"/>
  <c r="B4270" i="106" s="1"/>
  <c r="D4270" i="106" s="1"/>
  <c r="F50" i="34" l="1"/>
  <c r="F42" i="34"/>
  <c r="H28" i="118"/>
  <c r="H365" i="29"/>
  <c r="B7242" i="106" s="1"/>
  <c r="D7242" i="106" s="1"/>
  <c r="J129" i="29"/>
  <c r="B7038" i="106" s="1"/>
  <c r="D7038" i="106" s="1"/>
  <c r="G30" i="108"/>
  <c r="I210" i="29"/>
  <c r="B7071" i="106" s="1"/>
  <c r="D7071" i="106" s="1"/>
  <c r="I129" i="29"/>
  <c r="B7037" i="106" s="1"/>
  <c r="D7037" i="106" s="1"/>
  <c r="H76" i="4"/>
  <c r="B3298" i="106" s="1"/>
  <c r="D3298" i="106" s="1"/>
  <c r="H342" i="29"/>
  <c r="B7221" i="106" s="1"/>
  <c r="D7221" i="106" s="1"/>
  <c r="B7162" i="106"/>
  <c r="D7162" i="106" s="1"/>
  <c r="E61" i="184"/>
  <c r="N61" i="184" s="1"/>
  <c r="B7126" i="106"/>
  <c r="D7126" i="106" s="1"/>
  <c r="E57" i="184"/>
  <c r="C342" i="29"/>
  <c r="B7216" i="106" s="1"/>
  <c r="D7216" i="106" s="1"/>
  <c r="B7705" i="106"/>
  <c r="D7705" i="106" s="1"/>
  <c r="E67" i="184"/>
  <c r="N67" i="184" s="1"/>
  <c r="B7180" i="106"/>
  <c r="D7180" i="106" s="1"/>
  <c r="E63" i="184"/>
  <c r="N63" i="184" s="1"/>
  <c r="J210" i="29"/>
  <c r="B7072" i="106" s="1"/>
  <c r="D7072" i="106" s="1"/>
  <c r="B7696" i="106"/>
  <c r="D7696" i="106" s="1"/>
  <c r="E66" i="184"/>
  <c r="N66" i="184" s="1"/>
  <c r="B7171" i="106"/>
  <c r="D7171" i="106" s="1"/>
  <c r="E62" i="184"/>
  <c r="N62" i="184" s="1"/>
  <c r="B7135" i="106"/>
  <c r="D7135" i="106" s="1"/>
  <c r="E58" i="184"/>
  <c r="N58" i="184" s="1"/>
  <c r="D31" i="108"/>
  <c r="E16" i="184"/>
  <c r="H16" i="184" s="1"/>
  <c r="B7198" i="106"/>
  <c r="D7198" i="106" s="1"/>
  <c r="E65" i="184"/>
  <c r="N65" i="184" s="1"/>
  <c r="F34" i="34"/>
  <c r="B7826" i="106" s="1"/>
  <c r="D7826" i="106" s="1"/>
  <c r="B7189" i="106"/>
  <c r="D7189" i="106" s="1"/>
  <c r="E64" i="184"/>
  <c r="N64" i="184" s="1"/>
  <c r="B7153" i="106"/>
  <c r="D7153" i="106" s="1"/>
  <c r="E60" i="184"/>
  <c r="N60" i="184" s="1"/>
  <c r="C352" i="29"/>
  <c r="F77" i="4"/>
  <c r="B3255" i="106" s="1"/>
  <c r="D3255" i="106" s="1"/>
  <c r="G14" i="4"/>
  <c r="B2609" i="106" s="1"/>
  <c r="D2609" i="106" s="1"/>
  <c r="F72" i="34"/>
  <c r="G33" i="108"/>
  <c r="E17" i="184"/>
  <c r="H17" i="184" s="1"/>
  <c r="B2724" i="106"/>
  <c r="D2724" i="106" s="1"/>
  <c r="H12"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65" i="29" l="1"/>
  <c r="B5770" i="106"/>
  <c r="D5770" i="106" s="1"/>
  <c r="H151" i="29"/>
  <c r="B1273" i="106" s="1"/>
  <c r="D1273" i="106" s="1"/>
  <c r="H77" i="4"/>
  <c r="B3299" i="106" s="1"/>
  <c r="D3299" i="106" s="1"/>
  <c r="B5527" i="106"/>
  <c r="D5527" i="106" s="1"/>
  <c r="K342" i="29"/>
  <c r="F13" i="34" s="1"/>
  <c r="N57" i="184"/>
  <c r="N68" i="184" s="1"/>
  <c r="E68" i="184"/>
  <c r="B7220" i="106"/>
  <c r="D7220" i="106" s="1"/>
  <c r="F75" i="34"/>
  <c r="B7886" i="106" s="1"/>
  <c r="D7886" i="106" s="1"/>
  <c r="B7222" i="106"/>
  <c r="D7222" i="106" s="1"/>
  <c r="F76" i="34"/>
  <c r="B7887" i="106" s="1"/>
  <c r="D7887" i="106" s="1"/>
  <c r="E367" i="29"/>
  <c r="B3636" i="106" s="1"/>
  <c r="D3636" i="106" s="1"/>
  <c r="B3635" i="106"/>
  <c r="L114" i="29"/>
  <c r="L16" i="11"/>
  <c r="B2061" i="106" s="1"/>
  <c r="D2061" i="106" s="1"/>
  <c r="B2031" i="106"/>
  <c r="D2031" i="106" s="1"/>
  <c r="F41" i="108"/>
  <c r="G43" i="108" s="1"/>
  <c r="B1381" i="106"/>
  <c r="D1381" i="106" s="1"/>
  <c r="H19" i="184"/>
  <c r="L20" i="184" s="1"/>
  <c r="E19" i="184"/>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0" i="4" l="1"/>
  <c r="B6225" i="106" s="1"/>
  <c r="D6225" i="106" s="1"/>
  <c r="K17" i="4"/>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<sst xmlns="http://schemas.openxmlformats.org/spreadsheetml/2006/main" count="5395" uniqueCount="2153">
  <si>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</si>
  <si>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</si>
  <si>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</si>
  <si>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</si>
  <si>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</si>
  <si>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</si>
  <si>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</si>
  <si>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</si>
  <si>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</si>
  <si>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</si>
  <si>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</si>
  <si>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</si>
  <si>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</si>
  <si>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</si>
  <si>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</si>
  <si>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</si>
  <si>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</si>
  <si>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</si>
  <si>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</si>
  <si>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</si>
  <si>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</si>
  <si>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</si>
  <si>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</si>
  <si>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</si>
  <si>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</si>
  <si>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</si>
  <si>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</si>
  <si>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</si>
  <si>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</si>
  <si>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</si>
  <si>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</si>
  <si>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</si>
  <si>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</si>
  <si>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</si>
  <si>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</si>
  <si>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</si>
  <si>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</si>
  <si>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</si>
  <si>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</si>
  <si>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</si>
  <si>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</si>
  <si>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</si>
  <si>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</si>
  <si>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</si>
  <si>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</si>
  <si>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</si>
  <si>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</si>
  <si>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</si>
  <si>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</si>
  <si>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</si>
  <si>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</si>
  <si>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</si>
  <si>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</si>
  <si>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</si>
  <si>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</si>
  <si>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</si>
  <si>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</si>
  <si>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</si>
  <si>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</si>
  <si>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</si>
  <si>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</si>
  <si>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</si>
  <si>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</si>
  <si>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</si>
  <si>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</si>
  <si>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</si>
  <si>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</si>
  <si>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</si>
  <si>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</si>
  <si>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</si>
  <si>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</si>
  <si>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</si>
  <si>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</si>
  <si>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</si>
  <si>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</si>
  <si>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</si>
  <si>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</si>
  <si>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</si>
  <si>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</si>
  <si>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</si>
  <si>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</si>
  <si>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</si>
  <si>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</si>
  <si>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</si>
  <si>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</si>
  <si>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</si>
  <si>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</si>
  <si>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</si>
  <si>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</si>
  <si>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</si>
  <si>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</si>
  <si>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</si>
  <si>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</si>
  <si>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</si>
  <si>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</si>
  <si>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</si>
  <si>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</si>
  <si>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</si>
  <si>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</si>
  <si>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</si>
  <si>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</si>
  <si>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</si>
  <si>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</si>
  <si>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</si>
  <si>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</si>
  <si>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</si>
  <si>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</si>
  <si>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</si>
  <si>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</si>
  <si>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</si>
  <si>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</si>
  <si>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</si>
  <si>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</si>
  <si>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</si>
  <si>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</si>
  <si>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</si>
  <si>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</si>
  <si>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</si>
  <si>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</si>
  <si>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</si>
  <si>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</si>
  <si>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</si>
  <si>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</si>
  <si>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</si>
  <si>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</si>
  <si>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</si>
  <si>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</si>
  <si>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</si>
  <si>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</si>
  <si>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</si>
  <si>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</si>
  <si>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</si>
  <si>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</si>
  <si>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</si>
  <si>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</si>
  <si>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</si>
  <si>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</si>
  <si>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</si>
  <si>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</si>
  <si>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</si>
  <si>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</si>
  <si>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</si>
  <si>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</si>
  <si>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</si>
  <si>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</si>
  <si>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</si>
  <si>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</si>
  <si>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</si>
  <si>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</si>
  <si>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</si>
  <si>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</si>
  <si>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</si>
  <si>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</si>
  <si>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</si>
  <si>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</si>
  <si>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</si>
  <si>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</si>
  <si>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</si>
  <si>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</si>
  <si>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</si>
  <si>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</si>
  <si>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</si>
  <si>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</si>
  <si>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</si>
  <si>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</si>
  <si>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</si>
  <si>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</si>
  <si>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</si>
  <si>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</si>
  <si>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</si>
  <si>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</si>
  <si>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</si>
  <si>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</si>
  <si>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</si>
  <si>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</si>
  <si>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</si>
  <si>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</si>
  <si>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</si>
  <si>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</si>
  <si>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</si>
  <si>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</si>
  <si>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</si>
  <si>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</si>
  <si>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</si>
  <si>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</si>
  <si>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</si>
  <si>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</si>
  <si>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</si>
  <si>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</si>
  <si>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</si>
  <si>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</si>
  <si>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</si>
  <si>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</si>
  <si>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</si>
  <si>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</si>
  <si>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</si>
  <si>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</si>
  <si>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</si>
  <si>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</si>
  <si>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</si>
  <si>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</si>
  <si>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</si>
  <si>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</si>
  <si>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</si>
  <si>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</si>
  <si>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</si>
  <si>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</si>
  <si>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</si>
  <si>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</si>
  <si>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</si>
  <si>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</si>
  <si>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</si>
  <si>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</si>
  <si>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</si>
  <si>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</si>
  <si>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</si>
  <si>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</si>
  <si>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</si>
  <si>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</si>
  <si>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</si>
  <si>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</si>
  <si>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</si>
  <si>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</si>
  <si>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</si>
  <si>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</si>
  <si>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</si>
  <si>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</si>
  <si>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</si>
  <si>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</si>
  <si>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</si>
  <si>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</si>
  <si>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</si>
  <si>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</si>
  <si>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</si>
  <si>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</si>
  <si>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</si>
  <si>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</si>
  <si>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</si>
  <si>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</si>
  <si>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</si>
  <si>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</si>
  <si>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</si>
  <si>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</si>
  <si>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</si>
  <si>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</si>
  <si>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</si>
  <si>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</si>
  <si>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</si>
  <si>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</si>
  <si>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</si>
  <si>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</si>
  <si>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</si>
  <si>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</si>
  <si>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</si>
  <si>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</si>
  <si>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</si>
  <si>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</si>
  <si>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</si>
  <si>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</si>
  <si>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</si>
  <si>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</si>
  <si>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</si>
  <si>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</si>
  <si>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</si>
  <si>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</si>
  <si>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</si>
  <si>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</si>
  <si>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</si>
  <si>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</si>
  <si>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</si>
  <si>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</si>
  <si>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</si>
  <si>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</si>
  <si>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</si>
  <si>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</si>
  <si>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</si>
  <si>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</si>
  <si>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</si>
  <si>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</si>
  <si>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</si>
  <si>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</si>
  <si>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</si>
  <si>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</si>
  <si>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</si>
  <si>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</si>
  <si>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</si>
  <si>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</si>
  <si>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</si>
  <si>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</si>
  <si>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</si>
  <si>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</si>
  <si>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</si>
  <si>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</si>
  <si>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</si>
  <si>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</si>
  <si>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</si>
  <si>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</si>
  <si>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</si>
  <si>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</si>
  <si>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</si>
  <si>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</si>
  <si>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</si>
  <si>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</si>
  <si>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</si>
  <si>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</si>
  <si>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</si>
  <si>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</si>
  <si>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</si>
  <si>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</si>
  <si>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</si>
  <si>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</si>
  <si>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</si>
  <si>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</si>
  <si>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</si>
  <si>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</si>
  <si>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</si>
  <si>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</si>
  <si>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</si>
  <si>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</si>
  <si>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</si>
  <si>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</si>
  <si>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</si>
  <si>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</si>
  <si>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</si>
  <si>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</si>
  <si>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</si>
  <si>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</si>
  <si>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</si>
  <si>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</si>
  <si>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</si>
  <si>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</si>
  <si>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</si>
  <si>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</si>
  <si>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</si>
  <si>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</si>
  <si>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</si>
  <si>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</si>
  <si>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</si>
  <si>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</si>
  <si>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</si>
  <si>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</si>
  <si>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</si>
  <si>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</si>
  <si>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</si>
  <si>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</si>
  <si>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</si>
  <si>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</si>
  <si>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</si>
  <si>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</si>
  <si>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</si>
  <si>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</si>
  <si>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</si>
  <si>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</si>
  <si>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</si>
  <si>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</si>
  <si>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</si>
  <si>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</si>
  <si>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</si>
  <si>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</si>
  <si>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</si>
  <si>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</si>
  <si>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</si>
  <si>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</si>
  <si>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</si>
  <si>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</si>
  <si>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</si>
  <si>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</si>
  <si>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</si>
  <si>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</si>
  <si>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</si>
  <si>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</si>
  <si>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</si>
  <si>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</si>
  <si>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</si>
  <si>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</si>
  <si>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</si>
  <si>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</si>
  <si>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</si>
  <si>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</si>
  <si>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</si>
  <si>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</si>
  <si>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</si>
  <si>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</si>
  <si>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</si>
  <si>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</si>
  <si>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</si>
  <si>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</si>
  <si>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</si>
  <si>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</si>
  <si>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</si>
  <si>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</si>
  <si>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</si>
  <si>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</si>
  <si>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</si>
  <si>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</si>
  <si>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</si>
  <si>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</si>
  <si>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</si>
  <si>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</si>
  <si>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</si>
  <si>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</si>
  <si>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</si>
  <si>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</si>
  <si>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</si>
  <si>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</si>
  <si>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</si>
  <si>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</si>
  <si>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</si>
  <si>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</si>
  <si>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</si>
  <si>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</si>
  <si>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</si>
  <si>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</si>
  <si>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</si>
  <si>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</si>
  <si>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</si>
  <si>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</si>
  <si>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</si>
  <si>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</si>
  <si>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</si>
  <si>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</si>
  <si>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</si>
  <si>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</si>
  <si>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</si>
  <si>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</si>
  <si>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</si>
  <si>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</si>
  <si>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</si>
  <si>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</si>
  <si>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</si>
  <si>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</si>
  <si>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</si>
  <si>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</si>
  <si>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</si>
  <si>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</si>
  <si>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</si>
  <si>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</si>
  <si>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</si>
  <si>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</si>
  <si>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</si>
  <si>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</si>
  <si>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</si>
  <si>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</si>
  <si>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</si>
  <si>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</si>
  <si>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</si>
  <si>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</si>
  <si>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</si>
  <si>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</si>
  <si>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</si>
  <si>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</si>
  <si>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</si>
  <si>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</si>
  <si>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</si>
  <si>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</si>
  <si>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</si>
  <si>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</si>
  <si>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</si>
  <si>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</si>
  <si>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</si>
  <si>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</si>
  <si>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</si>
  <si>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</si>
  <si>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</si>
  <si>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</si>
  <si>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</si>
  <si>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</si>
  <si>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</si>
  <si>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</si>
  <si>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</si>
  <si>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</si>
  <si>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</si>
  <si>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</si>
  <si>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</si>
  <si>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</si>
  <si>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</si>
  <si>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</si>
  <si>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</si>
  <si>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</si>
  <si>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</si>
  <si>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</si>
  <si>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</si>
  <si>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</si>
  <si>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</si>
  <si>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</si>
  <si>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</si>
  <si>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</si>
  <si>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</si>
  <si>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</si>
  <si>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</si>
  <si>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</si>
  <si>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</si>
  <si>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</si>
  <si>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</si>
  <si>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</si>
  <si>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</si>
  <si>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</si>
  <si>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</si>
  <si>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</si>
  <si>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</si>
  <si>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</si>
  <si>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</si>
  <si>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</si>
  <si>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</si>
  <si>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</si>
  <si>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</si>
  <si>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</si>
  <si>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</si>
  <si>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</si>
  <si>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</si>
  <si>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</si>
  <si>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</si>
  <si>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</si>
  <si>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</si>
  <si>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</si>
  <si>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</si>
  <si>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</si>
  <si>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</si>
  <si>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</si>
  <si>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</si>
  <si>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</si>
  <si>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</si>
  <si>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</si>
  <si>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</si>
  <si>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</si>
  <si>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</si>
  <si>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</si>
  <si>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</si>
  <si>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</si>
  <si>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</si>
  <si>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</si>
  <si>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</si>
  <si>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</si>
  <si>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</si>
  <si>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</si>
  <si>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</si>
  <si>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</si>
  <si>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</si>
  <si>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</si>
  <si>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</si>
  <si>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</si>
  <si>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</si>
  <si>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</si>
  <si>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</si>
  <si>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</si>
  <si>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</si>
  <si>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</si>
  <si>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</si>
  <si>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</si>
  <si>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</si>
  <si>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</si>
  <si>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</si>
  <si>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</si>
  <si>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</si>
  <si>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</si>
  <si>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</si>
  <si>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</si>
  <si>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</si>
  <si>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</si>
  <si>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</si>
  <si>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</si>
  <si>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</si>
  <si>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</si>
  <si>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</si>
  <si>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</si>
  <si>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</si>
  <si>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</si>
  <si>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</si>
  <si>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</si>
  <si>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</si>
  <si>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</si>
  <si>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</si>
  <si>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</si>
  <si>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</si>
  <si>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</si>
  <si>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</si>
  <si>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</si>
  <si>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</si>
  <si>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</si>
  <si>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</si>
  <si>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</si>
  <si>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</si>
  <si>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</si>
  <si>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</si>
  <si>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</si>
  <si>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</si>
  <si>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</si>
  <si>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</si>
  <si>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</si>
  <si>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</si>
  <si>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</si>
  <si>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</si>
  <si>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</si>
  <si>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</si>
  <si>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</si>
  <si>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</si>
  <si>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</si>
  <si>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</si>
  <si>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</si>
  <si>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</si>
  <si>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</si>
  <si>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</si>
  <si>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</si>
  <si>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</si>
  <si>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</si>
  <si>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</si>
  <si>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</si>
  <si>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</si>
  <si>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</si>
  <si>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</si>
  <si>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</si>
  <si>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</si>
  <si>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</si>
  <si>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</si>
  <si>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</si>
  <si>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</si>
  <si>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</si>
  <si>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</si>
  <si>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</si>
  <si>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</si>
  <si>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</si>
  <si>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</si>
  <si>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</si>
  <si>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</si>
  <si>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</si>
  <si>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</si>
  <si>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</si>
  <si>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</si>
  <si>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</si>
  <si>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</si>
  <si>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</si>
  <si>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</si>
  <si>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</si>
  <si>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</si>
  <si>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</si>
  <si>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</si>
  <si>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</si>
  <si>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</si>
  <si>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</si>
  <si>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</si>
  <si>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</si>
  <si>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</si>
  <si>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</si>
  <si>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</si>
  <si>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</si>
  <si>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</si>
  <si>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</si>
  <si>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</si>
  <si>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</si>
  <si>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</si>
  <si>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</si>
  <si>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</si>
  <si>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</si>
  <si>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</si>
  <si>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</si>
  <si>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</si>
  <si>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</si>
  <si>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</si>
  <si>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</si>
  <si>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</si>
  <si>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</si>
  <si>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</si>
  <si>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</si>
  <si>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</si>
  <si>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</si>
  <si>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</si>
  <si>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</si>
  <si>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</si>
  <si>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</si>
  <si>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</si>
  <si>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</si>
  <si>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</si>
  <si>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</si>
  <si>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</si>
  <si>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</si>
  <si>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</si>
  <si>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</si>
  <si>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</si>
  <si>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</si>
  <si>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</si>
  <si>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</si>
  <si>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</si>
  <si>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</si>
  <si>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</si>
  <si>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</si>
  <si>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</si>
  <si>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</si>
  <si>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</si>
  <si>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</si>
  <si>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</si>
  <si>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</si>
  <si>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</si>
  <si>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</si>
  <si>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</si>
  <si>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</si>
  <si>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</si>
  <si>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</si>
  <si>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</si>
  <si>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</si>
  <si>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</si>
  <si>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</si>
  <si>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</si>
  <si>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</si>
  <si>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</si>
  <si>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</si>
  <si>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</si>
  <si>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</si>
  <si>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</si>
  <si>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</si>
  <si>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</si>
  <si>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</si>
  <si>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</si>
  <si>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</si>
  <si>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</si>
  <si>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</si>
  <si>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</si>
  <si>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</si>
  <si>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</si>
  <si>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</si>
  <si>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</si>
  <si>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</si>
  <si>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</si>
  <si>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</si>
  <si>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</si>
  <si>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</si>
  <si>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</si>
  <si>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</si>
  <si>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</si>
  <si>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</si>
  <si>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</si>
  <si>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</si>
  <si>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</si>
  <si>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</si>
  <si>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</si>
  <si>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</si>
  <si>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</si>
  <si>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</si>
  <si>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</si>
  <si>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</si>
  <si>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</si>
  <si>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</si>
  <si>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</si>
  <si>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</si>
  <si>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</si>
  <si>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</si>
  <si>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</si>
  <si>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</si>
  <si>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</si>
  <si>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</si>
  <si>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</si>
  <si>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</si>
  <si>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</si>
  <si>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</si>
  <si>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</si>
  <si>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</si>
  <si>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</si>
  <si>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</si>
  <si>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</si>
  <si>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</si>
  <si>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</si>
  <si>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</si>
  <si>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</si>
  <si>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</si>
  <si>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</si>
  <si>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</si>
  <si>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</si>
  <si>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</si>
  <si>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</si>
  <si>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</si>
  <si>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</si>
  <si>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</si>
  <si>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</si>
  <si>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</si>
  <si>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</si>
  <si>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</si>
  <si>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</si>
  <si>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</si>
  <si>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</si>
  <si>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</si>
  <si>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</si>
  <si>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</si>
  <si>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</si>
  <si>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</si>
  <si>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</si>
  <si>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</si>
  <si>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</si>
  <si>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</si>
  <si>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</si>
  <si>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</si>
  <si>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</si>
  <si>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</si>
  <si>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</si>
  <si>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</si>
  <si>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</si>
  <si>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</si>
  <si>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</si>
  <si>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</si>
  <si>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</si>
  <si>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</si>
  <si>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</si>
  <si>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</si>
  <si>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</si>
  <si>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</si>
  <si>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</si>
  <si>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</si>
  <si>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</si>
  <si>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</si>
  <si>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</si>
  <si>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</si>
  <si>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</si>
  <si>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</si>
  <si>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</si>
  <si>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</si>
  <si>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</si>
  <si>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</si>
  <si>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</si>
  <si>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</si>
  <si>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</si>
  <si>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</si>
  <si>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</si>
  <si>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</si>
  <si>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</si>
  <si>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</si>
  <si>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</si>
  <si>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</si>
  <si>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</si>
  <si>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</si>
  <si>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</si>
  <si>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</si>
  <si>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</si>
  <si>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</si>
  <si>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</si>
  <si>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</si>
  <si>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</si>
  <si>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</si>
  <si>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</si>
  <si>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</si>
  <si>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</si>
  <si>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</si>
  <si>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</si>
  <si>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</si>
  <si>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</si>
  <si>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</si>
  <si>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</si>
  <si>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</si>
  <si>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</si>
  <si>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</si>
  <si>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</si>
  <si>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</si>
  <si>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</si>
  <si>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</si>
  <si>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</si>
  <si>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</si>
  <si>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</si>
  <si>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</si>
  <si>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</si>
  <si>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</si>
  <si>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</si>
  <si>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</si>
  <si>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</si>
  <si>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</si>
  <si>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</si>
  <si>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</si>
  <si>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</si>
  <si>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</si>
  <si>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</si>
  <si>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</si>
  <si>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</si>
  <si>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</si>
  <si>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</si>
  <si>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</si>
  <si>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</si>
  <si>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</si>
  <si>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</si>
  <si>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</si>
  <si>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</si>
  <si>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</si>
  <si>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</si>
  <si>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</si>
  <si>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</si>
  <si>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</si>
  <si>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</si>
  <si>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</si>
  <si>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</si>
  <si>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</si>
  <si>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</si>
  <si>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</si>
  <si>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</si>
  <si>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</si>
  <si>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</si>
  <si>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</si>
  <si>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</si>
  <si>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</si>
  <si>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</si>
  <si>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</si>
  <si>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</si>
  <si>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</si>
  <si>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</si>
  <si>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</si>
  <si>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</si>
  <si>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</si>
  <si>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</si>
  <si>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</si>
  <si>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</si>
  <si>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</si>
  <si>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</si>
  <si>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</si>
  <si>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</si>
  <si>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</si>
  <si>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</si>
  <si>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</si>
  <si>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</si>
  <si>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</si>
  <si>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</si>
  <si>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</si>
  <si>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</si>
  <si>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</si>
  <si>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</si>
  <si>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</si>
  <si>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</si>
  <si>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</si>
  <si>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</si>
  <si>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</si>
  <si>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</si>
  <si>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</si>
  <si>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</si>
  <si>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</si>
  <si>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</si>
  <si>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</si>
  <si>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</si>
  <si>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</si>
  <si>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</si>
  <si>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</si>
  <si>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</si>
  <si>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</si>
  <si>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</si>
  <si>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</si>
  <si>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</si>
  <si>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</si>
  <si>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</si>
  <si>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</si>
  <si>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</si>
  <si>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</si>
  <si>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</si>
  <si>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</si>
  <si>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</si>
  <si>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</si>
  <si>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</si>
  <si>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</si>
  <si>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</si>
  <si>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</si>
  <si>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</si>
  <si>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</si>
  <si>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</si>
  <si>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</si>
  <si>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</si>
  <si>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</si>
  <si>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</si>
  <si>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</si>
  <si>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</si>
  <si>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</si>
  <si>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</si>
  <si>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</si>
  <si>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</si>
  <si>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</si>
  <si>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</si>
  <si>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</si>
  <si>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</si>
  <si>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</si>
  <si>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</si>
  <si>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</si>
  <si>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</si>
  <si>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</si>
  <si>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</si>
  <si>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</si>
  <si>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</si>
  <si>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</si>
  <si>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</si>
  <si>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</si>
  <si>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</si>
  <si>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</si>
  <si>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</si>
  <si>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</si>
  <si>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</si>
  <si>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</si>
  <si>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</si>
  <si>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</si>
  <si>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</si>
  <si>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</si>
  <si>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</si>
  <si>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</si>
  <si>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</si>
  <si>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</si>
  <si>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</si>
  <si>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</si>
  <si>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</si>
  <si>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</si>
  <si>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</si>
  <si>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</si>
  <si>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</si>
  <si>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</si>
  <si>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</si>
  <si>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</si>
  <si>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</si>
  <si>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</si>
  <si>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</si>
  <si>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</si>
  <si>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</si>
  <si>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</si>
  <si>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</si>
  <si>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</si>
  <si>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</si>
  <si>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</si>
  <si>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</si>
  <si>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</si>
  <si>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</si>
  <si>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</si>
  <si>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</si>
  <si>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</si>
  <si>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</si>
  <si>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</si>
  <si>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</si>
  <si>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</si>
  <si>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</si>
  <si>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</si>
  <si>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</si>
  <si>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</si>
  <si>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</si>
  <si>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</si>
  <si>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</si>
  <si>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</si>
  <si>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</si>
  <si>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</si>
  <si>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</si>
  <si>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</si>
  <si>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</si>
  <si>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</si>
  <si>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</si>
  <si>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</si>
  <si>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</si>
  <si>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</si>
  <si>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</si>
  <si>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</si>
  <si>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</si>
  <si>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</si>
  <si>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</si>
  <si>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</si>
  <si>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</si>
  <si>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</si>
  <si>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</si>
  <si>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</si>
  <si>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</si>
  <si>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</si>
  <si>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</si>
  <si>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</si>
  <si>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</si>
  <si>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</si>
  <si>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</si>
  <si>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</si>
  <si>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</si>
  <si>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</si>
  <si>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</si>
  <si>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</si>
  <si>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</si>
  <si>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</si>
  <si>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</si>
  <si>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</si>
  <si>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</si>
  <si>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</si>
  <si>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</si>
  <si>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</si>
  <si>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</si>
  <si>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</si>
  <si>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</si>
  <si>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</si>
  <si>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</si>
  <si>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</si>
  <si>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</si>
  <si>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</si>
  <si>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</si>
  <si>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</si>
  <si>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</si>
  <si>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</si>
  <si>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</si>
  <si>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</si>
  <si>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</si>
  <si>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</si>
  <si>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</si>
  <si>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</si>
  <si>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</si>
  <si>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</si>
  <si>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</si>
  <si>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</si>
  <si>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</si>
  <si>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</si>
  <si>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</si>
  <si>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</si>
  <si>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</si>
  <si>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</si>
  <si>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</si>
  <si>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</si>
  <si>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</si>
  <si>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</si>
  <si>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</si>
  <si>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</si>
  <si>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</si>
  <si>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</si>
  <si>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</si>
  <si>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</si>
  <si>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</si>
  <si>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</si>
  <si>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</si>
  <si>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</si>
  <si>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</si>
  <si>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</si>
  <si>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</si>
  <si>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</si>
  <si>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</si>
  <si>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</si>
  <si>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</si>
  <si>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</si>
  <si>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</si>
  <si>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</si>
  <si>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</si>
  <si>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</si>
  <si>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</si>
  <si>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</si>
  <si>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</si>
  <si>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</si>
  <si>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</si>
  <si>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</si>
  <si>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</si>
  <si>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</si>
  <si>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</si>
  <si>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</si>
  <si>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</si>
  <si>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</si>
  <si>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</si>
  <si>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</si>
  <si>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</si>
  <si>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</si>
  <si>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</si>
  <si>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</si>
  <si>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</si>
  <si>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</si>
  <si>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</si>
  <si>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</si>
  <si>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</si>
  <si>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</si>
  <si>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</si>
  <si>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</si>
  <si>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</si>
  <si>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</si>
  <si>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</si>
  <si>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</si>
  <si>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</si>
  <si>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</si>
  <si>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</si>
  <si>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</si>
  <si>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</si>
  <si>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</si>
  <si>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</si>
  <si>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</si>
  <si>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</si>
  <si>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</si>
  <si>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</si>
  <si>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</si>
  <si>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</si>
  <si>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</si>
  <si>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</si>
  <si>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</si>
  <si>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</si>
  <si>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</si>
  <si>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</si>
  <si>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</si>
  <si>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</si>
  <si>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</si>
  <si>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</si>
  <si>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</si>
  <si>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</si>
  <si>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</si>
  <si>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</si>
  <si>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</si>
  <si>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</si>
  <si>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</si>
  <si>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</si>
  <si>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</si>
  <si>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</si>
  <si>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</si>
  <si>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</si>
  <si>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</si>
  <si>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</si>
  <si>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</si>
  <si>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</si>
  <si>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</si>
  <si>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</si>
  <si>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</si>
  <si>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</si>
  <si>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</si>
  <si>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</si>
  <si>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</si>
  <si>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</si>
  <si>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</si>
  <si>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</si>
  <si>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</si>
  <si>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</si>
  <si>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</si>
  <si>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</si>
  <si>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</si>
  <si>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</si>
  <si>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</si>
  <si>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</si>
  <si>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</si>
  <si>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</si>
  <si>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</si>
  <si>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</si>
  <si>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</si>
  <si>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</si>
  <si>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</si>
  <si>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</si>
  <si>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</si>
  <si>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</si>
  <si>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</si>
  <si>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</si>
  <si>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</si>
  <si>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</si>
  <si>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</si>
  <si>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</si>
  <si>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</si>
  <si>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</si>
  <si>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</si>
  <si>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</si>
  <si>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</si>
  <si>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</si>
  <si>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</si>
  <si>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</si>
  <si>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</si>
  <si>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</si>
  <si>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</si>
  <si>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</si>
  <si>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</si>
  <si>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</si>
  <si>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</si>
  <si>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</si>
  <si>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</si>
  <si>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</si>
  <si>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</si>
  <si>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</si>
  <si>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</si>
  <si>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</si>
  <si>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</si>
  <si>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</si>
  <si>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</si>
  <si>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</si>
  <si>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</si>
  <si>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</si>
  <si>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</si>
  <si>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</si>
  <si>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</si>
  <si>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</si>
  <si>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</si>
  <si>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</si>
  <si>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</si>
  <si>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</si>
  <si>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</si>
  <si>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</si>
  <si>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</si>
  <si>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</si>
  <si>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</si>
  <si>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</si>
  <si>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</si>
  <si>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</si>
  <si>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</si>
  <si>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</si>
  <si>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</si>
  <si>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</si>
  <si>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</si>
  <si>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</si>
  <si>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</si>
  <si>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</si>
  <si>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</si>
  <si>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</si>
  <si>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</si>
  <si>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</si>
  <si>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</si>
  <si>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</si>
  <si>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</si>
  <si>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</si>
  <si>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</si>
  <si>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</si>
  <si>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</si>
  <si>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</si>
  <si>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</si>
  <si>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</si>
  <si>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</si>
  <si>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</si>
  <si>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</si>
  <si>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</si>
  <si>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</si>
  <si>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</si>
  <si>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</si>
  <si>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</si>
  <si>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</si>
  <si>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</si>
  <si>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</si>
  <si>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</si>
  <si>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</si>
  <si>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</si>
  <si>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</si>
  <si>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</si>
  <si>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</si>
  <si>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</si>
  <si>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</si>
  <si>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</si>
  <si>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</si>
  <si>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</si>
  <si>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</si>
  <si>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</si>
  <si>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</si>
  <si>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</si>
  <si>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</si>
  <si>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</si>
  <si>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</si>
  <si>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</si>
  <si>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</si>
  <si>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</si>
  <si>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</si>
  <si>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</si>
  <si>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</si>
  <si>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</si>
  <si>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</si>
  <si>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</si>
  <si>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</si>
  <si>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</si>
  <si>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</si>
  <si>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</si>
  <si>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</si>
  <si>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</si>
  <si>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</si>
  <si>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</si>
  <si>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</si>
  <si>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</si>
  <si>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</si>
  <si>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</si>
  <si>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</si>
  <si>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</si>
  <si>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</si>
  <si>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</si>
  <si>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</si>
  <si>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</si>
  <si>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</si>
  <si>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</si>
  <si>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</si>
  <si>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</si>
  <si>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</si>
  <si>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</si>
  <si>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</si>
  <si>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</si>
  <si>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</si>
  <si>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</si>
  <si>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</si>
  <si>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</si>
  <si>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</si>
  <si>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</si>
  <si>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</si>
  <si>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</si>
  <si>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</si>
  <si>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</si>
  <si>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</si>
  <si>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</si>
  <si>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</si>
  <si>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</si>
  <si>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</si>
  <si>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</si>
  <si>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</si>
  <si>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</si>
  <si>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</si>
  <si>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</si>
  <si>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</si>
  <si>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</si>
  <si>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</si>
  <si>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</si>
  <si>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</si>
  <si>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</si>
  <si>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</si>
  <si>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</si>
  <si>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</si>
  <si>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</si>
  <si>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</si>
  <si>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</si>
  <si>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</si>
  <si>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</si>
  <si>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</si>
  <si>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</si>
  <si>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</si>
  <si>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</si>
  <si>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</si>
  <si>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</si>
  <si>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</si>
  <si>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</si>
  <si>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</si>
  <si>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</si>
  <si>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</si>
  <si>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</si>
  <si>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</si>
  <si>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</si>
  <si>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</si>
  <si>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</si>
  <si>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</si>
  <si>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</si>
  <si>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</si>
  <si>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</si>
  <si>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</si>
  <si>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</si>
  <si>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</si>
  <si>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</si>
  <si>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</si>
  <si>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</si>
  <si>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</si>
  <si>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</si>
  <si>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</si>
  <si>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</si>
  <si>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</si>
  <si>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</si>
  <si>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</si>
  <si>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</si>
  <si>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</si>
  <si>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</si>
  <si>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</si>
  <si>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</si>
  <si>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</si>
  <si>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</si>
  <si>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</si>
  <si>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</si>
  <si>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</si>
  <si>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</si>
  <si>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</si>
  <si>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</si>
  <si>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</si>
  <si>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</si>
  <si>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</si>
  <si>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</si>
  <si>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</si>
  <si>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</si>
  <si>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</si>
  <si>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</si>
  <si>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</si>
  <si>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</si>
  <si>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</si>
  <si>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</si>
  <si>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</si>
  <si>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</si>
  <si>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</si>
  <si>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</si>
  <si>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</si>
  <si>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</si>
  <si>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</si>
  <si>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</si>
  <si>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</si>
  <si>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</si>
  <si>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</si>
  <si>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</si>
  <si>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</si>
  <si>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</si>
  <si>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</si>
  <si>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</si>
  <si>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</si>
  <si>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</si>
  <si>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</si>
  <si>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</si>
  <si>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</si>
  <si>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</si>
  <si>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</si>
  <si>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</si>
  <si>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</si>
  <si>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</si>
  <si>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</si>
  <si>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</si>
  <si>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</si>
  <si>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</si>
  <si>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</si>
  <si>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</si>
  <si>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</si>
  <si>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</si>
  <si>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</si>
  <si>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</si>
  <si>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</si>
  <si>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</si>
  <si>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</si>
  <si>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</si>
  <si>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</si>
  <si>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</si>
  <si>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</si>
  <si>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</si>
  <si>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</si>
  <si>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</si>
  <si>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</si>
  <si>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</si>
  <si>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</si>
  <si>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</si>
  <si>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</si>
  <si>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</si>
  <si>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</si>
  <si>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</si>
  <si>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</si>
  <si>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</si>
  <si>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</si>
  <si>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</si>
  <si>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</si>
  <si>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</si>
  <si>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</si>
  <si>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</si>
  <si>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</si>
  <si>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</si>
  <si>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</si>
  <si>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</si>
  <si>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</si>
  <si>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</si>
  <si>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</si>
  <si>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</si>
  <si>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</si>
  <si>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</si>
  <si>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</si>
  <si>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</si>
  <si>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</si>
  <si>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</si>
  <si>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</si>
  <si>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</si>
  <si>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</si>
  <si>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</si>
  <si>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</si>
  <si>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</si>
  <si>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</si>
  <si>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</si>
  <si>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</si>
  <si>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</si>
  <si>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</si>
  <si>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</si>
  <si>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</si>
  <si>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</si>
  <si>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</si>
  <si>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</si>
  <si>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</si>
  <si>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</si>
  <si>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</si>
  <si>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</si>
  <si>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</si>
  <si>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</si>
  <si>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</si>
  <si>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</si>
  <si>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</si>
  <si>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</si>
  <si>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</si>
  <si>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</si>
  <si>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</si>
  <si>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</si>
  <si>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</si>
  <si>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</si>
  <si>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</si>
  <si>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</si>
  <si>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</si>
  <si>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</si>
  <si>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</si>
  <si>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</si>
  <si>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</si>
  <si>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</si>
  <si>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</si>
  <si>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</si>
  <si>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</si>
  <si>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</si>
  <si>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</si>
  <si>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</si>
  <si>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</si>
  <si>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</si>
  <si>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</si>
  <si>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</si>
  <si>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</si>
  <si>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</si>
  <si>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</si>
  <si>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</si>
  <si>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</si>
  <si>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</si>
  <si>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</si>
  <si>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</si>
  <si>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</si>
  <si>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</si>
  <si>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</si>
  <si>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</si>
  <si>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</si>
  <si>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</si>
  <si>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</si>
  <si>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</si>
  <si>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</si>
  <si>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</si>
  <si>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</si>
  <si>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</si>
  <si>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</si>
  <si>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</si>
  <si>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</si>
  <si>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</si>
  <si>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</si>
  <si>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</si>
  <si>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</si>
  <si>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</si>
  <si>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</si>
  <si>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</si>
  <si>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</si>
  <si>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</si>
  <si>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</si>
  <si>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</si>
  <si>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</si>
  <si>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</si>
  <si>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</si>
  <si>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</si>
  <si>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</si>
  <si>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</si>
  <si>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</si>
  <si>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</si>
  <si>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</si>
  <si>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</si>
  <si>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</si>
  <si>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</si>
  <si>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</si>
  <si>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</si>
  <si>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</si>
  <si>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</si>
  <si>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</si>
  <si>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</si>
  <si>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</si>
  <si>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</si>
  <si>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</si>
  <si>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</si>
  <si>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</si>
  <si>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</si>
  <si>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</si>
  <si>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</si>
  <si>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</si>
  <si>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</si>
  <si>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</si>
  <si>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</si>
  <si>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</si>
  <si>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</si>
  <si>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</si>
  <si>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</si>
  <si>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</si>
  <si>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</si>
  <si>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</si>
  <si>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</si>
  <si>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</si>
  <si>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</si>
  <si>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</si>
  <si>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</si>
  <si>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</si>
  <si>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</si>
  <si>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</si>
  <si>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</si>
  <si>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</si>
  <si>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</si>
  <si>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</si>
  <si>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</si>
  <si>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</si>
  <si>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</si>
  <si>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</si>
  <si>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</si>
  <si>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</si>
  <si>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</si>
  <si>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</si>
  <si>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</si>
  <si>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</si>
  <si>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</si>
  <si>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</si>
  <si>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</si>
  <si>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</si>
  <si>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</si>
  <si>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</si>
  <si>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</si>
  <si>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</si>
  <si>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</si>
  <si>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</si>
  <si>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</si>
  <si>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</si>
  <si>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</si>
  <si>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</si>
  <si>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</si>
  <si>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</si>
  <si>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</si>
  <si>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</si>
  <si>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</si>
  <si>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</si>
  <si>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</si>
  <si>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</si>
  <si>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</si>
  <si>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</si>
  <si>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</si>
  <si>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</si>
  <si>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</si>
  <si>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</si>
  <si>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</si>
  <si>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</si>
  <si>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</si>
  <si>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</si>
  <si>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</si>
  <si>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</si>
  <si>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</si>
  <si>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</si>
  <si>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</si>
  <si>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</si>
  <si>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</si>
  <si>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</si>
  <si>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</si>
  <si>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</si>
  <si>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</si>
  <si>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</si>
  <si>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</si>
  <si>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</si>
  <si>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</si>
  <si>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</si>
  <si>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</si>
  <si>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</si>
  <si>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</si>
  <si>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</si>
  <si>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</si>
  <si>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</si>
  <si>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</si>
  <si>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</si>
  <si>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</si>
  <si>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</si>
  <si>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</si>
  <si>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</si>
  <si>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</si>
  <si>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</si>
  <si>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</si>
  <si>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</si>
  <si>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</si>
  <si>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</si>
  <si>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</si>
  <si>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</si>
  <si>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</si>
  <si>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</si>
  <si>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</si>
  <si>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</si>
  <si>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</si>
  <si>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</si>
  <si>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</si>
  <si>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</si>
  <si>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</si>
  <si>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</si>
  <si>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</si>
  <si>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</si>
  <si>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</si>
  <si>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</si>
  <si>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</si>
  <si>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</si>
  <si>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</si>
  <si>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</si>
  <si>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</si>
  <si>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</si>
  <si>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</si>
  <si>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</si>
  <si>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</si>
  <si>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</si>
  <si>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</si>
  <si>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</si>
  <si>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</si>
  <si>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</si>
  <si>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</si>
  <si>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</si>
  <si>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</si>
  <si>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</si>
  <si>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</si>
  <si>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</si>
  <si>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</si>
  <si>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</si>
  <si>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</si>
  <si>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</si>
  <si>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</si>
  <si>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</si>
  <si>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</si>
  <si>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</si>
  <si>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</si>
  <si>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</si>
  <si>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</si>
  <si>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</si>
  <si>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</si>
  <si>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</si>
  <si>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</si>
  <si>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</si>
  <si>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</si>
  <si>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</si>
  <si>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</si>
  <si>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</si>
  <si>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</si>
  <si>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</si>
  <si>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</si>
  <si>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</si>
  <si>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</si>
  <si>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</si>
  <si>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</si>
  <si>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</si>
  <si>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</si>
  <si>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</si>
  <si>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</si>
  <si>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</si>
  <si>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</si>
  <si>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</si>
  <si>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</si>
  <si>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</si>
  <si>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</si>
  <si>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</si>
  <si>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</si>
  <si>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</si>
  <si>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</si>
  <si>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</si>
  <si>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</si>
  <si>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</si>
  <si>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</si>
  <si>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</si>
  <si>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</si>
  <si>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</si>
  <si>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</si>
  <si>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</si>
  <si>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</si>
  <si>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</si>
  <si>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</si>
  <si>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</si>
  <si>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</si>
  <si>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</si>
  <si>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</si>
  <si>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</si>
  <si>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</si>
  <si>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</si>
  <si>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</si>
  <si>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</si>
  <si>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</si>
  <si>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</si>
  <si>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</si>
  <si>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</si>
  <si>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</si>
  <si>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</si>
  <si>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</si>
  <si>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</si>
  <si>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</si>
  <si>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</si>
  <si>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</si>
  <si>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</si>
  <si>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</si>
  <si>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</si>
  <si>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</si>
  <si>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</si>
  <si>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</si>
  <si>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</si>
  <si>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</si>
  <si>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</si>
  <si>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</si>
  <si>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</si>
  <si>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</si>
  <si>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</si>
  <si>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</si>
  <si>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</si>
  <si>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</si>
  <si>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</si>
  <si>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</si>
  <si>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</si>
  <si>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</si>
  <si>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</si>
  <si>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</si>
  <si>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</si>
  <si>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</si>
  <si>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</si>
  <si>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</si>
  <si>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</si>
  <si>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</si>
  <si>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</si>
  <si>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</si>
  <si>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</si>
  <si>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</si>
  <si>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</si>
  <si>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</si>
  <si>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</si>
  <si>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</si>
  <si>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</si>
  <si>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</si>
  <si>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</si>
  <si>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</si>
  <si>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</si>
  <si>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</si>
  <si>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</si>
  <si>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</si>
  <si>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</si>
  <si>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</si>
  <si>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</si>
  <si>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</si>
  <si>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</si>
  <si>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</si>
  <si>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</si>
  <si>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</si>
  <si>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</si>
  <si>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</si>
  <si>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</si>
  <si>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</si>
  <si>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</si>
  <si>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</si>
  <si>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</si>
  <si>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</si>
  <si>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</si>
  <si>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</si>
  <si>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</si>
  <si>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</si>
  <si>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</si>
  <si>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</si>
  <si>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</si>
  <si>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</si>
  <si>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</si>
  <si>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</si>
  <si>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</si>
  <si>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</si>
  <si>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</si>
  <si>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</si>
  <si>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</si>
  <si>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</si>
  <si>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</si>
  <si>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</si>
  <si>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</si>
  <si>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</si>
  <si>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</si>
  <si>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</si>
  <si>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</si>
  <si>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</si>
  <si>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</si>
  <si>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</si>
  <si>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</si>
  <si>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</si>
  <si>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</si>
  <si>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</si>
  <si>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</si>
  <si>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</si>
  <si>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</si>
  <si>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</si>
  <si>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</si>
  <si>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</si>
  <si>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</si>
  <si>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</si>
  <si>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</si>
  <si>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</si>
  <si>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</si>
  <si>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</si>
  <si>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</si>
  <si>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</si>
  <si>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</si>
  <si>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</si>
  <si>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</si>
  <si>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</si>
  <si>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</si>
  <si>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</si>
  <si>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</si>
  <si>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</si>
  <si>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</si>
  <si>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</si>
  <si>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</si>
  <si>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</si>
  <si>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</si>
  <si>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</si>
  <si>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</si>
  <si>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</si>
  <si>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</si>
  <si>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</si>
  <si>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</si>
  <si>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</si>
  <si>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</si>
  <si>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</si>
  <si>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</si>
  <si>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</si>
  <si>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</si>
  <si>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</si>
  <si>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</si>
  <si>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</si>
  <si>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</si>
  <si>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</si>
  <si>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</si>
  <si>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</si>
  <si>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</si>
  <si>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</si>
  <si>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</si>
  <si>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</si>
  <si>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</si>
  <si>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</si>
  <si>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</si>
  <si>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</si>
  <si>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</si>
  <si>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</si>
  <si>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</si>
  <si>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</si>
  <si>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</si>
  <si>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</si>
  <si>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</si>
  <si>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</si>
  <si>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</si>
  <si>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</si>
  <si>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</si>
  <si>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</si>
  <si>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</si>
  <si>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</si>
  <si>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</si>
  <si>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</si>
  <si>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</si>
  <si>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</si>
  <si>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</si>
  <si>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</si>
  <si>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</si>
  <si>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</si>
  <si>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</si>
  <si>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</si>
  <si>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</si>
  <si>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</si>
  <si>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</si>
  <si>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</si>
  <si>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</si>
  <si>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</si>
  <si>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</si>
  <si>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</si>
  <si>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</si>
  <si>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</si>
  <si>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</si>
  <si>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</si>
  <si>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</si>
  <si>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</si>
  <si>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</si>
  <si>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</si>
  <si>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</si>
  <si>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</si>
  <si>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</si>
  <si>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</si>
  <si>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</si>
  <si>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</si>
  <si>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</si>
  <si>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</si>
  <si>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</si>
  <si>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</si>
  <si>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</si>
  <si>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</si>
  <si>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</si>
  <si>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</si>
  <si>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</si>
  <si>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</si>
  <si>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</si>
  <si>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</si>
  <si>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</si>
  <si>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</si>
  <si>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</si>
  <si>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</si>
  <si>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COOK</t>
  </si>
  <si>
    <t>16931 S. GRISSOM DR.</t>
  </si>
  <si>
    <t>TINLEY PARK</t>
  </si>
  <si>
    <t>X</t>
  </si>
  <si>
    <t>708-532-6462</t>
  </si>
  <si>
    <t>708-532-6483</t>
  </si>
  <si>
    <t>MUELLER &amp; CO., LLP</t>
  </si>
  <si>
    <t>EDWARD MCCORMICK</t>
  </si>
  <si>
    <t>14300 S. RAVINIA AVE. STE. 200</t>
  </si>
  <si>
    <t>ORLAND PARK</t>
  </si>
  <si>
    <t>IL</t>
  </si>
  <si>
    <t>708-428-5305</t>
  </si>
  <si>
    <t>708-349-6999</t>
  </si>
  <si>
    <t>066-003328</t>
  </si>
  <si>
    <t>EMCCORMICK@MUELLERCPA.COM</t>
  </si>
  <si>
    <t>Southwest Cook County Cooperative</t>
  </si>
  <si>
    <t>Cardinal Bernadin &amp; SW Chicago Christian School - Title I</t>
  </si>
  <si>
    <t>Education Fund - Acc #190 - $559,779 Interest Receivable</t>
  </si>
  <si>
    <t>Education Fund - Acc #4399 - $73,887 School Improvement Title I</t>
  </si>
  <si>
    <t>Education Fund - Acc#2190 - $472,215 OT / PT Salaries</t>
  </si>
  <si>
    <t>Education Fund - Acc#2190 - $11,201 OT / PT Employee Benefits</t>
  </si>
  <si>
    <t>Education Fund - Acc#4998 - $276,734 Other Federal Programs</t>
  </si>
  <si>
    <t>Education Fund - Acc#2190 - $(13) OT / PT Mileage</t>
  </si>
  <si>
    <t>Municipal Retirement/Social Security Fund - Acc#2190 - $53,028 - Benefits</t>
  </si>
  <si>
    <t>Transportation - Other Support Services</t>
  </si>
  <si>
    <t>O&amp;M - Operations and Maintenance of Plant</t>
  </si>
  <si>
    <t>Five Star Taxi and Shuttle Service</t>
  </si>
  <si>
    <t>Tria Architecture, Inc.</t>
  </si>
  <si>
    <t>x</t>
  </si>
  <si>
    <t>N/A</t>
  </si>
  <si>
    <t>US department of Education:</t>
  </si>
  <si>
    <t xml:space="preserve">   Passed through the Illinois State Board of Education:</t>
  </si>
  <si>
    <t xml:space="preserve">   Title I - Low Income</t>
  </si>
  <si>
    <t>18-4300</t>
  </si>
  <si>
    <t>19-4300</t>
  </si>
  <si>
    <t>20-4300</t>
  </si>
  <si>
    <t xml:space="preserve">   Title I - School Improvement</t>
  </si>
  <si>
    <t>19-4331</t>
  </si>
  <si>
    <t>20-4331</t>
  </si>
  <si>
    <t xml:space="preserve">   Title III - Language Instructional Program</t>
  </si>
  <si>
    <t>18-4909</t>
  </si>
  <si>
    <t>19-4909</t>
  </si>
  <si>
    <t>20-4909</t>
  </si>
  <si>
    <t xml:space="preserve">   Title IVA - Student Support &amp; Academic Enrichment</t>
  </si>
  <si>
    <t>84.424A</t>
  </si>
  <si>
    <t>19-4400</t>
  </si>
  <si>
    <t>20-4400</t>
  </si>
  <si>
    <t xml:space="preserve">   Pre-School Flow Through (M)</t>
  </si>
  <si>
    <t>84.173A</t>
  </si>
  <si>
    <t>19-4600</t>
  </si>
  <si>
    <t>20-4600</t>
  </si>
  <si>
    <t>Total US department of Education, from page 1</t>
  </si>
  <si>
    <t>Total U.S. Department of Education from above</t>
  </si>
  <si>
    <t xml:space="preserve">   IDEA Flow Through (M)</t>
  </si>
  <si>
    <t>84.027A</t>
  </si>
  <si>
    <t>18-4620</t>
  </si>
  <si>
    <t>19-4620</t>
  </si>
  <si>
    <t xml:space="preserve">   IDEA Flow Through</t>
  </si>
  <si>
    <t>20-4620</t>
  </si>
  <si>
    <t xml:space="preserve">   IDEA Room and Board (M)</t>
  </si>
  <si>
    <t>18-4625</t>
  </si>
  <si>
    <t>19-4625</t>
  </si>
  <si>
    <t>Elementary and Scondary school Emergency Relief Grant</t>
  </si>
  <si>
    <t>84.425D</t>
  </si>
  <si>
    <t>20-4998</t>
  </si>
  <si>
    <t>US Department of Agriculture:</t>
  </si>
  <si>
    <t>Passed through the Illinois State Board of Education:</t>
  </si>
  <si>
    <t xml:space="preserve">   Special Milk Program </t>
  </si>
  <si>
    <t>18-4215</t>
  </si>
  <si>
    <t>19-4215</t>
  </si>
  <si>
    <t>20-4215</t>
  </si>
  <si>
    <t>Total US Department of Agriculture</t>
  </si>
  <si>
    <t>Total U.S. Department of Education</t>
  </si>
  <si>
    <t>U.S. Department of Health and Human Services:</t>
  </si>
  <si>
    <t xml:space="preserve">Passed through the Illinois Department of </t>
  </si>
  <si>
    <t>Healthcare and Family Services:</t>
  </si>
  <si>
    <t xml:space="preserve">   Medicaid Administrative Outreach</t>
  </si>
  <si>
    <t>Total U.S. Department of Health and Human Services</t>
  </si>
  <si>
    <t>Total Federal Awards</t>
  </si>
  <si>
    <r>
      <t xml:space="preserve">The accompanying Schedule of Expenditures of Federal Awards includes the federal grant activity of Kirby School District No. 140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</si>
  <si>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</si>
  <si>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t>Unmodified</t>
  </si>
  <si>
    <t>Special Education Cluster:</t>
  </si>
  <si>
    <t>IDEA Room &amp; Board</t>
  </si>
  <si>
    <t>Pre-School Flow-through</t>
  </si>
  <si>
    <t>IDEA Flow-through</t>
  </si>
  <si>
    <t>None</t>
  </si>
  <si>
    <t>2019-001</t>
  </si>
  <si>
    <t>District's records are kept on the cash basis during the year and converted to the modified accrual basis at year end with audit adjustments.</t>
  </si>
  <si>
    <t>Not considered a financial statement finding in 2020</t>
  </si>
  <si>
    <t>because the adjustments provided by management</t>
  </si>
  <si>
    <t xml:space="preserve">are sufficient to present the financial statements </t>
  </si>
  <si>
    <t>in accordance with the modified accrual basis.</t>
  </si>
  <si>
    <t>2019-002</t>
  </si>
  <si>
    <t>Not considered a federal awards finding in 2020</t>
  </si>
  <si>
    <t>because the adjustments needed for the modified</t>
  </si>
  <si>
    <t>accrual basis do not affect the presentation or</t>
  </si>
  <si>
    <t>accounting for federal awards and expenditures of</t>
  </si>
  <si>
    <t>federal awards.</t>
  </si>
  <si>
    <t>solson@ksd140.org</t>
  </si>
  <si>
    <t>Dr. Shawn Olson</t>
  </si>
  <si>
    <t>Mueller &amp; Co., LLP</t>
  </si>
  <si>
    <t xml:space="preserve"> Kirby SD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</si>
</sst>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indexed="8"/>
      <name val="Univers"/>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64"/>
      </bottom>
      <diagonal/>
    </border>
  </borders>
  <cellStyleXfs count="4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143" fillId="0" borderId="0"/>
  </cellStyleXfs>
  <cellXfs count="285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2"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0" fontId="57" fillId="0" borderId="0" xfId="3" applyFont="1" applyAlignment="1" applyProtection="1">
      <alignment horizontal="center"/>
      <protection locked="0"/>
    </xf>
    <xf numFmtId="1" fontId="57" fillId="0" borderId="0" xfId="3" applyNumberFormat="1" applyFont="1" applyProtection="1">
      <protection locked="0"/>
    </xf>
    <xf numFmtId="169" fontId="57" fillId="0" borderId="0" xfId="3" applyNumberFormat="1" applyFont="1" applyProtection="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3" fontId="62" fillId="0" borderId="196" xfId="3" applyNumberFormat="1" applyFont="1" applyBorder="1" applyAlignment="1" applyProtection="1">
      <alignment horizontal="center" shrinkToFit="1"/>
      <protection locked="0"/>
    </xf>
    <xf numFmtId="0" fontId="57" fillId="0" borderId="0" xfId="3" applyFont="1" applyProtection="1"/>
    <xf numFmtId="0" fontId="62" fillId="0" borderId="0" xfId="3" applyFont="1" applyBorder="1" applyAlignment="1" applyProtection="1">
      <alignment horizontal="center"/>
    </xf>
    <xf numFmtId="0" fontId="62" fillId="0" borderId="0" xfId="3" applyFont="1" applyBorder="1" applyProtection="1"/>
    <xf numFmtId="0" fontId="57" fillId="0" borderId="0" xfId="3" applyFont="1" applyAlignment="1" applyProtection="1">
      <alignment horizont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64" fillId="0" borderId="5" xfId="3" applyFont="1" applyFill="1" applyBorder="1" applyAlignment="1" applyProtection="1"/>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3" fontId="64" fillId="0" borderId="22" xfId="3" applyNumberFormat="1" applyFont="1" applyBorder="1" applyAlignment="1" applyProtection="1">
      <alignment horizontal="left" vertical="center" wrapText="1"/>
      <protection locked="0"/>
    </xf>
    <xf numFmtId="3" fontId="62" fillId="0" borderId="196"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0" fontId="57" fillId="0" borderId="0" xfId="3" applyFont="1" applyProtection="1"/>
    <xf numFmtId="0" fontId="57" fillId="0" borderId="0" xfId="3" applyFont="1" applyProtection="1">
      <protection locked="0"/>
    </xf>
    <xf numFmtId="0" fontId="62" fillId="0" borderId="0" xfId="3" applyFont="1" applyBorder="1" applyAlignment="1" applyProtection="1">
      <alignment horizontal="center"/>
    </xf>
    <xf numFmtId="0" fontId="62" fillId="0" borderId="0" xfId="3" applyFont="1" applyBorder="1" applyProtection="1"/>
    <xf numFmtId="0" fontId="57" fillId="0" borderId="0" xfId="3" applyFont="1" applyAlignment="1" applyProtection="1">
      <alignment horizont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64" fillId="0" borderId="5" xfId="3" applyFont="1" applyFill="1" applyBorder="1" applyAlignment="1" applyProtection="1"/>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3"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3" fontId="62" fillId="0" borderId="196"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 fontId="64" fillId="0" borderId="22" xfId="3" applyNumberFormat="1" applyFont="1" applyBorder="1" applyAlignment="1" applyProtection="1">
      <alignment horizontal="center" shrinkToFit="1"/>
      <protection locked="0"/>
    </xf>
    <xf numFmtId="0" fontId="57" fillId="0" borderId="0" xfId="3" applyFont="1" applyProtection="1">
      <protection locked="0"/>
    </xf>
    <xf numFmtId="0" fontId="57" fillId="0" borderId="0" xfId="3" applyFont="1" applyBorder="1" applyProtection="1">
      <protection locked="0"/>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57" fillId="0" borderId="0" xfId="3" applyNumberFormat="1" applyFont="1" applyBorder="1" applyProtection="1">
      <protection locked="0"/>
    </xf>
    <xf numFmtId="0" fontId="57" fillId="0" borderId="0" xfId="3" applyFont="1" applyProtection="1">
      <protection locked="0"/>
    </xf>
    <xf numFmtId="0" fontId="57" fillId="0" borderId="0" xfId="3" applyFont="1" applyBorder="1" applyProtection="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4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0" xr:uid="{00000000-0005-0000-0000-000008000000}"/>
    <cellStyle name="Normal 3 2 2 3" xfId="21" xr:uid="{00000000-0005-0000-0000-000009000000}"/>
    <cellStyle name="Normal 3 2 2 4" xfId="32" xr:uid="{00000000-0005-0000-0000-00000A000000}"/>
    <cellStyle name="Normal 3 2 3" xfId="26" xr:uid="{00000000-0005-0000-0000-00000B000000}"/>
    <cellStyle name="Normal 3 2 4" xfId="38" xr:uid="{00000000-0005-0000-0000-00000C000000}"/>
    <cellStyle name="Normal 3 2 5" xfId="23" xr:uid="{00000000-0005-0000-0000-00000D000000}"/>
    <cellStyle name="Normal 3 2 6" xfId="27" xr:uid="{00000000-0005-0000-0000-00000E000000}"/>
    <cellStyle name="Normal 3 3" xfId="22" xr:uid="{00000000-0005-0000-0000-00000F000000}"/>
    <cellStyle name="Normal 3 3 2" xfId="39" xr:uid="{00000000-0005-0000-0000-000010000000}"/>
    <cellStyle name="Normal 3 4" xfId="33" xr:uid="{00000000-0005-0000-0000-000011000000}"/>
    <cellStyle name="Normal 3 5" xfId="37" xr:uid="{00000000-0005-0000-0000-000012000000}"/>
    <cellStyle name="Normal 3 6" xfId="35" xr:uid="{00000000-0005-0000-0000-000013000000}"/>
    <cellStyle name="Normal 3 7" xfId="25" xr:uid="{00000000-0005-0000-0000-000014000000}"/>
    <cellStyle name="Normal 4" xfId="16" xr:uid="{00000000-0005-0000-0000-000015000000}"/>
    <cellStyle name="Normal 4 2" xfId="28" xr:uid="{00000000-0005-0000-0000-000016000000}"/>
    <cellStyle name="Normal 4 2 2" xfId="36" xr:uid="{00000000-0005-0000-0000-000017000000}"/>
    <cellStyle name="Normal 4 3" xfId="34" xr:uid="{00000000-0005-0000-0000-000018000000}"/>
    <cellStyle name="Normal 4 4" xfId="24" xr:uid="{00000000-0005-0000-0000-000019000000}"/>
    <cellStyle name="Normal 5" xfId="17" xr:uid="{00000000-0005-0000-0000-00001A000000}"/>
    <cellStyle name="Normal 5 2" xfId="19" xr:uid="{00000000-0005-0000-0000-00001B000000}"/>
    <cellStyle name="Normal 5 2 2" xfId="31" xr:uid="{00000000-0005-0000-0000-00001C000000}"/>
    <cellStyle name="Normal 5 3" xfId="29" xr:uid="{00000000-0005-0000-0000-00001D000000}"/>
    <cellStyle name="Normal 6" xfId="20" xr:uid="{00000000-0005-0000-0000-00001E000000}"/>
    <cellStyle name="Normal 6 2" xfId="40" xr:uid="{00000000-0005-0000-0000-00001F000000}"/>
    <cellStyle name="Normal_AFRPG3" xfId="5" xr:uid="{00000000-0005-0000-0000-000020000000}"/>
    <cellStyle name="Normal_AFRPG41" xfId="6" xr:uid="{00000000-0005-0000-0000-000021000000}"/>
    <cellStyle name="Normal_AFRPG47" xfId="7" xr:uid="{00000000-0005-0000-0000-000022000000}"/>
    <cellStyle name="Normal_AFRPG56" xfId="8" xr:uid="{00000000-0005-0000-0000-000023000000}"/>
    <cellStyle name="Normal_AFRPG59" xfId="9" xr:uid="{00000000-0005-0000-0000-000024000000}"/>
    <cellStyle name="Normal_AFRPG63" xfId="10" xr:uid="{00000000-0005-0000-0000-000025000000}"/>
    <cellStyle name="Normal_AFRPG64" xfId="11" xr:uid="{00000000-0005-0000-0000-000026000000}"/>
    <cellStyle name="Normal_COVER" xfId="12" xr:uid="{00000000-0005-0000-0000-000027000000}"/>
    <cellStyle name="Normal_THRESHOLD CALCULATOR v3" xfId="13" xr:uid="{00000000-0005-0000-0000-00002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911802</xdr:colOff>
          <xdr:row>8</xdr:row>
          <xdr:rowOff>58882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350">
        <f>+'AFR20'!E4</f>
        <v>44119</v>
      </c>
      <c r="C1" s="2350"/>
      <c r="D1" s="2351"/>
      <c r="I1" s="2309" t="s">
        <v>402</v>
      </c>
      <c r="J1" s="2310"/>
      <c r="K1" s="2310"/>
      <c r="L1" s="2310"/>
      <c r="M1" s="2310"/>
      <c r="N1" s="2310"/>
      <c r="O1" s="2310"/>
      <c r="P1" s="2310"/>
      <c r="Q1" s="2310"/>
      <c r="R1" s="2310"/>
      <c r="S1" s="2310"/>
    </row>
    <row r="2" spans="1:32" ht="12" customHeight="1" x14ac:dyDescent="0.2">
      <c r="A2" s="1830" t="str">
        <f>"Due to ISBE on "</f>
        <v xml:space="preserve">Due to ISBE on </v>
      </c>
      <c r="B2" s="2352">
        <f>+'AFR20'!F4</f>
        <v>44151</v>
      </c>
      <c r="C2" s="2352"/>
      <c r="D2" s="2353"/>
      <c r="I2" s="2311" t="s">
        <v>2005</v>
      </c>
      <c r="J2" s="2310"/>
      <c r="K2" s="2310"/>
      <c r="L2" s="2310"/>
      <c r="M2" s="2310"/>
      <c r="N2" s="2310"/>
      <c r="O2" s="2310"/>
      <c r="P2" s="2310"/>
      <c r="Q2" s="2310"/>
      <c r="R2" s="2310"/>
      <c r="S2" s="2310"/>
    </row>
    <row r="3" spans="1:32" ht="12" customHeight="1" x14ac:dyDescent="0.2">
      <c r="A3" s="1833" t="str">
        <f>"SD/JA"&amp;MID('AFR20'!E2,3,2)</f>
        <v>SD/JA20</v>
      </c>
      <c r="B3" s="151"/>
      <c r="C3" s="151"/>
      <c r="D3" s="152"/>
      <c r="I3" s="2311" t="s">
        <v>52</v>
      </c>
      <c r="J3" s="2310"/>
      <c r="K3" s="2310"/>
      <c r="L3" s="2310"/>
      <c r="M3" s="2310"/>
      <c r="N3" s="2310"/>
      <c r="O3" s="2310"/>
      <c r="P3" s="2310"/>
      <c r="Q3" s="2310"/>
      <c r="R3" s="2310"/>
      <c r="S3" s="2310"/>
    </row>
    <row r="4" spans="1:32" ht="12" customHeight="1" x14ac:dyDescent="0.2">
      <c r="A4" s="37"/>
      <c r="I4" s="2311" t="s">
        <v>521</v>
      </c>
      <c r="J4" s="2310"/>
      <c r="K4" s="2310"/>
      <c r="L4" s="2310"/>
      <c r="M4" s="2310"/>
      <c r="N4" s="2310"/>
      <c r="O4" s="2310"/>
      <c r="P4" s="2310"/>
      <c r="Q4" s="2310"/>
      <c r="R4" s="2310"/>
      <c r="S4" s="2310"/>
    </row>
    <row r="5" spans="1:32" ht="14.1" customHeight="1" x14ac:dyDescent="0.2">
      <c r="B5" s="101" t="s">
        <v>2053</v>
      </c>
      <c r="C5" s="26" t="s">
        <v>904</v>
      </c>
      <c r="D5" s="81"/>
      <c r="E5" s="81"/>
      <c r="H5" s="38"/>
      <c r="I5" s="2319" t="s">
        <v>675</v>
      </c>
      <c r="J5" s="2318"/>
      <c r="K5" s="2318"/>
      <c r="L5" s="2318"/>
      <c r="M5" s="2318"/>
      <c r="N5" s="2318"/>
      <c r="O5" s="2318"/>
      <c r="P5" s="2318"/>
      <c r="Q5" s="2318"/>
      <c r="R5" s="2318"/>
      <c r="S5" s="2318"/>
      <c r="AF5" s="1826"/>
    </row>
    <row r="6" spans="1:32" ht="14.1" customHeight="1" x14ac:dyDescent="0.2">
      <c r="B6" s="101"/>
      <c r="C6" s="26" t="s">
        <v>905</v>
      </c>
      <c r="D6" s="81"/>
      <c r="E6" s="81"/>
      <c r="I6" s="2317" t="s">
        <v>877</v>
      </c>
      <c r="J6" s="2318"/>
      <c r="K6" s="2318"/>
      <c r="L6" s="2318"/>
      <c r="M6" s="2318"/>
      <c r="N6" s="2318"/>
      <c r="O6" s="2318"/>
      <c r="P6" s="2318"/>
      <c r="Q6" s="2318"/>
      <c r="R6" s="2318"/>
      <c r="S6" s="2318"/>
    </row>
    <row r="7" spans="1:32" ht="12.2" customHeight="1" x14ac:dyDescent="0.2">
      <c r="I7" s="2312" t="str">
        <f>"June 30, "&amp;'AFR20'!E2</f>
        <v>June 30, 2020</v>
      </c>
      <c r="J7" s="2313"/>
      <c r="K7" s="2313"/>
      <c r="L7" s="2313"/>
      <c r="M7" s="2313"/>
      <c r="N7" s="2313"/>
      <c r="O7" s="2313"/>
      <c r="P7" s="2313"/>
      <c r="Q7" s="2313"/>
      <c r="R7" s="2313"/>
      <c r="S7" s="231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314" t="s">
        <v>669</v>
      </c>
      <c r="J9" s="2315"/>
      <c r="K9" s="2315"/>
      <c r="L9" s="2315"/>
      <c r="M9" s="2315"/>
      <c r="N9" s="2315"/>
      <c r="O9" s="2315"/>
      <c r="P9" s="2315"/>
      <c r="Q9" s="2315"/>
      <c r="R9" s="2315"/>
      <c r="S9" s="2316"/>
      <c r="T9" s="2367" t="s">
        <v>530</v>
      </c>
      <c r="U9" s="2368"/>
      <c r="V9" s="2368"/>
      <c r="W9" s="2368"/>
      <c r="X9" s="2368"/>
      <c r="Y9" s="2368"/>
      <c r="Z9" s="2368"/>
      <c r="AA9" s="2369"/>
    </row>
    <row r="10" spans="1:32" ht="13.5" customHeight="1" x14ac:dyDescent="0.2">
      <c r="A10" s="2374" t="s">
        <v>670</v>
      </c>
      <c r="B10" s="2375"/>
      <c r="C10" s="2375"/>
      <c r="D10" s="2375"/>
      <c r="E10" s="2375"/>
      <c r="F10" s="2375"/>
      <c r="G10" s="2375"/>
      <c r="H10" s="2376"/>
      <c r="I10" s="29"/>
      <c r="J10" s="30"/>
      <c r="K10" s="28"/>
      <c r="R10" s="30"/>
      <c r="S10" s="30"/>
      <c r="T10" s="2370"/>
      <c r="U10" s="2318"/>
      <c r="V10" s="2318"/>
      <c r="W10" s="2318"/>
      <c r="X10" s="2318"/>
      <c r="Y10" s="2318"/>
      <c r="Z10" s="2318"/>
      <c r="AA10" s="2324"/>
    </row>
    <row r="11" spans="1:32" ht="14.25" customHeight="1" x14ac:dyDescent="0.2">
      <c r="A11" s="2377" t="s">
        <v>949</v>
      </c>
      <c r="B11" s="2378"/>
      <c r="C11" s="2378"/>
      <c r="D11" s="2378"/>
      <c r="E11" s="2378"/>
      <c r="F11" s="2378"/>
      <c r="G11" s="2378"/>
      <c r="H11" s="2379"/>
      <c r="I11" s="27"/>
      <c r="J11" s="71"/>
      <c r="K11" s="27"/>
      <c r="O11" s="144"/>
      <c r="P11" s="97" t="s">
        <v>199</v>
      </c>
      <c r="Q11" s="30"/>
      <c r="R11" s="28"/>
      <c r="S11" s="27"/>
      <c r="T11" s="2371"/>
      <c r="U11" s="2372"/>
      <c r="V11" s="2372"/>
      <c r="W11" s="2372"/>
      <c r="X11" s="2372"/>
      <c r="Y11" s="2372"/>
      <c r="Z11" s="2372"/>
      <c r="AA11" s="2373"/>
    </row>
    <row r="12" spans="1:32" ht="13.5" customHeight="1" x14ac:dyDescent="0.2">
      <c r="A12" s="82" t="s">
        <v>919</v>
      </c>
      <c r="B12" s="73"/>
      <c r="C12" s="73"/>
      <c r="D12" s="73"/>
      <c r="E12" s="73"/>
      <c r="F12" s="73"/>
      <c r="G12" s="73"/>
      <c r="H12" s="50"/>
      <c r="I12" s="29"/>
      <c r="J12" s="30"/>
      <c r="K12" s="28"/>
      <c r="O12" s="145" t="s">
        <v>2053</v>
      </c>
      <c r="P12" s="97" t="s">
        <v>200</v>
      </c>
      <c r="Q12" s="71"/>
      <c r="R12" s="30"/>
      <c r="S12" s="30"/>
      <c r="T12" s="82" t="s">
        <v>263</v>
      </c>
      <c r="U12" s="48"/>
      <c r="V12" s="48"/>
      <c r="W12" s="48"/>
      <c r="X12" s="48"/>
      <c r="Y12" s="43"/>
      <c r="Z12" s="43"/>
      <c r="AA12" s="44"/>
    </row>
    <row r="13" spans="1:32" ht="13.5" customHeight="1" x14ac:dyDescent="0.2">
      <c r="A13" s="2330">
        <v>7016140002</v>
      </c>
      <c r="B13" s="2331"/>
      <c r="C13" s="2331"/>
      <c r="D13" s="2331"/>
      <c r="E13" s="2331"/>
      <c r="F13" s="2331"/>
      <c r="G13" s="2331"/>
      <c r="H13" s="2332"/>
      <c r="I13" s="31"/>
      <c r="J13" s="30"/>
      <c r="K13" s="28"/>
      <c r="L13" s="30"/>
      <c r="M13" s="30"/>
      <c r="N13" s="30"/>
      <c r="O13" s="30"/>
      <c r="P13" s="30"/>
      <c r="Q13" s="30"/>
      <c r="R13" s="30"/>
      <c r="S13" s="30"/>
      <c r="T13" s="2336" t="s">
        <v>2056</v>
      </c>
      <c r="U13" s="2337"/>
      <c r="V13" s="2337"/>
      <c r="W13" s="2337"/>
      <c r="X13" s="2337"/>
      <c r="Y13" s="2338"/>
      <c r="Z13" s="2338"/>
      <c r="AA13" s="233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333" t="s">
        <v>2050</v>
      </c>
      <c r="B15" s="2334"/>
      <c r="C15" s="2334"/>
      <c r="D15" s="2334"/>
      <c r="E15" s="2334"/>
      <c r="F15" s="2334"/>
      <c r="G15" s="2334"/>
      <c r="H15" s="2335"/>
      <c r="T15" s="2340" t="s">
        <v>2057</v>
      </c>
      <c r="U15" s="2297"/>
      <c r="V15" s="2297"/>
      <c r="W15" s="2297"/>
      <c r="X15" s="2297"/>
      <c r="Y15" s="2341"/>
      <c r="Z15" s="2341"/>
      <c r="AA15" s="234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303" t="s">
        <v>2152</v>
      </c>
      <c r="B17" s="2304"/>
      <c r="C17" s="2304"/>
      <c r="D17" s="2304"/>
      <c r="E17" s="2304"/>
      <c r="F17" s="2304"/>
      <c r="G17" s="2304"/>
      <c r="H17" s="2329"/>
      <c r="T17" s="2347" t="s">
        <v>2058</v>
      </c>
      <c r="U17" s="2348"/>
      <c r="V17" s="2348"/>
      <c r="W17" s="2348"/>
      <c r="X17" s="2348"/>
      <c r="Y17" s="2348"/>
      <c r="Z17" s="2348"/>
      <c r="AA17" s="2349"/>
    </row>
    <row r="18" spans="1:27" ht="13.5" customHeight="1" x14ac:dyDescent="0.2">
      <c r="A18" s="82" t="s">
        <v>527</v>
      </c>
      <c r="B18" s="73"/>
      <c r="C18" s="69"/>
      <c r="D18" s="73"/>
      <c r="E18" s="73"/>
      <c r="F18" s="73"/>
      <c r="G18" s="73"/>
      <c r="H18" s="53"/>
      <c r="I18" s="2328" t="s">
        <v>671</v>
      </c>
      <c r="J18" s="2279"/>
      <c r="K18" s="2279"/>
      <c r="L18" s="2279"/>
      <c r="M18" s="2279"/>
      <c r="N18" s="2279"/>
      <c r="O18" s="2279"/>
      <c r="P18" s="2279"/>
      <c r="Q18" s="2279"/>
      <c r="R18" s="2279"/>
      <c r="S18" s="2280"/>
      <c r="T18" s="82" t="s">
        <v>706</v>
      </c>
      <c r="U18" s="48"/>
      <c r="V18" s="69"/>
      <c r="W18" s="47"/>
      <c r="X18" s="82" t="s">
        <v>264</v>
      </c>
      <c r="Y18" s="78"/>
      <c r="Z18" s="154" t="s">
        <v>672</v>
      </c>
      <c r="AA18" s="44"/>
    </row>
    <row r="19" spans="1:27" ht="13.5" customHeight="1" x14ac:dyDescent="0.2">
      <c r="A19" s="2333" t="s">
        <v>2051</v>
      </c>
      <c r="B19" s="2289"/>
      <c r="C19" s="2289"/>
      <c r="D19" s="2289"/>
      <c r="E19" s="2289"/>
      <c r="F19" s="2289"/>
      <c r="G19" s="2289"/>
      <c r="H19" s="2269"/>
      <c r="I19" s="30"/>
      <c r="J19" s="96"/>
      <c r="K19" s="40"/>
      <c r="L19" s="38"/>
      <c r="M19" s="109" t="s">
        <v>312</v>
      </c>
      <c r="P19" s="27"/>
      <c r="Q19" s="27"/>
      <c r="R19" s="27"/>
      <c r="S19" s="31"/>
      <c r="T19" s="2333" t="s">
        <v>2059</v>
      </c>
      <c r="U19" s="2268"/>
      <c r="V19" s="2268"/>
      <c r="W19" s="2269"/>
      <c r="X19" s="2345" t="s">
        <v>2060</v>
      </c>
      <c r="Y19" s="2346"/>
      <c r="Z19" s="2343">
        <v>60477</v>
      </c>
      <c r="AA19" s="234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267" t="s">
        <v>2052</v>
      </c>
      <c r="B21" s="2268"/>
      <c r="C21" s="2268"/>
      <c r="D21" s="2268"/>
      <c r="E21" s="2268"/>
      <c r="F21" s="2268"/>
      <c r="G21" s="2268"/>
      <c r="H21" s="2269"/>
      <c r="I21" s="2323" t="s">
        <v>673</v>
      </c>
      <c r="J21" s="2318"/>
      <c r="K21" s="2318"/>
      <c r="L21" s="2318"/>
      <c r="M21" s="2318"/>
      <c r="N21" s="2318"/>
      <c r="O21" s="2318"/>
      <c r="P21" s="2318"/>
      <c r="Q21" s="2318"/>
      <c r="R21" s="2318"/>
      <c r="S21" s="2324"/>
      <c r="T21" s="2358" t="s">
        <v>2061</v>
      </c>
      <c r="U21" s="2359"/>
      <c r="V21" s="2359"/>
      <c r="W21" s="2359"/>
      <c r="X21" s="2364" t="s">
        <v>2062</v>
      </c>
      <c r="Y21" s="2365"/>
      <c r="Z21" s="2365"/>
      <c r="AA21" s="2366"/>
    </row>
    <row r="22" spans="1:27" ht="13.5" customHeight="1" x14ac:dyDescent="0.2">
      <c r="A22" s="84" t="s">
        <v>528</v>
      </c>
      <c r="B22" s="56"/>
      <c r="C22" s="56"/>
      <c r="D22" s="56"/>
      <c r="E22" s="56"/>
      <c r="F22" s="56"/>
      <c r="G22" s="56"/>
      <c r="H22" s="57"/>
      <c r="I22" s="2325" t="s">
        <v>1415</v>
      </c>
      <c r="J22" s="2326"/>
      <c r="K22" s="2326"/>
      <c r="L22" s="2326"/>
      <c r="M22" s="2326"/>
      <c r="N22" s="2326"/>
      <c r="O22" s="2326"/>
      <c r="P22" s="2326"/>
      <c r="Q22" s="2326"/>
      <c r="R22" s="2326"/>
      <c r="S22" s="2327"/>
      <c r="T22" s="82" t="s">
        <v>1502</v>
      </c>
      <c r="U22" s="48"/>
      <c r="V22" s="69"/>
      <c r="W22" s="48"/>
      <c r="X22" s="155" t="s">
        <v>1309</v>
      </c>
      <c r="Z22" s="43"/>
      <c r="AA22" s="44"/>
    </row>
    <row r="23" spans="1:27" ht="13.5" customHeight="1" x14ac:dyDescent="0.2">
      <c r="A23" s="2320" t="s">
        <v>2149</v>
      </c>
      <c r="B23" s="2321"/>
      <c r="C23" s="2321"/>
      <c r="D23" s="2321"/>
      <c r="E23" s="2321"/>
      <c r="F23" s="2321"/>
      <c r="G23" s="2321"/>
      <c r="H23" s="2322"/>
      <c r="T23" s="2303" t="s">
        <v>2063</v>
      </c>
      <c r="U23" s="2357"/>
      <c r="V23" s="2357"/>
      <c r="W23" s="2357"/>
      <c r="X23" s="2361">
        <v>44530</v>
      </c>
      <c r="Y23" s="2362"/>
      <c r="Z23" s="2362"/>
      <c r="AA23" s="2363"/>
    </row>
    <row r="24" spans="1:27" ht="14.1" customHeight="1" x14ac:dyDescent="0.2">
      <c r="A24" s="85" t="s">
        <v>672</v>
      </c>
      <c r="B24" s="46"/>
      <c r="C24" s="46"/>
      <c r="D24" s="46"/>
      <c r="E24" s="46"/>
      <c r="F24" s="46"/>
      <c r="G24" s="46"/>
      <c r="H24" s="58"/>
      <c r="J24" s="2290">
        <f>IF(B5="x",IF(AUDITCHECK!D29="AFR form Incomplete.","",IF(AUDITCHECK!D29="Deficit reduction plan is required.","School District must complete a deficit reduction plan in the 2019-2020 Budget",)),"")</f>
        <v>0</v>
      </c>
      <c r="K24" s="2290"/>
      <c r="L24" s="2290"/>
      <c r="M24" s="2290"/>
      <c r="N24" s="2290"/>
      <c r="O24" s="2290"/>
      <c r="P24" s="2290"/>
      <c r="Q24" s="2290"/>
      <c r="R24" s="2290"/>
      <c r="S24" s="2291"/>
      <c r="T24" s="102" t="s">
        <v>528</v>
      </c>
      <c r="U24" s="103"/>
      <c r="V24" s="103"/>
      <c r="W24" s="103"/>
      <c r="X24" s="104"/>
      <c r="Y24" s="104"/>
      <c r="Z24" s="104"/>
      <c r="AA24" s="105"/>
    </row>
    <row r="25" spans="1:27" ht="14.1" customHeight="1" x14ac:dyDescent="0.2">
      <c r="A25" s="2267">
        <v>60477</v>
      </c>
      <c r="B25" s="2268"/>
      <c r="C25" s="2268"/>
      <c r="D25" s="2268"/>
      <c r="E25" s="2268"/>
      <c r="F25" s="2268"/>
      <c r="G25" s="2268"/>
      <c r="H25" s="2269"/>
      <c r="I25" s="110"/>
      <c r="J25" s="2292"/>
      <c r="K25" s="2292"/>
      <c r="L25" s="2292"/>
      <c r="M25" s="2292"/>
      <c r="N25" s="2292"/>
      <c r="O25" s="2292"/>
      <c r="P25" s="2292"/>
      <c r="Q25" s="2292"/>
      <c r="R25" s="2292"/>
      <c r="S25" s="2293"/>
      <c r="T25" s="2354" t="s">
        <v>2064</v>
      </c>
      <c r="U25" s="2355"/>
      <c r="V25" s="2355"/>
      <c r="W25" s="2355"/>
      <c r="X25" s="2355"/>
      <c r="Y25" s="2355"/>
      <c r="Z25" s="2355"/>
      <c r="AA25" s="235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78" t="s">
        <v>1497</v>
      </c>
      <c r="J27" s="2279"/>
      <c r="K27" s="2279"/>
      <c r="L27" s="2279"/>
      <c r="M27" s="2279"/>
      <c r="N27" s="2279"/>
      <c r="O27" s="2279"/>
      <c r="P27" s="2279"/>
      <c r="Q27" s="2279"/>
      <c r="R27" s="2279"/>
      <c r="S27" s="228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2053</v>
      </c>
      <c r="F29" s="137" t="s">
        <v>1307</v>
      </c>
      <c r="G29" s="111"/>
      <c r="I29" s="51"/>
      <c r="J29" s="144" t="s">
        <v>2053</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2053</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2053</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89"/>
      <c r="Q35" s="2268"/>
      <c r="R35" s="226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303" t="s">
        <v>2150</v>
      </c>
      <c r="B38" s="2304"/>
      <c r="C38" s="2304"/>
      <c r="D38" s="2304"/>
      <c r="E38" s="2304"/>
      <c r="F38" s="2268"/>
      <c r="G38" s="2268"/>
      <c r="H38" s="2269"/>
      <c r="I38" s="2296"/>
      <c r="J38" s="2297"/>
      <c r="K38" s="2297"/>
      <c r="L38" s="2297"/>
      <c r="M38" s="2297"/>
      <c r="N38" s="2297"/>
      <c r="O38" s="2297"/>
      <c r="P38" s="2298"/>
      <c r="Q38" s="2298"/>
      <c r="R38" s="2298"/>
      <c r="S38" s="2299"/>
      <c r="T38" s="2340"/>
      <c r="U38" s="2297"/>
      <c r="V38" s="2297"/>
      <c r="W38" s="2297"/>
      <c r="X38" s="2298"/>
      <c r="Y38" s="2298"/>
      <c r="Z38" s="2298"/>
      <c r="AA38" s="2299"/>
    </row>
    <row r="39" spans="1:27" ht="12" customHeight="1" x14ac:dyDescent="0.2">
      <c r="A39" s="2273" t="s">
        <v>528</v>
      </c>
      <c r="B39" s="2274"/>
      <c r="C39" s="69"/>
      <c r="D39" s="66"/>
      <c r="E39" s="66"/>
      <c r="F39" s="76"/>
      <c r="G39" s="66"/>
      <c r="H39" s="53"/>
      <c r="I39" s="2273" t="s">
        <v>528</v>
      </c>
      <c r="J39" s="2274"/>
      <c r="K39" s="2274"/>
      <c r="L39" s="2274"/>
      <c r="M39" s="2274"/>
      <c r="N39" s="64"/>
      <c r="O39" s="69"/>
      <c r="P39" s="69"/>
      <c r="Q39" s="75"/>
      <c r="R39" s="69"/>
      <c r="S39" s="53"/>
      <c r="T39" s="69" t="s">
        <v>528</v>
      </c>
      <c r="U39" s="48"/>
      <c r="V39" s="69"/>
      <c r="W39" s="47"/>
      <c r="X39" s="75"/>
      <c r="Y39" s="43"/>
      <c r="Z39" s="43"/>
      <c r="AA39" s="44"/>
    </row>
    <row r="40" spans="1:27" ht="13.5" customHeight="1" x14ac:dyDescent="0.2">
      <c r="A40" s="2281" t="s">
        <v>2149</v>
      </c>
      <c r="B40" s="2282"/>
      <c r="C40" s="2283"/>
      <c r="D40" s="2283"/>
      <c r="E40" s="2283"/>
      <c r="F40" s="2284"/>
      <c r="G40" s="2284"/>
      <c r="H40" s="2285"/>
      <c r="I40" s="2306"/>
      <c r="J40" s="2307"/>
      <c r="K40" s="2307"/>
      <c r="L40" s="2307"/>
      <c r="M40" s="2307"/>
      <c r="N40" s="2307"/>
      <c r="O40" s="2307"/>
      <c r="P40" s="2307"/>
      <c r="Q40" s="2307"/>
      <c r="R40" s="2307"/>
      <c r="S40" s="2308"/>
      <c r="T40" s="2306"/>
      <c r="U40" s="2360"/>
      <c r="V40" s="2307"/>
      <c r="W40" s="2307"/>
      <c r="X40" s="2307"/>
      <c r="Y40" s="2307"/>
      <c r="Z40" s="2307"/>
      <c r="AA40" s="230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95" t="s">
        <v>2054</v>
      </c>
      <c r="B42" s="2287"/>
      <c r="C42" s="2288"/>
      <c r="D42" s="2286" t="s">
        <v>2055</v>
      </c>
      <c r="E42" s="2287"/>
      <c r="F42" s="2287"/>
      <c r="G42" s="2287"/>
      <c r="H42" s="2288"/>
      <c r="I42" s="2270"/>
      <c r="J42" s="2271"/>
      <c r="K42" s="2271"/>
      <c r="L42" s="2271"/>
      <c r="M42" s="2271"/>
      <c r="N42" s="2271"/>
      <c r="O42" s="2272"/>
      <c r="P42" s="2305"/>
      <c r="Q42" s="2271"/>
      <c r="R42" s="2271"/>
      <c r="S42" s="2272"/>
      <c r="T42" s="2270"/>
      <c r="U42" s="2271"/>
      <c r="V42" s="2271"/>
      <c r="W42" s="2272"/>
      <c r="X42" s="2305"/>
      <c r="Y42" s="2271"/>
      <c r="Z42" s="2271"/>
      <c r="AA42" s="227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300"/>
      <c r="B44" s="2301"/>
      <c r="C44" s="2301"/>
      <c r="D44" s="2301"/>
      <c r="E44" s="2301"/>
      <c r="F44" s="2301"/>
      <c r="G44" s="2301"/>
      <c r="H44" s="2302"/>
      <c r="I44" s="2275"/>
      <c r="J44" s="2276"/>
      <c r="K44" s="2276"/>
      <c r="L44" s="2276"/>
      <c r="M44" s="2276"/>
      <c r="N44" s="2276"/>
      <c r="O44" s="2276"/>
      <c r="P44" s="2276"/>
      <c r="Q44" s="2276"/>
      <c r="R44" s="2276"/>
      <c r="S44" s="2277"/>
      <c r="T44" s="2275"/>
      <c r="U44" s="2294"/>
      <c r="V44" s="2294"/>
      <c r="W44" s="2294"/>
      <c r="X44" s="2294"/>
      <c r="Y44" s="2294"/>
      <c r="Z44" s="2276"/>
      <c r="AA44" s="227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469" t="s">
        <v>1597</v>
      </c>
    </row>
    <row r="23" spans="1:5" x14ac:dyDescent="0.2">
      <c r="A23" s="163"/>
      <c r="B23" s="157" t="s">
        <v>1830</v>
      </c>
      <c r="D23" s="162" t="s">
        <v>632</v>
      </c>
      <c r="E23" s="1469"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383" t="s">
        <v>1058</v>
      </c>
      <c r="B35" s="2383"/>
      <c r="C35" s="2383"/>
      <c r="D35" s="2383"/>
      <c r="E35" s="238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380" t="s">
        <v>686</v>
      </c>
      <c r="B40" s="2380"/>
      <c r="C40" s="2380"/>
      <c r="D40" s="2380"/>
      <c r="E40" s="2380"/>
    </row>
    <row r="41" spans="1:5" x14ac:dyDescent="0.2">
      <c r="A41" s="2381" t="s">
        <v>1594</v>
      </c>
      <c r="B41" s="2381"/>
      <c r="C41" s="2381"/>
      <c r="D41" s="2381"/>
      <c r="E41" s="2381"/>
    </row>
    <row r="42" spans="1:5" ht="12.75" customHeight="1" x14ac:dyDescent="0.2">
      <c r="A42" s="2382" t="s">
        <v>1015</v>
      </c>
      <c r="B42" s="2382"/>
      <c r="C42" s="2382"/>
      <c r="D42" s="2382"/>
      <c r="E42" s="2382"/>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5" t="s">
        <v>1755</v>
      </c>
    </row>
    <row r="60" spans="1:3" x14ac:dyDescent="0.2">
      <c r="A60" s="191"/>
      <c r="B60" s="1255"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257"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6"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2" colorId="8" zoomScaleNormal="100" workbookViewId="0">
      <selection activeCell="C117" sqref="C117:H1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384" t="s">
        <v>1160</v>
      </c>
      <c r="B2" s="2384"/>
      <c r="C2" s="2384"/>
      <c r="D2" s="2384"/>
      <c r="E2" s="2384"/>
      <c r="F2" s="2384"/>
      <c r="G2" s="2384"/>
      <c r="H2" s="2384"/>
      <c r="I2" s="2384"/>
      <c r="J2" s="238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398" t="s">
        <v>1619</v>
      </c>
      <c r="B35" s="2399"/>
      <c r="C35" s="2399"/>
      <c r="D35" s="2399"/>
      <c r="E35" s="2400"/>
      <c r="F35" s="2400"/>
      <c r="G35" s="2400"/>
      <c r="H35" s="2400"/>
      <c r="I35" s="240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98" t="s">
        <v>310</v>
      </c>
      <c r="B47" s="2401"/>
      <c r="C47" s="2401"/>
      <c r="D47" s="2401"/>
      <c r="E47" s="2402"/>
      <c r="F47" s="2402"/>
      <c r="G47" s="2402"/>
      <c r="H47" s="2402"/>
      <c r="I47" s="240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2053</v>
      </c>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405"/>
      <c r="C57" s="2406"/>
      <c r="D57" s="2406"/>
      <c r="E57" s="2406"/>
      <c r="F57" s="2406"/>
      <c r="G57" s="2406"/>
      <c r="H57" s="2406"/>
      <c r="I57" s="2406"/>
      <c r="J57" s="2407"/>
    </row>
    <row r="58" spans="1:10" s="176" customFormat="1" x14ac:dyDescent="0.2">
      <c r="A58" s="248"/>
      <c r="B58" s="2408"/>
      <c r="C58" s="2409"/>
      <c r="D58" s="2409"/>
      <c r="E58" s="2409"/>
      <c r="F58" s="2409"/>
      <c r="G58" s="2409"/>
      <c r="H58" s="2409"/>
      <c r="I58" s="2409"/>
      <c r="J58" s="2410"/>
    </row>
    <row r="59" spans="1:10" s="176" customFormat="1" x14ac:dyDescent="0.2">
      <c r="A59" s="248"/>
      <c r="B59" s="2408"/>
      <c r="C59" s="2409"/>
      <c r="D59" s="2409"/>
      <c r="E59" s="2409"/>
      <c r="F59" s="2409"/>
      <c r="G59" s="2409"/>
      <c r="H59" s="2409"/>
      <c r="I59" s="2409"/>
      <c r="J59" s="2410"/>
    </row>
    <row r="60" spans="1:10" s="176" customFormat="1" x14ac:dyDescent="0.2">
      <c r="A60" s="248"/>
      <c r="B60" s="2408"/>
      <c r="C60" s="2409"/>
      <c r="D60" s="2409"/>
      <c r="E60" s="2409"/>
      <c r="F60" s="2409"/>
      <c r="G60" s="2409"/>
      <c r="H60" s="2409"/>
      <c r="I60" s="2409"/>
      <c r="J60" s="2410"/>
    </row>
    <row r="61" spans="1:10" s="176" customFormat="1" x14ac:dyDescent="0.2">
      <c r="A61" s="248"/>
      <c r="B61" s="2408"/>
      <c r="C61" s="2409"/>
      <c r="D61" s="2409"/>
      <c r="E61" s="2409"/>
      <c r="F61" s="2409"/>
      <c r="G61" s="2409"/>
      <c r="H61" s="2409"/>
      <c r="I61" s="2409"/>
      <c r="J61" s="2410"/>
    </row>
    <row r="62" spans="1:10" s="176" customFormat="1" x14ac:dyDescent="0.2">
      <c r="A62" s="248"/>
      <c r="B62" s="2408"/>
      <c r="C62" s="2409"/>
      <c r="D62" s="2409"/>
      <c r="E62" s="2409"/>
      <c r="F62" s="2409"/>
      <c r="G62" s="2409"/>
      <c r="H62" s="2409"/>
      <c r="I62" s="2409"/>
      <c r="J62" s="2410"/>
    </row>
    <row r="63" spans="1:10" s="176" customFormat="1" x14ac:dyDescent="0.2">
      <c r="A63" s="248"/>
      <c r="B63" s="2408"/>
      <c r="C63" s="2409"/>
      <c r="D63" s="2409"/>
      <c r="E63" s="2409"/>
      <c r="F63" s="2409"/>
      <c r="G63" s="2409"/>
      <c r="H63" s="2409"/>
      <c r="I63" s="2409"/>
      <c r="J63" s="2410"/>
    </row>
    <row r="64" spans="1:10" s="176" customFormat="1" x14ac:dyDescent="0.2">
      <c r="A64" s="248"/>
      <c r="B64" s="2408"/>
      <c r="C64" s="2409"/>
      <c r="D64" s="2409"/>
      <c r="E64" s="2409"/>
      <c r="F64" s="2409"/>
      <c r="G64" s="2409"/>
      <c r="H64" s="2409"/>
      <c r="I64" s="2409"/>
      <c r="J64" s="2410"/>
    </row>
    <row r="65" spans="1:11" s="176" customFormat="1" x14ac:dyDescent="0.2">
      <c r="A65" s="248"/>
      <c r="B65" s="2408"/>
      <c r="C65" s="2409"/>
      <c r="D65" s="2409"/>
      <c r="E65" s="2409"/>
      <c r="F65" s="2409"/>
      <c r="G65" s="2409"/>
      <c r="H65" s="2409"/>
      <c r="I65" s="2409"/>
      <c r="J65" s="2410"/>
    </row>
    <row r="66" spans="1:11" s="176" customFormat="1" x14ac:dyDescent="0.2">
      <c r="A66" s="248"/>
      <c r="B66" s="2408"/>
      <c r="C66" s="2409"/>
      <c r="D66" s="2409"/>
      <c r="E66" s="2409"/>
      <c r="F66" s="2409"/>
      <c r="G66" s="2409"/>
      <c r="H66" s="2409"/>
      <c r="I66" s="2409"/>
      <c r="J66" s="2410"/>
    </row>
    <row r="67" spans="1:11" s="176" customFormat="1" ht="9" customHeight="1" x14ac:dyDescent="0.2">
      <c r="A67" s="249"/>
      <c r="B67" s="2411"/>
      <c r="C67" s="2412"/>
      <c r="D67" s="2412"/>
      <c r="E67" s="2412"/>
      <c r="F67" s="2412"/>
      <c r="G67" s="2412"/>
      <c r="H67" s="2412"/>
      <c r="I67" s="2412"/>
      <c r="J67" s="241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98" t="s">
        <v>1314</v>
      </c>
      <c r="B70" s="2401"/>
      <c r="C70" s="2401"/>
      <c r="D70" s="2401"/>
      <c r="E70" s="2402"/>
      <c r="F70" s="2402"/>
      <c r="G70" s="2402"/>
      <c r="H70" s="2402"/>
      <c r="I70" s="240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403" t="s">
        <v>1311</v>
      </c>
      <c r="B83" s="2403"/>
      <c r="C83" s="2403"/>
      <c r="D83" s="240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414" t="s">
        <v>1991</v>
      </c>
      <c r="B85" s="2414"/>
      <c r="C85" s="2414"/>
      <c r="D85" s="2415"/>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416" t="s">
        <v>1991</v>
      </c>
      <c r="B88" s="2417"/>
      <c r="C88" s="2417"/>
      <c r="D88" s="2418"/>
      <c r="E88" s="1543">
        <v>260606</v>
      </c>
      <c r="F88" s="1543">
        <v>10135</v>
      </c>
      <c r="G88" s="1543"/>
      <c r="H88" s="1543"/>
      <c r="I88" s="1903"/>
      <c r="J88" s="1726">
        <f>SUM(E88:I88)</f>
        <v>270741</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270741</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385"/>
      <c r="C102" s="2386"/>
      <c r="D102" s="2386"/>
      <c r="E102" s="2386"/>
      <c r="F102" s="2386"/>
      <c r="G102" s="2386"/>
      <c r="H102" s="2386"/>
      <c r="I102" s="2387"/>
    </row>
    <row r="103" spans="1:9" s="176" customFormat="1" ht="11.25" customHeight="1" x14ac:dyDescent="0.2">
      <c r="A103" s="294"/>
      <c r="B103" s="2388"/>
      <c r="C103" s="2389"/>
      <c r="D103" s="2389"/>
      <c r="E103" s="2389"/>
      <c r="F103" s="2389"/>
      <c r="G103" s="2389"/>
      <c r="H103" s="2389"/>
      <c r="I103" s="2390"/>
    </row>
    <row r="104" spans="1:9" s="176" customFormat="1" ht="11.25" customHeight="1" x14ac:dyDescent="0.2">
      <c r="A104" s="294"/>
      <c r="B104" s="2388"/>
      <c r="C104" s="2389"/>
      <c r="D104" s="2389"/>
      <c r="E104" s="2389"/>
      <c r="F104" s="2389"/>
      <c r="G104" s="2389"/>
      <c r="H104" s="2389"/>
      <c r="I104" s="2390"/>
    </row>
    <row r="105" spans="1:9" s="176" customFormat="1" x14ac:dyDescent="0.2">
      <c r="A105" s="294"/>
      <c r="B105" s="2388"/>
      <c r="C105" s="2389"/>
      <c r="D105" s="2389"/>
      <c r="E105" s="2389"/>
      <c r="F105" s="2389"/>
      <c r="G105" s="2389"/>
      <c r="H105" s="2389"/>
      <c r="I105" s="2390"/>
    </row>
    <row r="106" spans="1:9" s="176" customFormat="1" ht="11.25" customHeight="1" x14ac:dyDescent="0.2">
      <c r="A106" s="294"/>
      <c r="B106" s="2388"/>
      <c r="C106" s="2389"/>
      <c r="D106" s="2389"/>
      <c r="E106" s="2389"/>
      <c r="F106" s="2389"/>
      <c r="G106" s="2389"/>
      <c r="H106" s="2389"/>
      <c r="I106" s="2390"/>
    </row>
    <row r="107" spans="1:9" s="176" customFormat="1" ht="11.25" customHeight="1" x14ac:dyDescent="0.2">
      <c r="A107" s="294"/>
      <c r="B107" s="2388"/>
      <c r="C107" s="2389"/>
      <c r="D107" s="2389"/>
      <c r="E107" s="2389"/>
      <c r="F107" s="2389"/>
      <c r="G107" s="2389"/>
      <c r="H107" s="2389"/>
      <c r="I107" s="2390"/>
    </row>
    <row r="108" spans="1:9" s="176" customFormat="1" ht="11.25" customHeight="1" x14ac:dyDescent="0.2">
      <c r="A108" s="294"/>
      <c r="B108" s="2388"/>
      <c r="C108" s="2389"/>
      <c r="D108" s="2389"/>
      <c r="E108" s="2389"/>
      <c r="F108" s="2389"/>
      <c r="G108" s="2389"/>
      <c r="H108" s="2389"/>
      <c r="I108" s="2390"/>
    </row>
    <row r="109" spans="1:9" s="176" customFormat="1" ht="11.25" customHeight="1" x14ac:dyDescent="0.2">
      <c r="A109" s="294"/>
      <c r="B109" s="2388"/>
      <c r="C109" s="2389"/>
      <c r="D109" s="2389"/>
      <c r="E109" s="2389"/>
      <c r="F109" s="2389"/>
      <c r="G109" s="2389"/>
      <c r="H109" s="2389"/>
      <c r="I109" s="2390"/>
    </row>
    <row r="110" spans="1:9" s="176" customFormat="1" ht="11.25" customHeight="1" x14ac:dyDescent="0.2">
      <c r="A110" s="294"/>
      <c r="B110" s="2388"/>
      <c r="C110" s="2389"/>
      <c r="D110" s="2389"/>
      <c r="E110" s="2389"/>
      <c r="F110" s="2389"/>
      <c r="G110" s="2389"/>
      <c r="H110" s="2389"/>
      <c r="I110" s="2390"/>
    </row>
    <row r="111" spans="1:9" s="176" customFormat="1" ht="11.25" customHeight="1" x14ac:dyDescent="0.2">
      <c r="A111" s="294"/>
      <c r="B111" s="2388"/>
      <c r="C111" s="2389"/>
      <c r="D111" s="2389"/>
      <c r="E111" s="2389"/>
      <c r="F111" s="2389"/>
      <c r="G111" s="2389"/>
      <c r="H111" s="2389"/>
      <c r="I111" s="2390"/>
    </row>
    <row r="112" spans="1:9" s="176" customFormat="1" ht="11.25" customHeight="1" x14ac:dyDescent="0.2">
      <c r="A112" s="294"/>
      <c r="B112" s="2391"/>
      <c r="C112" s="2392"/>
      <c r="D112" s="2392"/>
      <c r="E112" s="2392"/>
      <c r="F112" s="2392"/>
      <c r="G112" s="2392"/>
      <c r="H112" s="2392"/>
      <c r="I112" s="239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94" t="s">
        <v>2151</v>
      </c>
      <c r="D114" s="239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95" t="s">
        <v>1321</v>
      </c>
      <c r="D117" s="2396"/>
      <c r="E117" s="2397"/>
      <c r="F117" s="2397"/>
      <c r="G117" s="2397"/>
      <c r="H117" s="2397"/>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1875</v>
      </c>
      <c r="G119" s="306"/>
      <c r="H119" s="306"/>
      <c r="I119" s="282"/>
    </row>
    <row r="120" spans="1:9" x14ac:dyDescent="0.2">
      <c r="A120" s="307"/>
      <c r="B120" s="175"/>
      <c r="C120" s="308"/>
      <c r="D120" s="251"/>
      <c r="E120" s="251"/>
      <c r="F120" s="251"/>
      <c r="G120" s="251"/>
      <c r="H120" s="251"/>
      <c r="I120" s="282"/>
    </row>
    <row r="121" spans="1:9" x14ac:dyDescent="0.2">
      <c r="A121" s="307"/>
      <c r="B121" s="1258"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419" t="s">
        <v>383</v>
      </c>
      <c r="B1" s="2419"/>
      <c r="C1" s="2419"/>
      <c r="D1" s="2419"/>
      <c r="E1" s="2419"/>
      <c r="F1" s="2419"/>
      <c r="G1" s="2419"/>
      <c r="H1" s="2419"/>
      <c r="I1" s="2419"/>
      <c r="J1" s="2419"/>
      <c r="K1" s="2419"/>
      <c r="L1" s="2419"/>
      <c r="M1" s="241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856388943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3.9844999999999998E-2</v>
      </c>
      <c r="E10" s="333" t="s">
        <v>998</v>
      </c>
      <c r="F10" s="332">
        <v>4.9589999999999999E-3</v>
      </c>
      <c r="G10" s="333" t="s">
        <v>998</v>
      </c>
      <c r="H10" s="332">
        <v>1.8190000000000001E-3</v>
      </c>
      <c r="I10" s="333" t="s">
        <v>999</v>
      </c>
      <c r="J10" s="1423">
        <f>ROUND(D10+F10+H10,5)</f>
        <v>4.6620000000000002E-2</v>
      </c>
      <c r="K10" s="217"/>
      <c r="L10" s="332">
        <v>3.4200000000000002E-4</v>
      </c>
      <c r="M10" s="217"/>
    </row>
    <row r="11" spans="1:14" ht="7.5" customHeight="1" x14ac:dyDescent="0.2">
      <c r="B11" s="217"/>
      <c r="C11" s="217"/>
      <c r="D11" s="2429" t="str">
        <f>IF(SUM(J10)&lt;=0.0999999,"","Enter the Tax Rates by moving the decimal two places to the left.")</f>
        <v/>
      </c>
      <c r="E11" s="2430"/>
      <c r="F11" s="2430"/>
      <c r="G11" s="2430"/>
      <c r="H11" s="2430"/>
      <c r="I11" s="2430"/>
      <c r="J11" s="243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50857994</v>
      </c>
      <c r="E16" s="1546"/>
      <c r="F16" s="1545">
        <f>SUM('Acct Summary 7-8'!C17,'Acct Summary 7-8'!D17,'Acct Summary 7-8'!F17)</f>
        <v>51565996</v>
      </c>
      <c r="G16" s="1546"/>
      <c r="H16" s="1545">
        <f>SUM(D16-F16)</f>
        <v>-708002</v>
      </c>
      <c r="I16" s="1547"/>
      <c r="J16" s="1545">
        <f>SUM('Acct Summary 7-8'!C81,'Acct Summary 7-8'!D81,'Acct Summary 7-8'!F81,'Acct Summary 7-8'!I81)</f>
        <v>45981533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582</v>
      </c>
      <c r="D31" s="232" t="s">
        <v>1065</v>
      </c>
      <c r="E31" s="217"/>
      <c r="F31" s="217"/>
      <c r="G31" s="340"/>
      <c r="H31" s="1424">
        <f>IF(B31="X",(J7*0.069),IF(B32="X",(J7*0.138),"Enter x in a.or b."))</f>
        <v>59090837.067000002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420"/>
      <c r="C54" s="2421"/>
      <c r="D54" s="2421"/>
      <c r="E54" s="2421"/>
      <c r="F54" s="2421"/>
      <c r="G54" s="2421"/>
      <c r="H54" s="2421"/>
      <c r="I54" s="2421"/>
      <c r="J54" s="2421"/>
      <c r="K54" s="2421"/>
      <c r="L54" s="2422"/>
      <c r="M54" s="357"/>
    </row>
    <row r="55" spans="1:13" ht="12.75" customHeight="1" x14ac:dyDescent="0.2">
      <c r="B55" s="2423"/>
      <c r="C55" s="2424"/>
      <c r="D55" s="2424"/>
      <c r="E55" s="2424"/>
      <c r="F55" s="2424"/>
      <c r="G55" s="2424"/>
      <c r="H55" s="2424"/>
      <c r="I55" s="2424"/>
      <c r="J55" s="2424"/>
      <c r="K55" s="2424"/>
      <c r="L55" s="2425"/>
      <c r="M55" s="357"/>
    </row>
    <row r="56" spans="1:13" ht="12.75" customHeight="1" x14ac:dyDescent="0.2">
      <c r="B56" s="2423"/>
      <c r="C56" s="2424"/>
      <c r="D56" s="2424"/>
      <c r="E56" s="2424"/>
      <c r="F56" s="2424"/>
      <c r="G56" s="2424"/>
      <c r="H56" s="2424"/>
      <c r="I56" s="2424"/>
      <c r="J56" s="2424"/>
      <c r="K56" s="2424"/>
      <c r="L56" s="2425"/>
      <c r="M56" s="217"/>
    </row>
    <row r="57" spans="1:13" ht="12.75" customHeight="1" x14ac:dyDescent="0.2">
      <c r="B57" s="2423"/>
      <c r="C57" s="2424"/>
      <c r="D57" s="2424"/>
      <c r="E57" s="2424"/>
      <c r="F57" s="2424"/>
      <c r="G57" s="2424"/>
      <c r="H57" s="2424"/>
      <c r="I57" s="2424"/>
      <c r="J57" s="2424"/>
      <c r="K57" s="2424"/>
      <c r="L57" s="2425"/>
      <c r="M57" s="217"/>
    </row>
    <row r="58" spans="1:13" x14ac:dyDescent="0.2">
      <c r="B58" s="2426"/>
      <c r="C58" s="2427"/>
      <c r="D58" s="2427"/>
      <c r="E58" s="2427"/>
      <c r="F58" s="2427"/>
      <c r="G58" s="2427"/>
      <c r="H58" s="2427"/>
      <c r="I58" s="2427"/>
      <c r="J58" s="2427"/>
      <c r="K58" s="2427"/>
      <c r="L58" s="242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431"/>
      <c r="D61" s="243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F44" sqref="F4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434"/>
      <c r="B1" s="2435"/>
      <c r="C1" s="2435"/>
      <c r="D1" s="361"/>
      <c r="E1" s="361"/>
      <c r="F1" s="361"/>
      <c r="G1" s="361"/>
      <c r="H1" s="361"/>
      <c r="I1" s="361"/>
      <c r="J1" s="361"/>
      <c r="K1" s="361"/>
      <c r="L1" s="361"/>
      <c r="M1" s="361"/>
      <c r="N1" s="361"/>
      <c r="O1" s="2434"/>
      <c r="P1" s="2435"/>
      <c r="Q1" s="2435"/>
    </row>
    <row r="2" spans="1:18" ht="15" x14ac:dyDescent="0.2">
      <c r="A2" s="2438" t="s">
        <v>552</v>
      </c>
      <c r="B2" s="2438"/>
      <c r="C2" s="2438"/>
      <c r="D2" s="2438"/>
      <c r="E2" s="2438"/>
      <c r="F2" s="2438"/>
      <c r="G2" s="2438"/>
      <c r="H2" s="2438"/>
      <c r="I2" s="2438"/>
      <c r="J2" s="2438"/>
      <c r="K2" s="2438"/>
      <c r="L2" s="2438"/>
      <c r="M2" s="2438"/>
      <c r="N2" s="2438"/>
      <c r="O2" s="2438"/>
      <c r="P2" s="2438"/>
      <c r="Q2" s="2438"/>
      <c r="R2" s="2438"/>
    </row>
    <row r="3" spans="1:18" ht="12.75" x14ac:dyDescent="0.2">
      <c r="A3" s="2439" t="s">
        <v>1399</v>
      </c>
      <c r="B3" s="2439"/>
      <c r="C3" s="2439"/>
      <c r="D3" s="2439"/>
      <c r="E3" s="2439"/>
      <c r="F3" s="2439"/>
      <c r="G3" s="2439"/>
      <c r="H3" s="2439"/>
      <c r="I3" s="2439"/>
      <c r="J3" s="2439"/>
      <c r="K3" s="2439"/>
      <c r="L3" s="2439"/>
      <c r="M3" s="2439"/>
      <c r="N3" s="2439"/>
      <c r="O3" s="2439"/>
      <c r="P3" s="2439"/>
      <c r="Q3" s="2439"/>
      <c r="R3" s="2439"/>
    </row>
    <row r="4" spans="1:18" x14ac:dyDescent="0.2">
      <c r="A4" s="2440" t="s">
        <v>1540</v>
      </c>
      <c r="B4" s="2440"/>
      <c r="C4" s="2440"/>
      <c r="D4" s="2440"/>
      <c r="E4" s="2440"/>
      <c r="F4" s="2440"/>
      <c r="G4" s="2440"/>
      <c r="H4" s="2440"/>
      <c r="I4" s="2440"/>
      <c r="J4" s="2440"/>
      <c r="K4" s="2440"/>
      <c r="L4" s="2440"/>
      <c r="M4" s="2440"/>
      <c r="N4" s="2440"/>
      <c r="O4" s="2440"/>
      <c r="P4" s="2440"/>
      <c r="Q4" s="2440"/>
      <c r="R4" s="244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Kirby SD 140</v>
      </c>
      <c r="E7" s="368"/>
      <c r="G7" s="247"/>
      <c r="H7" s="364"/>
      <c r="I7" s="364"/>
      <c r="J7" s="364"/>
      <c r="K7" s="364"/>
      <c r="L7" s="307"/>
      <c r="M7" s="307"/>
      <c r="N7" s="307"/>
      <c r="O7" s="307"/>
      <c r="P7" s="307"/>
    </row>
    <row r="8" spans="1:18" ht="12.75" x14ac:dyDescent="0.2">
      <c r="A8" s="307"/>
      <c r="B8" s="307"/>
      <c r="C8" s="366" t="s">
        <v>1117</v>
      </c>
      <c r="D8" s="369">
        <f>COVER!A13</f>
        <v>7016140002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1351</v>
      </c>
      <c r="D12" s="213"/>
      <c r="E12" s="213"/>
      <c r="F12" s="213" t="s">
        <v>1084</v>
      </c>
      <c r="G12" s="378"/>
      <c r="H12" s="1550">
        <f>SUM('Acct Summary 7-8'!C81+'Acct Summary 7-8'!D81+'Acct Summary 7-8'!F81+'Acct Summary 7-8'!I81+IF('Acct Summary 7-8'!G81&lt;0,'Acct Summary 7-8'!G81,"0")+IF('Acct Summary 7-8'!J81&lt;0,'Acct Summary 7-8'!J81,"0"))</f>
        <v>45981533</v>
      </c>
      <c r="I12" s="380"/>
      <c r="J12" s="380"/>
      <c r="K12" s="1558">
        <f>TRUNC((H12/H13*100000),5)/100000</f>
        <v>0.90411613559999993</v>
      </c>
      <c r="L12" s="381"/>
      <c r="M12" s="337" t="s">
        <v>1136</v>
      </c>
      <c r="N12" s="337"/>
      <c r="O12" s="1561">
        <v>0.35</v>
      </c>
      <c r="P12" s="213"/>
      <c r="Q12" s="213"/>
    </row>
    <row r="13" spans="1:18" s="382" customFormat="1" ht="12.75" x14ac:dyDescent="0.2">
      <c r="A13" s="213"/>
      <c r="B13" s="377"/>
      <c r="C13" s="2436" t="s">
        <v>1315</v>
      </c>
      <c r="D13" s="2437"/>
      <c r="E13" s="213"/>
      <c r="F13" s="383" t="s">
        <v>788</v>
      </c>
      <c r="G13" s="378"/>
      <c r="H13" s="1550">
        <f>SUM('Acct Summary 7-8'!C8+'Acct Summary 7-8'!D8+'Acct Summary 7-8'!F8+'Acct Summary 7-8'!I8)+H14</f>
        <v>50857994</v>
      </c>
      <c r="I13" s="380"/>
      <c r="J13" s="380"/>
      <c r="K13" s="1557"/>
      <c r="L13" s="213"/>
      <c r="M13" s="337" t="s">
        <v>1137</v>
      </c>
      <c r="N13" s="337"/>
      <c r="O13" s="1562">
        <f>(O11*O12)</f>
        <v>1.4</v>
      </c>
      <c r="P13" s="213"/>
      <c r="Q13" s="213"/>
      <c r="R13" s="385"/>
    </row>
    <row r="14" spans="1:18" s="382" customFormat="1" ht="12.75" x14ac:dyDescent="0.2">
      <c r="A14" s="213"/>
      <c r="B14" s="377"/>
      <c r="C14" s="235" t="s">
        <v>1383</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t="str">
        <f>IF(K17&gt;1.2,"1",IF(K17&gt;1.1,"2",IF(K17&gt;1,"3",4)))</f>
        <v>3</v>
      </c>
      <c r="P16" s="211"/>
      <c r="R16" s="361"/>
    </row>
    <row r="17" spans="1:18" s="382" customFormat="1" ht="11.25" x14ac:dyDescent="0.2">
      <c r="A17" s="213"/>
      <c r="B17" s="377"/>
      <c r="C17" s="213" t="s">
        <v>792</v>
      </c>
      <c r="D17" s="213"/>
      <c r="E17" s="213"/>
      <c r="F17" s="213" t="s">
        <v>441</v>
      </c>
      <c r="G17" s="378"/>
      <c r="H17" s="1550">
        <f>SUM('Acct Summary 7-8'!C17+'Acct Summary 7-8'!D17+'Acct Summary 7-8'!F17)</f>
        <v>51565996</v>
      </c>
      <c r="I17" s="380"/>
      <c r="J17" s="389"/>
      <c r="K17" s="1558">
        <f>TRUNC((H17/H18*100000),5)/100000</f>
        <v>1.0139211546</v>
      </c>
      <c r="L17" s="381"/>
      <c r="M17" s="390" t="s">
        <v>1163</v>
      </c>
      <c r="O17" s="1564" t="str">
        <f>IF(AND(O16="2", J20 &gt; 2),"1",IF(AND(O16 = "1", J20 &gt; 2),"2",IF(AND(O16="1", J20 &gt;1),"1","0")))</f>
        <v>0</v>
      </c>
      <c r="P17" s="213"/>
    </row>
    <row r="18" spans="1:18" s="382" customFormat="1" ht="11.25" x14ac:dyDescent="0.2">
      <c r="A18" s="213"/>
      <c r="B18" s="377"/>
      <c r="C18" s="2436" t="s">
        <v>1308</v>
      </c>
      <c r="D18" s="2437"/>
      <c r="E18" s="213"/>
      <c r="F18" s="391" t="s">
        <v>789</v>
      </c>
      <c r="G18" s="378"/>
      <c r="H18" s="1550">
        <f>SUM('Acct Summary 7-8'!C8+'Acct Summary 7-8'!D8+'Acct Summary 7-8'!F8+'Acct Summary 7-8'!I8)+H19</f>
        <v>50857994</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f>IF(K17&lt;=1,"0",TRUNC(((K12-0.1)/(K17-1)*100),5)/100)</f>
        <v>57.762172600000007</v>
      </c>
      <c r="K20" s="1558" t="str">
        <f>IF(K17&lt;=1,"0",IF(AND(O16="2", J20 &gt; 2),TRUNC(((K12-0.1)/(K17-1)*100),5)/100,IF(AND(O16 = "1", J20 &gt; 2),TRUNC(((K12-0.1)/(K17-1)*100),5)/100,IF(AND(O16="1", J20 &gt;1),TRUNC(((K12-0.1)/(K17-1)*100),5)/100,""))))</f>
        <v/>
      </c>
      <c r="L20" s="213"/>
      <c r="M20" s="337" t="s">
        <v>1137</v>
      </c>
      <c r="N20" s="337"/>
      <c r="O20" s="1562">
        <f>(O16+O17)*O18</f>
        <v>1.0499999999999998</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4</v>
      </c>
      <c r="P23" s="211"/>
      <c r="R23" s="361"/>
    </row>
    <row r="24" spans="1:18" s="382" customFormat="1" ht="11.25" x14ac:dyDescent="0.2">
      <c r="A24" s="213"/>
      <c r="B24" s="377"/>
      <c r="C24" s="2433" t="s">
        <v>1398</v>
      </c>
      <c r="D24" s="2433"/>
      <c r="E24" s="213"/>
      <c r="F24" s="213" t="s">
        <v>442</v>
      </c>
      <c r="G24" s="378"/>
      <c r="H24" s="1550">
        <f>SUM('Assets-Liab 5-6'!C4+'Assets-Liab 5-6'!D4+'Assets-Liab 5-6'!F4+'Assets-Liab 5-6'!I4+'Assets-Liab 5-6'!C5+'Assets-Liab 5-6'!D5+'Assets-Liab 5-6'!F5+'Assets-Liab 5-6'!I5)</f>
        <v>49931552</v>
      </c>
      <c r="I24" s="394"/>
      <c r="J24" s="394"/>
      <c r="K24" s="1554">
        <f>TRUNC(((H24/H25*100000)/100000),2)</f>
        <v>348.58</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143238.87778000001</v>
      </c>
      <c r="I25" s="396"/>
      <c r="J25" s="396"/>
      <c r="K25" s="1557"/>
      <c r="L25" s="213"/>
      <c r="M25" s="337" t="s">
        <v>1137</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1895</v>
      </c>
      <c r="D28" s="213"/>
      <c r="E28" s="213"/>
      <c r="F28" s="213" t="s">
        <v>441</v>
      </c>
      <c r="G28" s="378"/>
      <c r="H28" s="1555">
        <f>SUM('Short-Term Long-Term Debt 24'!F6,'Short-Term Long-Term Debt 24'!F7,'Short-Term Long-Term Debt 24'!F11)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3'!J7*'FP Info 3'!J10),5)</f>
        <v>33936124.644259997</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str">
        <f>IF(K32&gt;=75,"4",IF(K32&gt;=50,"3",IF(K32&gt;=25,"2",1)))</f>
        <v>4</v>
      </c>
      <c r="P31" s="211"/>
    </row>
    <row r="32" spans="1:18" s="382" customFormat="1" ht="11.25" x14ac:dyDescent="0.2">
      <c r="A32" s="213"/>
      <c r="B32" s="377"/>
      <c r="C32" s="213" t="s">
        <v>842</v>
      </c>
      <c r="D32" s="213"/>
      <c r="E32" s="213"/>
      <c r="F32" s="213"/>
      <c r="G32" s="378"/>
      <c r="H32" s="1550">
        <f>'FP Info 3'!H37</f>
        <v>0</v>
      </c>
      <c r="I32" s="392"/>
      <c r="J32" s="392"/>
      <c r="K32" s="1554">
        <f>TRUNC(100-((((H32/H33*100))*100)/100),2)</f>
        <v>100</v>
      </c>
      <c r="L32" s="381"/>
      <c r="M32" s="337" t="s">
        <v>1136</v>
      </c>
      <c r="N32" s="337"/>
      <c r="O32" s="1567">
        <v>0.1</v>
      </c>
    </row>
    <row r="33" spans="1:17" s="382" customFormat="1" ht="11.25" x14ac:dyDescent="0.2">
      <c r="A33" s="213"/>
      <c r="B33" s="377"/>
      <c r="C33" s="213" t="s">
        <v>794</v>
      </c>
      <c r="D33" s="213"/>
      <c r="E33" s="213"/>
      <c r="F33" s="213"/>
      <c r="G33" s="378"/>
      <c r="H33" s="379">
        <f>IF('FP Info 3'!H31="Enter X in a or b"," ",'FP Info 3'!H31)</f>
        <v>59090837.067000002</v>
      </c>
      <c r="I33" s="392"/>
      <c r="J33" s="392"/>
      <c r="K33" s="379"/>
      <c r="L33" s="213"/>
      <c r="M33" s="401" t="s">
        <v>1137</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pane="bottomLeft" activeCell="M40" sqref="M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44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44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443" t="s">
        <v>967</v>
      </c>
      <c r="B3" s="2444"/>
      <c r="C3" s="1305"/>
      <c r="D3" s="1306"/>
      <c r="E3" s="1306"/>
      <c r="F3" s="1306"/>
      <c r="G3" s="1306"/>
      <c r="H3" s="1306"/>
      <c r="I3" s="1306"/>
      <c r="J3" s="1306"/>
      <c r="K3" s="1306"/>
      <c r="L3" s="1306"/>
      <c r="M3" s="1307"/>
      <c r="N3" s="1308"/>
    </row>
    <row r="4" spans="1:14" ht="13.5" customHeight="1" x14ac:dyDescent="0.2">
      <c r="A4" s="427" t="s">
        <v>1635</v>
      </c>
      <c r="B4" s="428"/>
      <c r="C4" s="1571">
        <v>42491769</v>
      </c>
      <c r="D4" s="1572">
        <v>1718981</v>
      </c>
      <c r="E4" s="1572"/>
      <c r="F4" s="1572">
        <v>1337657</v>
      </c>
      <c r="G4" s="1572">
        <v>2019389</v>
      </c>
      <c r="H4" s="1572"/>
      <c r="I4" s="1572">
        <v>4383145</v>
      </c>
      <c r="J4" s="1573"/>
      <c r="K4" s="1572"/>
      <c r="L4" s="1572">
        <v>175114</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v>15415728</v>
      </c>
      <c r="D6" s="1572">
        <v>1903883</v>
      </c>
      <c r="E6" s="1572"/>
      <c r="F6" s="1572">
        <v>698361</v>
      </c>
      <c r="G6" s="1576">
        <v>572816</v>
      </c>
      <c r="H6" s="1576"/>
      <c r="I6" s="1572">
        <v>131303</v>
      </c>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v>442137</v>
      </c>
      <c r="D8" s="1573"/>
      <c r="E8" s="1573"/>
      <c r="F8" s="1573">
        <v>272077</v>
      </c>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v>334301</v>
      </c>
      <c r="D11" s="1573"/>
      <c r="E11" s="1573"/>
      <c r="F11" s="1573">
        <v>266501</v>
      </c>
      <c r="G11" s="1573"/>
      <c r="H11" s="1573"/>
      <c r="I11" s="1582"/>
      <c r="J11" s="1582"/>
      <c r="K11" s="1573"/>
      <c r="L11" s="1573"/>
      <c r="M11" s="1575"/>
      <c r="N11" s="1575"/>
    </row>
    <row r="12" spans="1:14" ht="13.5" customHeight="1" x14ac:dyDescent="0.2">
      <c r="A12" s="430" t="s">
        <v>416</v>
      </c>
      <c r="B12" s="429">
        <v>190</v>
      </c>
      <c r="C12" s="1571">
        <v>559779</v>
      </c>
      <c r="D12" s="1572"/>
      <c r="E12" s="1572"/>
      <c r="F12" s="1572"/>
      <c r="G12" s="1572"/>
      <c r="H12" s="1572"/>
      <c r="I12" s="1572"/>
      <c r="J12" s="1573"/>
      <c r="K12" s="1572"/>
      <c r="L12" s="1572"/>
      <c r="M12" s="1575"/>
      <c r="N12" s="1575"/>
    </row>
    <row r="13" spans="1:14" ht="13.5" customHeight="1" thickBot="1" x14ac:dyDescent="0.25">
      <c r="A13" s="1425" t="s">
        <v>639</v>
      </c>
      <c r="B13" s="1406"/>
      <c r="C13" s="1586">
        <f>SUM(C4:C12)</f>
        <v>59243714</v>
      </c>
      <c r="D13" s="1586">
        <f t="shared" ref="D13:L13" si="0">SUM(D4:D12)</f>
        <v>3622864</v>
      </c>
      <c r="E13" s="1586">
        <f t="shared" si="0"/>
        <v>0</v>
      </c>
      <c r="F13" s="1586">
        <f t="shared" si="0"/>
        <v>2574596</v>
      </c>
      <c r="G13" s="1586">
        <f t="shared" si="0"/>
        <v>2592205</v>
      </c>
      <c r="H13" s="1586">
        <f t="shared" si="0"/>
        <v>0</v>
      </c>
      <c r="I13" s="1586">
        <f t="shared" si="0"/>
        <v>4514448</v>
      </c>
      <c r="J13" s="1586">
        <f t="shared" si="0"/>
        <v>0</v>
      </c>
      <c r="K13" s="1586">
        <f t="shared" si="0"/>
        <v>0</v>
      </c>
      <c r="L13" s="1586">
        <f t="shared" si="0"/>
        <v>175114</v>
      </c>
      <c r="M13" s="1574"/>
      <c r="N13" s="1575"/>
    </row>
    <row r="14" spans="1:14" ht="18" customHeight="1" thickTop="1" x14ac:dyDescent="0.2">
      <c r="A14" s="2445" t="s">
        <v>146</v>
      </c>
      <c r="B14" s="2446"/>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c r="N15" s="1591"/>
    </row>
    <row r="16" spans="1:14" s="433" customFormat="1" ht="12.75" customHeight="1" x14ac:dyDescent="0.2">
      <c r="A16" s="431" t="s">
        <v>1388</v>
      </c>
      <c r="B16" s="432">
        <v>220</v>
      </c>
      <c r="C16" s="1581"/>
      <c r="D16" s="1581"/>
      <c r="E16" s="1581"/>
      <c r="F16" s="1581"/>
      <c r="G16" s="1581"/>
      <c r="H16" s="1581"/>
      <c r="I16" s="1581"/>
      <c r="J16" s="1581"/>
      <c r="K16" s="1581"/>
      <c r="L16" s="1581"/>
      <c r="M16" s="1573">
        <v>1096591</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v>52728915</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v>31909265</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v>29104059</v>
      </c>
      <c r="N19" s="1591"/>
    </row>
    <row r="20" spans="1:14" s="433" customFormat="1" ht="12.75" customHeight="1" x14ac:dyDescent="0.2">
      <c r="A20" s="431" t="s">
        <v>1392</v>
      </c>
      <c r="B20" s="432">
        <v>260</v>
      </c>
      <c r="C20" s="1581"/>
      <c r="D20" s="1581"/>
      <c r="E20" s="1581"/>
      <c r="F20" s="1581"/>
      <c r="G20" s="1581"/>
      <c r="H20" s="1581"/>
      <c r="I20" s="1581"/>
      <c r="J20" s="1581"/>
      <c r="K20" s="1581"/>
      <c r="L20" s="1581"/>
      <c r="M20" s="1573">
        <v>9736088</v>
      </c>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24'!J49</f>
        <v>0</v>
      </c>
    </row>
    <row r="23" spans="1:14" ht="13.5" customHeight="1" thickBot="1" x14ac:dyDescent="0.25">
      <c r="A23" s="1425" t="s">
        <v>638</v>
      </c>
      <c r="B23" s="1428"/>
      <c r="C23" s="1574"/>
      <c r="D23" s="1574"/>
      <c r="E23" s="1574"/>
      <c r="F23" s="1574"/>
      <c r="G23" s="1574"/>
      <c r="H23" s="1574"/>
      <c r="I23" s="1574"/>
      <c r="J23" s="1574"/>
      <c r="K23" s="1574"/>
      <c r="L23" s="1574"/>
      <c r="M23" s="1593">
        <f>SUM(M15:M22)</f>
        <v>124574918</v>
      </c>
      <c r="N23" s="1593">
        <f>SUM(N21:N22)</f>
        <v>0</v>
      </c>
    </row>
    <row r="24" spans="1:14" ht="18" customHeight="1" thickTop="1" x14ac:dyDescent="0.2">
      <c r="A24" s="2447" t="s">
        <v>594</v>
      </c>
      <c r="B24" s="2448"/>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v>1317048</v>
      </c>
      <c r="D27" s="1573">
        <v>2293879</v>
      </c>
      <c r="E27" s="1573"/>
      <c r="F27" s="1573">
        <v>201987</v>
      </c>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v>522495</v>
      </c>
      <c r="D30" s="1578">
        <v>3439</v>
      </c>
      <c r="E30" s="1573"/>
      <c r="F30" s="1573">
        <v>465</v>
      </c>
      <c r="G30" s="1573">
        <v>101774</v>
      </c>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v>16677494</v>
      </c>
      <c r="D32" s="1598">
        <v>2059714</v>
      </c>
      <c r="E32" s="1578"/>
      <c r="F32" s="1578">
        <v>755519</v>
      </c>
      <c r="G32" s="1578">
        <v>619700</v>
      </c>
      <c r="H32" s="1578"/>
      <c r="I32" s="1578">
        <v>142049</v>
      </c>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175114</v>
      </c>
      <c r="M33" s="1574"/>
      <c r="N33" s="1575"/>
    </row>
    <row r="34" spans="1:14" ht="13.5" customHeight="1" thickBot="1" x14ac:dyDescent="0.25">
      <c r="A34" s="1426" t="s">
        <v>649</v>
      </c>
      <c r="B34" s="1427"/>
      <c r="C34" s="1599">
        <f>SUM(C25:C33)</f>
        <v>18517037</v>
      </c>
      <c r="D34" s="1599">
        <f t="shared" ref="D34:K34" si="1">SUM(D25:D33)</f>
        <v>4357032</v>
      </c>
      <c r="E34" s="1599">
        <f t="shared" si="1"/>
        <v>0</v>
      </c>
      <c r="F34" s="1599">
        <f t="shared" si="1"/>
        <v>957971</v>
      </c>
      <c r="G34" s="1599">
        <f t="shared" si="1"/>
        <v>721474</v>
      </c>
      <c r="H34" s="1599">
        <f t="shared" si="1"/>
        <v>0</v>
      </c>
      <c r="I34" s="1599">
        <f t="shared" si="1"/>
        <v>142049</v>
      </c>
      <c r="J34" s="1599">
        <f t="shared" si="1"/>
        <v>0</v>
      </c>
      <c r="K34" s="1599">
        <f t="shared" si="1"/>
        <v>0</v>
      </c>
      <c r="L34" s="1600">
        <f>SUM(L33)</f>
        <v>175114</v>
      </c>
      <c r="M34" s="1574"/>
      <c r="N34" s="1584"/>
    </row>
    <row r="35" spans="1:14" ht="18" customHeight="1" thickTop="1" x14ac:dyDescent="0.2">
      <c r="A35" s="2449" t="s">
        <v>526</v>
      </c>
      <c r="B35" s="2450"/>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0</v>
      </c>
    </row>
    <row r="37" spans="1:14" ht="13.5" thickBot="1" x14ac:dyDescent="0.25">
      <c r="A37" s="1425" t="s">
        <v>648</v>
      </c>
      <c r="B37" s="1428"/>
      <c r="C37" s="1581"/>
      <c r="D37" s="1581"/>
      <c r="E37" s="1581"/>
      <c r="F37" s="1581"/>
      <c r="G37" s="1581"/>
      <c r="H37" s="1581"/>
      <c r="I37" s="1581"/>
      <c r="J37" s="1581"/>
      <c r="K37" s="1581"/>
      <c r="L37" s="1584"/>
      <c r="M37" s="1574"/>
      <c r="N37" s="1593">
        <f>SUM(N36:N36)</f>
        <v>0</v>
      </c>
    </row>
    <row r="38" spans="1:14" s="307" customFormat="1" ht="13.5" customHeight="1" thickTop="1" x14ac:dyDescent="0.2">
      <c r="A38" s="438" t="s">
        <v>417</v>
      </c>
      <c r="B38" s="432">
        <v>714</v>
      </c>
      <c r="C38" s="1572">
        <v>334301</v>
      </c>
      <c r="D38" s="1572"/>
      <c r="E38" s="1572"/>
      <c r="F38" s="1572">
        <v>266501</v>
      </c>
      <c r="G38" s="1572">
        <v>1196361</v>
      </c>
      <c r="H38" s="1572"/>
      <c r="I38" s="1572"/>
      <c r="J38" s="1573"/>
      <c r="K38" s="1572"/>
      <c r="L38" s="1585"/>
      <c r="M38" s="1603"/>
      <c r="N38" s="1603"/>
    </row>
    <row r="39" spans="1:14" s="307" customFormat="1" ht="13.5" customHeight="1" x14ac:dyDescent="0.2">
      <c r="A39" s="438" t="s">
        <v>339</v>
      </c>
      <c r="B39" s="432">
        <v>730</v>
      </c>
      <c r="C39" s="1572">
        <f>532066+39860310</f>
        <v>40392376</v>
      </c>
      <c r="D39" s="1572">
        <v>-734168</v>
      </c>
      <c r="E39" s="1572"/>
      <c r="F39" s="1572">
        <v>1350124</v>
      </c>
      <c r="G39" s="1572">
        <v>674370</v>
      </c>
      <c r="H39" s="1572"/>
      <c r="I39" s="1572">
        <v>4372399</v>
      </c>
      <c r="J39" s="1573"/>
      <c r="K39" s="1572"/>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124574918</v>
      </c>
      <c r="N40" s="1603"/>
    </row>
    <row r="41" spans="1:14" ht="13.5" customHeight="1" thickBot="1" x14ac:dyDescent="0.25">
      <c r="A41" s="1425" t="s">
        <v>650</v>
      </c>
      <c r="B41" s="1404"/>
      <c r="C41" s="1593">
        <f>(SUM(C34,C37,C38,C39))</f>
        <v>59243714</v>
      </c>
      <c r="D41" s="1593">
        <f t="shared" ref="D41:L41" si="2">SUM(D34,D37,D38:D39)</f>
        <v>3622864</v>
      </c>
      <c r="E41" s="1593">
        <f t="shared" si="2"/>
        <v>0</v>
      </c>
      <c r="F41" s="1593">
        <f t="shared" si="2"/>
        <v>2574596</v>
      </c>
      <c r="G41" s="1593">
        <f t="shared" si="2"/>
        <v>2592205</v>
      </c>
      <c r="H41" s="1593">
        <f t="shared" si="2"/>
        <v>0</v>
      </c>
      <c r="I41" s="1593">
        <f t="shared" si="2"/>
        <v>4514448</v>
      </c>
      <c r="J41" s="1593">
        <f t="shared" si="2"/>
        <v>0</v>
      </c>
      <c r="K41" s="1593">
        <f t="shared" si="2"/>
        <v>0</v>
      </c>
      <c r="L41" s="1593">
        <f t="shared" si="2"/>
        <v>175114</v>
      </c>
      <c r="M41" s="1593">
        <f>SUM(M40)</f>
        <v>124574918</v>
      </c>
      <c r="N41" s="1593">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5" zoomScaleNormal="85" zoomScaleSheetLayoutView="100" workbookViewId="0">
      <pane ySplit="2" topLeftCell="A6" activePane="bottomLeft" state="frozen"/>
      <selection pane="bottomLeft" activeCell="C12" sqref="C1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45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46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471" t="s">
        <v>1167</v>
      </c>
      <c r="B3" s="2472"/>
      <c r="C3" s="1310"/>
      <c r="D3" s="1311"/>
      <c r="E3" s="1311"/>
      <c r="F3" s="1311"/>
      <c r="G3" s="1311"/>
      <c r="H3" s="1311"/>
      <c r="I3" s="1311"/>
      <c r="J3" s="1311"/>
      <c r="K3" s="1312"/>
      <c r="L3" s="446"/>
    </row>
    <row r="4" spans="1:13" ht="15.75" customHeight="1" x14ac:dyDescent="0.2">
      <c r="A4" s="1536" t="s">
        <v>1485</v>
      </c>
      <c r="B4" s="1537">
        <v>1000</v>
      </c>
      <c r="C4" s="1605">
        <f>'Revenues 9-14'!C109</f>
        <v>35347225</v>
      </c>
      <c r="D4" s="1605">
        <f>'Revenues 9-14'!D109</f>
        <v>4164108</v>
      </c>
      <c r="E4" s="1605">
        <f>'Revenues 9-14'!E109</f>
        <v>0</v>
      </c>
      <c r="F4" s="1605">
        <f>'Revenues 9-14'!F109</f>
        <v>1555930</v>
      </c>
      <c r="G4" s="1605">
        <f>'Revenues 9-14'!G109</f>
        <v>789930</v>
      </c>
      <c r="H4" s="1605">
        <f>'Revenues 9-14'!H109</f>
        <v>0</v>
      </c>
      <c r="I4" s="1605">
        <f>'Revenues 9-14'!I109</f>
        <v>362351</v>
      </c>
      <c r="J4" s="1605">
        <f>'Revenues 9-14'!J109</f>
        <v>0</v>
      </c>
      <c r="K4" s="1605">
        <f>'Revenues 9-14'!K109</f>
        <v>0</v>
      </c>
      <c r="L4" s="325"/>
    </row>
    <row r="5" spans="1:13" ht="15.75" customHeight="1" x14ac:dyDescent="0.2">
      <c r="A5" s="1313" t="s">
        <v>1486</v>
      </c>
      <c r="B5" s="1314">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3" t="s">
        <v>1487</v>
      </c>
      <c r="B6" s="1315">
        <v>3000</v>
      </c>
      <c r="C6" s="1606">
        <f>'Revenues 9-14'!C170</f>
        <v>3968802</v>
      </c>
      <c r="D6" s="1606">
        <f>'Revenues 9-14'!D170</f>
        <v>2067884</v>
      </c>
      <c r="E6" s="1606">
        <f>'Revenues 9-14'!E170</f>
        <v>0</v>
      </c>
      <c r="F6" s="1606">
        <f>'Revenues 9-14'!F170</f>
        <v>1100298</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1488</v>
      </c>
      <c r="B7" s="1315">
        <v>4000</v>
      </c>
      <c r="C7" s="1606">
        <f>'Revenues 9-14'!C267</f>
        <v>2291396</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1164</v>
      </c>
      <c r="B8" s="1406"/>
      <c r="C8" s="1593">
        <f>SUM(C4:C7)</f>
        <v>41607423</v>
      </c>
      <c r="D8" s="1593">
        <f t="shared" ref="D8:K8" si="0">SUM(D4:D7)</f>
        <v>6231992</v>
      </c>
      <c r="E8" s="1593">
        <f t="shared" si="0"/>
        <v>0</v>
      </c>
      <c r="F8" s="1593">
        <f t="shared" si="0"/>
        <v>2656228</v>
      </c>
      <c r="G8" s="1593">
        <f t="shared" si="0"/>
        <v>789930</v>
      </c>
      <c r="H8" s="1593">
        <f t="shared" si="0"/>
        <v>0</v>
      </c>
      <c r="I8" s="1593">
        <f t="shared" si="0"/>
        <v>362351</v>
      </c>
      <c r="J8" s="1593">
        <f t="shared" si="0"/>
        <v>0</v>
      </c>
      <c r="K8" s="1593">
        <f t="shared" si="0"/>
        <v>0</v>
      </c>
      <c r="L8" s="325"/>
    </row>
    <row r="9" spans="1:13" ht="15.75" thickTop="1" x14ac:dyDescent="0.2">
      <c r="A9" s="449" t="s">
        <v>1637</v>
      </c>
      <c r="B9" s="450">
        <v>3998</v>
      </c>
      <c r="C9" s="1585">
        <v>18162679</v>
      </c>
      <c r="D9" s="1612"/>
      <c r="E9" s="1585"/>
      <c r="F9" s="1585"/>
      <c r="G9" s="1613"/>
      <c r="H9" s="1585"/>
      <c r="I9" s="1608" t="s">
        <v>1161</v>
      </c>
      <c r="J9" s="1582"/>
      <c r="K9" s="1585"/>
      <c r="L9" s="325"/>
    </row>
    <row r="10" spans="1:13" s="452" customFormat="1" ht="13.5" thickBot="1" x14ac:dyDescent="0.25">
      <c r="A10" s="1425" t="s">
        <v>1165</v>
      </c>
      <c r="B10" s="1406"/>
      <c r="C10" s="1593">
        <f>SUM(C8:C9)</f>
        <v>59770102</v>
      </c>
      <c r="D10" s="1593">
        <f t="shared" ref="D10:K10" si="1">SUM(D8:D9)</f>
        <v>6231992</v>
      </c>
      <c r="E10" s="1593">
        <f t="shared" si="1"/>
        <v>0</v>
      </c>
      <c r="F10" s="1593">
        <f t="shared" si="1"/>
        <v>2656228</v>
      </c>
      <c r="G10" s="1593">
        <f t="shared" si="1"/>
        <v>789930</v>
      </c>
      <c r="H10" s="1593">
        <f t="shared" si="1"/>
        <v>0</v>
      </c>
      <c r="I10" s="1593">
        <f t="shared" si="1"/>
        <v>362351</v>
      </c>
      <c r="J10" s="1593">
        <f t="shared" si="1"/>
        <v>0</v>
      </c>
      <c r="K10" s="1593">
        <f t="shared" si="1"/>
        <v>0</v>
      </c>
      <c r="L10" s="451"/>
    </row>
    <row r="11" spans="1:13" s="452" customFormat="1" ht="16.7" customHeight="1" thickTop="1" x14ac:dyDescent="0.2">
      <c r="A11" s="2445" t="s">
        <v>1168</v>
      </c>
      <c r="B11" s="2446"/>
      <c r="C11" s="1601"/>
      <c r="D11" s="1602"/>
      <c r="E11" s="1602"/>
      <c r="F11" s="1602"/>
      <c r="G11" s="1602"/>
      <c r="H11" s="1602"/>
      <c r="I11" s="1602"/>
      <c r="J11" s="1602"/>
      <c r="K11" s="1614"/>
      <c r="L11" s="451"/>
    </row>
    <row r="12" spans="1:13" ht="15.75" customHeight="1" x14ac:dyDescent="0.2">
      <c r="A12" s="1313" t="s">
        <v>453</v>
      </c>
      <c r="B12" s="1315">
        <v>1000</v>
      </c>
      <c r="C12" s="1605">
        <f>'Expenditures 15-22'!K33</f>
        <v>26956838</v>
      </c>
      <c r="D12" s="1615" t="s">
        <v>1161</v>
      </c>
      <c r="E12" s="1574" t="s">
        <v>1161</v>
      </c>
      <c r="F12" s="1574" t="s">
        <v>1161</v>
      </c>
      <c r="G12" s="1605">
        <f>'Expenditures 15-22'!K229</f>
        <v>745802</v>
      </c>
      <c r="H12" s="1616"/>
      <c r="I12" s="1574" t="s">
        <v>1161</v>
      </c>
      <c r="J12" s="1574" t="s">
        <v>1161</v>
      </c>
      <c r="K12" s="1616" t="s">
        <v>1161</v>
      </c>
      <c r="L12" s="325"/>
    </row>
    <row r="13" spans="1:13" ht="15.75" customHeight="1" x14ac:dyDescent="0.2">
      <c r="A13" s="1313" t="s">
        <v>454</v>
      </c>
      <c r="B13" s="1315">
        <v>2000</v>
      </c>
      <c r="C13" s="1606">
        <f>'Expenditures 15-22'!K74</f>
        <v>11947192</v>
      </c>
      <c r="D13" s="1606">
        <f>'Expenditures 15-22'!K129</f>
        <v>10218976</v>
      </c>
      <c r="E13" s="1575" t="s">
        <v>1161</v>
      </c>
      <c r="F13" s="1606">
        <f>'Expenditures 15-22'!K184</f>
        <v>1645812</v>
      </c>
      <c r="G13" s="1606">
        <f>'Expenditures 15-22'!K279</f>
        <v>783397</v>
      </c>
      <c r="H13" s="1606">
        <f>'Expenditures 15-22'!K303</f>
        <v>0</v>
      </c>
      <c r="I13" s="1574" t="s">
        <v>1161</v>
      </c>
      <c r="J13" s="1606">
        <f>'Expenditures 15-22'!K330</f>
        <v>0</v>
      </c>
      <c r="K13" s="1617">
        <f>'Expenditures 15-22'!K352</f>
        <v>0</v>
      </c>
      <c r="L13" s="325"/>
    </row>
    <row r="14" spans="1:13" ht="15.75" customHeight="1" x14ac:dyDescent="0.2">
      <c r="A14" s="1313" t="s">
        <v>446</v>
      </c>
      <c r="B14" s="1315">
        <v>3000</v>
      </c>
      <c r="C14" s="1606">
        <f>'Expenditures 15-22'!K75</f>
        <v>111337</v>
      </c>
      <c r="D14" s="1606">
        <f>'Expenditures 15-22'!K130</f>
        <v>0</v>
      </c>
      <c r="E14" s="1615" t="s">
        <v>1161</v>
      </c>
      <c r="F14" s="1606">
        <f>'Expenditures 15-22'!K185</f>
        <v>0</v>
      </c>
      <c r="G14" s="1606">
        <f>'Expenditures 15-22'!K280</f>
        <v>246</v>
      </c>
      <c r="H14" s="1611"/>
      <c r="I14" s="1574" t="s">
        <v>1161</v>
      </c>
      <c r="J14" s="1574" t="s">
        <v>1161</v>
      </c>
      <c r="K14" s="1611" t="s">
        <v>1161</v>
      </c>
      <c r="L14" s="325"/>
    </row>
    <row r="15" spans="1:13" ht="15.75" customHeight="1" x14ac:dyDescent="0.2">
      <c r="A15" s="1313" t="s">
        <v>107</v>
      </c>
      <c r="B15" s="1315">
        <v>4000</v>
      </c>
      <c r="C15" s="1606">
        <f>'Expenditures 15-22'!K102</f>
        <v>685841</v>
      </c>
      <c r="D15" s="1606">
        <f>'Expenditures 15-22'!K139</f>
        <v>0</v>
      </c>
      <c r="E15" s="1606">
        <f>'Expenditures 15-22'!K160</f>
        <v>0</v>
      </c>
      <c r="F15" s="1606">
        <f>'Expenditures 15-22'!K196</f>
        <v>0</v>
      </c>
      <c r="G15" s="1606">
        <f>'Expenditures 15-22'!K285</f>
        <v>0</v>
      </c>
      <c r="H15" s="1606">
        <f>'Expenditures 15-22'!K310</f>
        <v>0</v>
      </c>
      <c r="I15" s="1574" t="s">
        <v>1161</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0</v>
      </c>
      <c r="F16" s="1606">
        <f>'Expenditures 15-22'!K208</f>
        <v>0</v>
      </c>
      <c r="G16" s="1606">
        <f>'Expenditures 15-22'!K293</f>
        <v>0</v>
      </c>
      <c r="H16" s="1619"/>
      <c r="I16" s="1574" t="s">
        <v>1161</v>
      </c>
      <c r="J16" s="1620">
        <f>'Expenditures 15-22'!K340</f>
        <v>0</v>
      </c>
      <c r="K16" s="1606">
        <f>'Expenditures 15-22'!K365</f>
        <v>0</v>
      </c>
      <c r="L16" s="325"/>
    </row>
    <row r="17" spans="1:12" ht="13.5" thickBot="1" x14ac:dyDescent="0.25">
      <c r="A17" s="1405" t="s">
        <v>48</v>
      </c>
      <c r="B17" s="1406"/>
      <c r="C17" s="1593">
        <f t="shared" ref="C17:H17" si="2">SUM(C12:C16)</f>
        <v>39701208</v>
      </c>
      <c r="D17" s="1593">
        <f t="shared" si="2"/>
        <v>10218976</v>
      </c>
      <c r="E17" s="1593">
        <f t="shared" si="2"/>
        <v>0</v>
      </c>
      <c r="F17" s="1593">
        <f t="shared" si="2"/>
        <v>1645812</v>
      </c>
      <c r="G17" s="1593">
        <f t="shared" si="2"/>
        <v>1529445</v>
      </c>
      <c r="H17" s="1593">
        <f t="shared" si="2"/>
        <v>0</v>
      </c>
      <c r="I17" s="1574"/>
      <c r="J17" s="1593">
        <f>SUM(J12:J16)</f>
        <v>0</v>
      </c>
      <c r="K17" s="1593">
        <f>SUM(K12:K16)</f>
        <v>0</v>
      </c>
      <c r="L17" s="325"/>
    </row>
    <row r="18" spans="1:12" ht="15" customHeight="1" thickTop="1" x14ac:dyDescent="0.2">
      <c r="A18" s="1429" t="s">
        <v>1638</v>
      </c>
      <c r="B18" s="1430">
        <v>4180</v>
      </c>
      <c r="C18" s="1605">
        <f t="shared" ref="C18:H18" si="3">C9</f>
        <v>18162679</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57863887</v>
      </c>
      <c r="D19" s="1593">
        <f t="shared" si="4"/>
        <v>10218976</v>
      </c>
      <c r="E19" s="1593">
        <f t="shared" si="4"/>
        <v>0</v>
      </c>
      <c r="F19" s="1593">
        <f t="shared" si="4"/>
        <v>1645812</v>
      </c>
      <c r="G19" s="1593">
        <f t="shared" si="4"/>
        <v>1529445</v>
      </c>
      <c r="H19" s="1593">
        <f t="shared" si="4"/>
        <v>0</v>
      </c>
      <c r="I19" s="1574"/>
      <c r="J19" s="1593">
        <f>SUM(J17:J18)</f>
        <v>0</v>
      </c>
      <c r="K19" s="1593">
        <f>SUM(K17:K18)</f>
        <v>0</v>
      </c>
      <c r="L19" s="325"/>
    </row>
    <row r="20" spans="1:12" ht="16.5" thickTop="1" thickBot="1" x14ac:dyDescent="0.25">
      <c r="A20" s="2461" t="s">
        <v>1639</v>
      </c>
      <c r="B20" s="2462"/>
      <c r="C20" s="1621">
        <f>C8-C17</f>
        <v>1906215</v>
      </c>
      <c r="D20" s="1621">
        <f t="shared" ref="D20:K20" si="5">D8-D17</f>
        <v>-3986984</v>
      </c>
      <c r="E20" s="1621">
        <f t="shared" si="5"/>
        <v>0</v>
      </c>
      <c r="F20" s="1621">
        <f t="shared" si="5"/>
        <v>1010416</v>
      </c>
      <c r="G20" s="1621">
        <f t="shared" si="5"/>
        <v>-739515</v>
      </c>
      <c r="H20" s="1621">
        <f t="shared" si="5"/>
        <v>0</v>
      </c>
      <c r="I20" s="1621">
        <f t="shared" si="5"/>
        <v>362351</v>
      </c>
      <c r="J20" s="1621">
        <f t="shared" si="5"/>
        <v>0</v>
      </c>
      <c r="K20" s="1621">
        <f t="shared" si="5"/>
        <v>0</v>
      </c>
      <c r="L20" s="325"/>
    </row>
    <row r="21" spans="1:12" ht="16.7" customHeight="1" thickTop="1" x14ac:dyDescent="0.2">
      <c r="A21" s="2473" t="s">
        <v>591</v>
      </c>
      <c r="B21" s="2474"/>
      <c r="C21" s="1601"/>
      <c r="D21" s="1602"/>
      <c r="E21" s="1602"/>
      <c r="F21" s="1602"/>
      <c r="G21" s="1602"/>
      <c r="H21" s="1602"/>
      <c r="I21" s="1602"/>
      <c r="J21" s="1602"/>
      <c r="K21" s="1614"/>
      <c r="L21" s="453"/>
    </row>
    <row r="22" spans="1:12" ht="15.75" customHeight="1" collapsed="1" x14ac:dyDescent="0.2">
      <c r="A22" s="2469" t="s">
        <v>592</v>
      </c>
      <c r="B22" s="2470"/>
      <c r="C22" s="1581"/>
      <c r="D22" s="1581"/>
      <c r="E22" s="1581"/>
      <c r="F22" s="1581"/>
      <c r="G22" s="1581"/>
      <c r="H22" s="1581"/>
      <c r="I22" s="1581"/>
      <c r="J22" s="1581"/>
      <c r="K22" s="1581"/>
      <c r="L22" s="325"/>
    </row>
    <row r="23" spans="1:12" s="433" customFormat="1" ht="15.75" customHeight="1" x14ac:dyDescent="0.2">
      <c r="A23" s="2465" t="s">
        <v>290</v>
      </c>
      <c r="B23" s="2466"/>
      <c r="C23" s="1584"/>
      <c r="D23" s="1581"/>
      <c r="E23" s="1581"/>
      <c r="F23" s="1581"/>
      <c r="G23" s="1581"/>
      <c r="H23" s="1581"/>
      <c r="I23" s="1581"/>
      <c r="J23" s="1581"/>
      <c r="K23" s="1581"/>
      <c r="L23" s="453"/>
    </row>
    <row r="24" spans="1:12" s="433" customFormat="1" ht="13.5" customHeight="1" x14ac:dyDescent="0.2">
      <c r="A24" s="1259" t="s">
        <v>1640</v>
      </c>
      <c r="B24" s="454">
        <v>7110</v>
      </c>
      <c r="C24" s="1573"/>
      <c r="D24" s="1581"/>
      <c r="E24" s="1581"/>
      <c r="F24" s="1581"/>
      <c r="G24" s="1581"/>
      <c r="H24" s="1581"/>
      <c r="I24" s="1581"/>
      <c r="J24" s="1581"/>
      <c r="K24" s="1581"/>
      <c r="L24" s="453"/>
    </row>
    <row r="25" spans="1:12" s="433" customFormat="1" ht="13.5" customHeight="1" x14ac:dyDescent="0.2">
      <c r="A25" s="1259" t="s">
        <v>1641</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1384</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1773</v>
      </c>
      <c r="B30" s="455">
        <v>7160</v>
      </c>
      <c r="C30" s="1581"/>
      <c r="D30" s="1573"/>
      <c r="E30" s="1581"/>
      <c r="F30" s="1581"/>
      <c r="G30" s="1581"/>
      <c r="H30" s="1581"/>
      <c r="I30" s="1581"/>
      <c r="J30" s="1581"/>
      <c r="K30" s="1581"/>
      <c r="L30" s="453"/>
    </row>
    <row r="31" spans="1:12" s="433" customFormat="1" ht="26.25" x14ac:dyDescent="0.2">
      <c r="A31" s="1259" t="s">
        <v>1777</v>
      </c>
      <c r="B31" s="455">
        <v>7170</v>
      </c>
      <c r="C31" s="1581"/>
      <c r="D31" s="1581"/>
      <c r="E31" s="1578"/>
      <c r="F31" s="1581"/>
      <c r="G31" s="1581"/>
      <c r="H31" s="1581"/>
      <c r="I31" s="1581"/>
      <c r="J31" s="1581"/>
      <c r="K31" s="1581"/>
      <c r="L31" s="453"/>
    </row>
    <row r="32" spans="1:12" s="433" customFormat="1" ht="15.75" customHeight="1" x14ac:dyDescent="0.2">
      <c r="A32" s="2467" t="s">
        <v>974</v>
      </c>
      <c r="B32" s="2468"/>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1642</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475" t="s">
        <v>371</v>
      </c>
      <c r="B44" s="2476"/>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469" t="s">
        <v>108</v>
      </c>
      <c r="B45" s="2470"/>
      <c r="C45" s="1624"/>
      <c r="D45" s="1624"/>
      <c r="E45" s="1624"/>
      <c r="F45" s="1624"/>
      <c r="G45" s="1624"/>
      <c r="H45" s="1624"/>
      <c r="I45" s="1624"/>
      <c r="J45" s="1624"/>
      <c r="K45" s="1624"/>
      <c r="L45" s="325"/>
    </row>
    <row r="46" spans="1:12" s="433" customFormat="1" ht="15.75" customHeight="1" x14ac:dyDescent="0.2">
      <c r="A46" s="2477" t="s">
        <v>109</v>
      </c>
      <c r="B46" s="2478"/>
      <c r="C46" s="1581"/>
      <c r="D46" s="1581"/>
      <c r="E46" s="1581"/>
      <c r="F46" s="1581"/>
      <c r="G46" s="1581"/>
      <c r="H46" s="1581"/>
      <c r="I46" s="1584"/>
      <c r="J46" s="1581"/>
      <c r="K46" s="1581"/>
      <c r="L46" s="456"/>
    </row>
    <row r="47" spans="1:12" s="433" customFormat="1" ht="15" x14ac:dyDescent="0.2">
      <c r="A47" s="1260" t="s">
        <v>1643</v>
      </c>
      <c r="B47" s="432">
        <v>8110</v>
      </c>
      <c r="C47" s="1581"/>
      <c r="D47" s="1581"/>
      <c r="E47" s="1581"/>
      <c r="F47" s="1581"/>
      <c r="G47" s="1581"/>
      <c r="H47" s="1581"/>
      <c r="I47" s="1606">
        <f>SUM(C24,C25:H25,J25:K25)</f>
        <v>0</v>
      </c>
      <c r="J47" s="1581"/>
      <c r="K47" s="1581"/>
      <c r="L47" s="456"/>
    </row>
    <row r="48" spans="1:12" s="433" customFormat="1" ht="15" x14ac:dyDescent="0.2">
      <c r="A48" s="1260" t="s">
        <v>1644</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1384</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1776</v>
      </c>
      <c r="B52" s="432">
        <v>8160</v>
      </c>
      <c r="C52" s="1581"/>
      <c r="D52" s="1581"/>
      <c r="E52" s="1581"/>
      <c r="F52" s="1581"/>
      <c r="G52" s="1581"/>
      <c r="H52" s="1581"/>
      <c r="I52" s="1581"/>
      <c r="J52" s="1581"/>
      <c r="K52" s="1606">
        <f>D30</f>
        <v>0</v>
      </c>
      <c r="L52" s="453"/>
    </row>
    <row r="53" spans="1:12" s="433" customFormat="1" ht="26.25" x14ac:dyDescent="0.2">
      <c r="A53" s="1260" t="s">
        <v>1775</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451" t="s">
        <v>437</v>
      </c>
      <c r="B76" s="2452"/>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453" t="s">
        <v>1169</v>
      </c>
      <c r="B77" s="2454"/>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457" t="s">
        <v>593</v>
      </c>
      <c r="B78" s="2458"/>
      <c r="C78" s="1628">
        <f t="shared" ref="C78:K78" si="9">C20+C77</f>
        <v>1906215</v>
      </c>
      <c r="D78" s="1628">
        <f t="shared" si="9"/>
        <v>-3986984</v>
      </c>
      <c r="E78" s="1628">
        <f t="shared" si="9"/>
        <v>0</v>
      </c>
      <c r="F78" s="1628">
        <f t="shared" si="9"/>
        <v>1010416</v>
      </c>
      <c r="G78" s="1628">
        <f t="shared" si="9"/>
        <v>-739515</v>
      </c>
      <c r="H78" s="1628">
        <f t="shared" si="9"/>
        <v>0</v>
      </c>
      <c r="I78" s="1628">
        <f t="shared" si="9"/>
        <v>362351</v>
      </c>
      <c r="J78" s="1628">
        <f t="shared" si="9"/>
        <v>0</v>
      </c>
      <c r="K78" s="1628">
        <f t="shared" si="9"/>
        <v>0</v>
      </c>
      <c r="L78" s="457"/>
    </row>
    <row r="79" spans="1:12" ht="13.5" thickTop="1" x14ac:dyDescent="0.2">
      <c r="A79" s="1843" t="str">
        <f>"Fund Balances - July 1, "&amp;'AFR20'!E2-1</f>
        <v>Fund Balances - July 1, 2019</v>
      </c>
      <c r="B79" s="458"/>
      <c r="C79" s="1582">
        <v>38820462</v>
      </c>
      <c r="D79" s="1629">
        <v>3252816</v>
      </c>
      <c r="E79" s="1629"/>
      <c r="F79" s="1629">
        <v>606209</v>
      </c>
      <c r="G79" s="1629">
        <v>2610246</v>
      </c>
      <c r="H79" s="1629"/>
      <c r="I79" s="1629">
        <v>4010048</v>
      </c>
      <c r="J79" s="1629"/>
      <c r="K79" s="1629"/>
      <c r="L79" s="325"/>
    </row>
    <row r="80" spans="1:12" x14ac:dyDescent="0.2">
      <c r="A80" s="2463" t="s">
        <v>1774</v>
      </c>
      <c r="B80" s="2464"/>
      <c r="C80" s="1573"/>
      <c r="D80" s="1573"/>
      <c r="E80" s="1573"/>
      <c r="F80" s="1573"/>
      <c r="G80" s="1573"/>
      <c r="H80" s="1573"/>
      <c r="I80" s="1573"/>
      <c r="J80" s="1573"/>
      <c r="K80" s="1573"/>
      <c r="L80" s="325"/>
    </row>
    <row r="81" spans="1:12" ht="13.5" thickBot="1" x14ac:dyDescent="0.25">
      <c r="A81" s="2455" t="str">
        <f>"Fund Balances - June 30, "&amp;'AFR20'!E2</f>
        <v>Fund Balances - June 30, 2020</v>
      </c>
      <c r="B81" s="2456"/>
      <c r="C81" s="1593">
        <f>(SUM(C78:C80))</f>
        <v>40726677</v>
      </c>
      <c r="D81" s="1593">
        <f>SUM(D78:D80)</f>
        <v>-734168</v>
      </c>
      <c r="E81" s="1593">
        <f t="shared" ref="E81:K81" si="10">SUM(E78:E80)</f>
        <v>0</v>
      </c>
      <c r="F81" s="1593">
        <f t="shared" si="10"/>
        <v>1616625</v>
      </c>
      <c r="G81" s="1593">
        <f t="shared" si="10"/>
        <v>1870731</v>
      </c>
      <c r="H81" s="1593">
        <f t="shared" si="10"/>
        <v>0</v>
      </c>
      <c r="I81" s="1593">
        <f t="shared" si="10"/>
        <v>4372399</v>
      </c>
      <c r="J81" s="1593">
        <f t="shared" si="10"/>
        <v>0</v>
      </c>
      <c r="K81" s="1593">
        <f t="shared" si="10"/>
        <v>0</v>
      </c>
      <c r="L81" s="325"/>
    </row>
    <row r="82" spans="1:12" ht="0.75" customHeight="1" thickTop="1" thickBot="1" x14ac:dyDescent="0.25">
      <c r="A82" s="459" t="s">
        <v>340</v>
      </c>
      <c r="B82" s="460"/>
      <c r="C82" s="461">
        <f>(C81-C79)</f>
        <v>1906215</v>
      </c>
      <c r="D82" s="461">
        <f t="shared" ref="D82:K82" si="11">(D81-D79)</f>
        <v>-3986984</v>
      </c>
      <c r="E82" s="461">
        <f t="shared" si="11"/>
        <v>0</v>
      </c>
      <c r="F82" s="461">
        <f t="shared" si="11"/>
        <v>1010416</v>
      </c>
      <c r="G82" s="461">
        <f t="shared" si="11"/>
        <v>-739515</v>
      </c>
      <c r="H82" s="461">
        <f t="shared" si="11"/>
        <v>0</v>
      </c>
      <c r="I82" s="461">
        <f t="shared" si="11"/>
        <v>362351</v>
      </c>
      <c r="J82" s="461">
        <f t="shared" si="11"/>
        <v>0</v>
      </c>
      <c r="K82" s="461">
        <f t="shared" si="11"/>
        <v>0</v>
      </c>
    </row>
    <row r="83" spans="1:12" ht="14.25" hidden="1" thickTop="1" thickBot="1" x14ac:dyDescent="0.25">
      <c r="A83" s="462" t="s">
        <v>341</v>
      </c>
      <c r="B83" s="428"/>
      <c r="C83" s="463">
        <f>C82/C81</f>
        <v>4.6805070789350187E-2</v>
      </c>
      <c r="D83" s="463">
        <f t="shared" ref="D83:K83" si="12">D82/D81</f>
        <v>5.4306153359993896</v>
      </c>
      <c r="E83" s="463" t="e">
        <f t="shared" si="12"/>
        <v>#DIV/0!</v>
      </c>
      <c r="F83" s="463">
        <f t="shared" si="12"/>
        <v>0.62501569628083198</v>
      </c>
      <c r="G83" s="463">
        <f t="shared" si="12"/>
        <v>-0.39530803733941439</v>
      </c>
      <c r="H83" s="463" t="e">
        <f t="shared" si="12"/>
        <v>#DIV/0!</v>
      </c>
      <c r="I83" s="463">
        <f t="shared" si="12"/>
        <v>8.2872354512934426E-2</v>
      </c>
      <c r="J83" s="463" t="e">
        <f t="shared" si="12"/>
        <v>#DIV/0!</v>
      </c>
      <c r="K83" s="463" t="e">
        <f t="shared" si="12"/>
        <v>#DIV/0!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42" activePane="bottomLeft" state="frozen"/>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459" t="s">
        <v>1781</v>
      </c>
      <c r="B1" s="416"/>
      <c r="C1" s="417" t="s">
        <v>422</v>
      </c>
      <c r="D1" s="417" t="s">
        <v>423</v>
      </c>
      <c r="E1" s="417" t="s">
        <v>424</v>
      </c>
      <c r="F1" s="417" t="s">
        <v>425</v>
      </c>
      <c r="G1" s="417" t="s">
        <v>426</v>
      </c>
      <c r="H1" s="417" t="s">
        <v>427</v>
      </c>
      <c r="I1" s="417" t="s">
        <v>428</v>
      </c>
      <c r="J1" s="417" t="s">
        <v>429</v>
      </c>
      <c r="K1" s="417" t="s">
        <v>751</v>
      </c>
    </row>
    <row r="2" spans="1:12" ht="36" x14ac:dyDescent="0.2">
      <c r="A2" s="246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1645</v>
      </c>
      <c r="B5" s="470"/>
      <c r="C5" s="1585">
        <v>33393753</v>
      </c>
      <c r="D5" s="1585">
        <v>4095975</v>
      </c>
      <c r="E5" s="1572"/>
      <c r="F5" s="1630">
        <v>1502102</v>
      </c>
      <c r="G5" s="1572">
        <v>389664</v>
      </c>
      <c r="H5" s="1572"/>
      <c r="I5" s="1572">
        <v>282376</v>
      </c>
      <c r="J5" s="1573"/>
      <c r="K5" s="1572"/>
    </row>
    <row r="6" spans="1:12" ht="15" x14ac:dyDescent="0.2">
      <c r="A6" s="427" t="s">
        <v>1646</v>
      </c>
      <c r="B6" s="429">
        <v>1130</v>
      </c>
      <c r="C6" s="1572"/>
      <c r="D6" s="1572"/>
      <c r="E6" s="1579"/>
      <c r="F6" s="1579"/>
      <c r="G6" s="1574"/>
      <c r="H6" s="1574"/>
      <c r="I6" s="1574"/>
      <c r="J6" s="1574"/>
      <c r="K6" s="1574"/>
    </row>
    <row r="7" spans="1:12" x14ac:dyDescent="0.2">
      <c r="A7" s="427" t="s">
        <v>110</v>
      </c>
      <c r="B7" s="471">
        <v>1140</v>
      </c>
      <c r="C7" s="1572">
        <v>256737</v>
      </c>
      <c r="D7" s="1572"/>
      <c r="E7" s="1574"/>
      <c r="F7" s="1573"/>
      <c r="G7" s="1573"/>
      <c r="H7" s="1573"/>
      <c r="I7" s="1574"/>
      <c r="J7" s="1574"/>
      <c r="K7" s="1574"/>
    </row>
    <row r="8" spans="1:12" x14ac:dyDescent="0.2">
      <c r="A8" s="427" t="s">
        <v>410</v>
      </c>
      <c r="B8" s="429">
        <v>1150</v>
      </c>
      <c r="C8" s="1579"/>
      <c r="D8" s="1579"/>
      <c r="E8" s="1581"/>
      <c r="F8" s="1581"/>
      <c r="G8" s="1585">
        <v>355730</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33650490</v>
      </c>
      <c r="D12" s="1632">
        <f t="shared" si="0"/>
        <v>4095975</v>
      </c>
      <c r="E12" s="1632">
        <f t="shared" si="0"/>
        <v>0</v>
      </c>
      <c r="F12" s="1632">
        <f t="shared" si="0"/>
        <v>1502102</v>
      </c>
      <c r="G12" s="1632">
        <f t="shared" si="0"/>
        <v>745394</v>
      </c>
      <c r="H12" s="1632">
        <f t="shared" si="0"/>
        <v>0</v>
      </c>
      <c r="I12" s="1632">
        <f t="shared" si="0"/>
        <v>282376</v>
      </c>
      <c r="J12" s="1632">
        <f t="shared" si="0"/>
        <v>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1647</v>
      </c>
      <c r="B16" s="471">
        <v>1230</v>
      </c>
      <c r="C16" s="1631">
        <v>112168</v>
      </c>
      <c r="D16" s="1572"/>
      <c r="E16" s="1572"/>
      <c r="F16" s="1572"/>
      <c r="G16" s="1572"/>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112168</v>
      </c>
      <c r="D18" s="1634">
        <f t="shared" ref="D18:K18" si="1">SUM(D14:D17)</f>
        <v>0</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1066</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1067</v>
      </c>
      <c r="B22" s="429">
        <v>1313</v>
      </c>
      <c r="C22" s="1631"/>
      <c r="D22" s="1574"/>
      <c r="E22" s="1574"/>
      <c r="F22" s="1574"/>
      <c r="G22" s="1574"/>
      <c r="H22" s="1574"/>
      <c r="I22" s="1574"/>
      <c r="J22" s="1574"/>
      <c r="K22" s="1574"/>
    </row>
    <row r="23" spans="1:11" ht="12.75" customHeight="1" x14ac:dyDescent="0.2">
      <c r="A23" s="427" t="s">
        <v>1068</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1094</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v>5424</v>
      </c>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5424</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v>37362</v>
      </c>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1166</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1099</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1100</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1101</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37362</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865727</v>
      </c>
      <c r="D65" s="1572">
        <v>42833</v>
      </c>
      <c r="E65" s="1572"/>
      <c r="F65" s="1573">
        <v>16466</v>
      </c>
      <c r="G65" s="1572">
        <v>44536</v>
      </c>
      <c r="H65" s="1572"/>
      <c r="I65" s="1572">
        <v>79975</v>
      </c>
      <c r="J65" s="1573"/>
      <c r="K65" s="1572"/>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865727</v>
      </c>
      <c r="D67" s="1593">
        <f t="shared" ref="D67:K67" si="2">SUM(D65:D66)</f>
        <v>42833</v>
      </c>
      <c r="E67" s="1593">
        <f t="shared" si="2"/>
        <v>0</v>
      </c>
      <c r="F67" s="1593">
        <f t="shared" si="2"/>
        <v>16466</v>
      </c>
      <c r="G67" s="1593">
        <f t="shared" si="2"/>
        <v>44536</v>
      </c>
      <c r="H67" s="1593">
        <f t="shared" si="2"/>
        <v>0</v>
      </c>
      <c r="I67" s="1593">
        <f t="shared" si="2"/>
        <v>79975</v>
      </c>
      <c r="J67" s="1593">
        <f t="shared" si="2"/>
        <v>0</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18109</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544</v>
      </c>
      <c r="B75" s="1406"/>
      <c r="C75" s="1593">
        <f>SUM(C69:C74)</f>
        <v>18109</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c r="D77" s="1572"/>
      <c r="E77" s="1574"/>
      <c r="F77" s="1574"/>
      <c r="G77" s="1574"/>
      <c r="H77" s="1574"/>
      <c r="I77" s="1574"/>
      <c r="J77" s="1574"/>
      <c r="K77" s="1574"/>
    </row>
    <row r="78" spans="1:11" ht="12.75" customHeight="1" x14ac:dyDescent="0.2">
      <c r="A78" s="427" t="s">
        <v>76</v>
      </c>
      <c r="B78" s="429">
        <v>1719</v>
      </c>
      <c r="C78" s="1631">
        <v>1304</v>
      </c>
      <c r="D78" s="1572"/>
      <c r="E78" s="1574"/>
      <c r="F78" s="1574"/>
      <c r="G78" s="1574"/>
      <c r="H78" s="1574"/>
      <c r="I78" s="1574"/>
      <c r="J78" s="1574"/>
      <c r="K78" s="1574"/>
    </row>
    <row r="79" spans="1:11" ht="12.75" customHeight="1" x14ac:dyDescent="0.2">
      <c r="A79" s="427" t="s">
        <v>546</v>
      </c>
      <c r="B79" s="429">
        <v>1720</v>
      </c>
      <c r="C79" s="1631">
        <v>22360</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23664</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569248</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569248</v>
      </c>
      <c r="D93" s="1574"/>
      <c r="E93" s="1574"/>
      <c r="F93" s="1574"/>
      <c r="G93" s="1574"/>
      <c r="H93" s="1574"/>
      <c r="I93" s="1574"/>
      <c r="J93" s="1574"/>
      <c r="K93" s="1574"/>
    </row>
    <row r="94" spans="1:11" ht="15.75" customHeight="1" thickTop="1" x14ac:dyDescent="0.2">
      <c r="A94" s="1329" t="s">
        <v>1129</v>
      </c>
      <c r="B94" s="1331">
        <v>1900</v>
      </c>
      <c r="C94" s="1633"/>
      <c r="D94" s="1616"/>
      <c r="E94" s="1574"/>
      <c r="F94" s="1574"/>
      <c r="G94" s="1574"/>
      <c r="H94" s="1574"/>
      <c r="I94" s="1574"/>
      <c r="J94" s="1574"/>
      <c r="K94" s="1574"/>
    </row>
    <row r="95" spans="1:11" ht="12.75" customHeight="1" x14ac:dyDescent="0.2">
      <c r="A95" s="427" t="s">
        <v>1057</v>
      </c>
      <c r="B95" s="429">
        <v>1910</v>
      </c>
      <c r="C95" s="1572"/>
      <c r="D95" s="1631">
        <v>4100</v>
      </c>
      <c r="E95" s="1616"/>
      <c r="F95" s="1616"/>
      <c r="G95" s="1616"/>
      <c r="H95" s="1616"/>
      <c r="I95" s="1616"/>
      <c r="J95" s="1616"/>
      <c r="K95" s="1616"/>
    </row>
    <row r="96" spans="1:11" ht="12.75" customHeight="1" x14ac:dyDescent="0.2">
      <c r="A96" s="427" t="s">
        <v>388</v>
      </c>
      <c r="B96" s="429">
        <v>1920</v>
      </c>
      <c r="C96" s="1631">
        <v>102395</v>
      </c>
      <c r="D96" s="1631">
        <v>21200</v>
      </c>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1416</v>
      </c>
      <c r="B106" s="429">
        <v>1993</v>
      </c>
      <c r="C106" s="1572"/>
      <c r="D106" s="1597"/>
      <c r="E106" s="1573"/>
      <c r="F106" s="1573"/>
      <c r="G106" s="1573"/>
      <c r="H106" s="1573"/>
      <c r="I106" s="1616"/>
      <c r="J106" s="1573"/>
      <c r="K106" s="1573"/>
    </row>
    <row r="107" spans="1:12" ht="12.75" customHeight="1" x14ac:dyDescent="0.2">
      <c r="A107" s="427" t="s">
        <v>78</v>
      </c>
      <c r="B107" s="429">
        <v>1999</v>
      </c>
      <c r="C107" s="1631"/>
      <c r="D107" s="1572"/>
      <c r="E107" s="1572"/>
      <c r="F107" s="1572"/>
      <c r="G107" s="1572"/>
      <c r="H107" s="1572"/>
      <c r="I107" s="1572"/>
      <c r="J107" s="1573"/>
      <c r="K107" s="1572"/>
    </row>
    <row r="108" spans="1:12" ht="12.75" customHeight="1" thickBot="1" x14ac:dyDescent="0.25">
      <c r="A108" s="1405" t="s">
        <v>484</v>
      </c>
      <c r="B108" s="1407"/>
      <c r="C108" s="1632">
        <f>SUM(C95:C107)</f>
        <v>102395</v>
      </c>
      <c r="D108" s="1632">
        <f t="shared" ref="D108:K108" si="3">SUM(D95:D107)</f>
        <v>25300</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35347225</v>
      </c>
      <c r="D109" s="1640">
        <f t="shared" si="4"/>
        <v>4164108</v>
      </c>
      <c r="E109" s="1640">
        <f t="shared" si="4"/>
        <v>0</v>
      </c>
      <c r="F109" s="1640">
        <f t="shared" si="4"/>
        <v>1555930</v>
      </c>
      <c r="G109" s="1640">
        <f t="shared" si="4"/>
        <v>789930</v>
      </c>
      <c r="H109" s="1640">
        <f t="shared" si="4"/>
        <v>0</v>
      </c>
      <c r="I109" s="1640">
        <f t="shared" si="4"/>
        <v>362351</v>
      </c>
      <c r="J109" s="1640">
        <f t="shared" si="4"/>
        <v>0</v>
      </c>
      <c r="K109" s="1628">
        <f t="shared" si="4"/>
        <v>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1477</v>
      </c>
      <c r="B116" s="1333"/>
      <c r="C116" s="1642"/>
      <c r="D116" s="1616"/>
      <c r="E116" s="1639"/>
      <c r="F116" s="1616"/>
      <c r="G116" s="1616"/>
      <c r="H116" s="1639"/>
      <c r="I116" s="1574"/>
      <c r="J116" s="1616"/>
      <c r="K116" s="1616"/>
    </row>
    <row r="117" spans="1:11" ht="12.75" customHeight="1" x14ac:dyDescent="0.2">
      <c r="A117" s="427" t="s">
        <v>1651</v>
      </c>
      <c r="B117" s="478">
        <v>3001</v>
      </c>
      <c r="C117" s="1612">
        <v>3697079</v>
      </c>
      <c r="D117" s="1585">
        <v>2067884</v>
      </c>
      <c r="E117" s="1572"/>
      <c r="F117" s="1585"/>
      <c r="G117" s="1585"/>
      <c r="H117" s="1572"/>
      <c r="I117" s="1574"/>
      <c r="J117" s="1573"/>
      <c r="K117" s="1572"/>
    </row>
    <row r="118" spans="1:11" ht="12.75" customHeight="1" x14ac:dyDescent="0.2">
      <c r="A118" s="427" t="s">
        <v>1778</v>
      </c>
      <c r="B118" s="478">
        <v>3002</v>
      </c>
      <c r="C118" s="1631"/>
      <c r="D118" s="1572"/>
      <c r="E118" s="1572"/>
      <c r="F118" s="1572"/>
      <c r="G118" s="1572"/>
      <c r="H118" s="1572"/>
      <c r="I118" s="1574"/>
      <c r="J118" s="1573"/>
      <c r="K118" s="1572"/>
    </row>
    <row r="119" spans="1:11" ht="12.75" customHeight="1" x14ac:dyDescent="0.2">
      <c r="A119" s="427" t="s">
        <v>1779</v>
      </c>
      <c r="B119" s="478">
        <v>3005</v>
      </c>
      <c r="C119" s="1631"/>
      <c r="D119" s="1572"/>
      <c r="E119" s="1572"/>
      <c r="F119" s="1572"/>
      <c r="G119" s="1572"/>
      <c r="H119" s="1572"/>
      <c r="I119" s="1574"/>
      <c r="J119" s="1573"/>
      <c r="K119" s="1572"/>
    </row>
    <row r="120" spans="1:11" ht="12.75" customHeight="1" x14ac:dyDescent="0.2">
      <c r="A120" s="1538" t="s">
        <v>1897</v>
      </c>
      <c r="B120" s="478">
        <v>3030</v>
      </c>
      <c r="C120" s="1631"/>
      <c r="D120" s="1572"/>
      <c r="E120" s="1572"/>
      <c r="F120" s="1572"/>
      <c r="G120" s="1572"/>
      <c r="H120" s="1572"/>
      <c r="I120" s="1574"/>
      <c r="J120" s="1573"/>
      <c r="K120" s="1572"/>
    </row>
    <row r="121" spans="1:11" x14ac:dyDescent="0.2">
      <c r="A121" s="1265" t="s">
        <v>1780</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3697079</v>
      </c>
      <c r="D122" s="1632">
        <f t="shared" si="5"/>
        <v>2067884</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1476</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260606</v>
      </c>
      <c r="D125" s="1639"/>
      <c r="E125" s="1574"/>
      <c r="F125" s="1630"/>
      <c r="G125" s="1574"/>
      <c r="H125" s="1574"/>
      <c r="I125" s="1574"/>
      <c r="J125" s="1574"/>
      <c r="K125" s="1574"/>
    </row>
    <row r="126" spans="1:11" ht="12.75" customHeight="1" x14ac:dyDescent="0.2">
      <c r="A126" s="427" t="s">
        <v>1432</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10135</v>
      </c>
      <c r="D128" s="1639"/>
      <c r="E128" s="1574"/>
      <c r="F128" s="1572"/>
      <c r="G128" s="1574"/>
      <c r="H128" s="1574"/>
      <c r="I128" s="1574"/>
      <c r="J128" s="1574"/>
      <c r="K128" s="1574"/>
    </row>
    <row r="129" spans="1:11" ht="12.75" customHeight="1" x14ac:dyDescent="0.2">
      <c r="A129" s="427" t="s">
        <v>1433</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270741</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1049</v>
      </c>
      <c r="B146" s="482">
        <v>3360</v>
      </c>
      <c r="C146" s="1645">
        <v>982</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1434</v>
      </c>
      <c r="B152" s="478">
        <v>3500</v>
      </c>
      <c r="C152" s="1631"/>
      <c r="D152" s="1572"/>
      <c r="E152" s="1639"/>
      <c r="F152" s="1572">
        <v>16979</v>
      </c>
      <c r="G152" s="1573"/>
      <c r="H152" s="1574"/>
      <c r="I152" s="1574"/>
      <c r="J152" s="1574"/>
      <c r="K152" s="1574"/>
    </row>
    <row r="153" spans="1:11" ht="12.75" customHeight="1" x14ac:dyDescent="0.2">
      <c r="A153" s="427" t="s">
        <v>1050</v>
      </c>
      <c r="B153" s="478">
        <v>3510</v>
      </c>
      <c r="C153" s="1631"/>
      <c r="D153" s="1572"/>
      <c r="E153" s="1639"/>
      <c r="F153" s="1572">
        <v>1083319</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1100298</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1044</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1435</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c r="D168" s="1654"/>
      <c r="E168" s="1654"/>
      <c r="F168" s="1654"/>
      <c r="G168" s="1655"/>
      <c r="H168" s="1656"/>
      <c r="I168" s="1655"/>
      <c r="J168" s="1655"/>
      <c r="K168" s="1656"/>
    </row>
    <row r="169" spans="1:11" ht="12.75" customHeight="1" thickTop="1" thickBot="1" x14ac:dyDescent="0.25">
      <c r="A169" s="2479" t="s">
        <v>395</v>
      </c>
      <c r="B169" s="2480"/>
      <c r="C169" s="1657">
        <f t="shared" ref="C169:K169" si="6">SUM(C132,C141,C145,C146:C150,C155,C156:C167,C168)</f>
        <v>271723</v>
      </c>
      <c r="D169" s="1657">
        <f t="shared" si="6"/>
        <v>0</v>
      </c>
      <c r="E169" s="1657">
        <f t="shared" si="6"/>
        <v>0</v>
      </c>
      <c r="F169" s="1657">
        <f t="shared" si="6"/>
        <v>1100298</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3968802</v>
      </c>
      <c r="D170" s="1640">
        <f t="shared" si="7"/>
        <v>2067884</v>
      </c>
      <c r="E170" s="1640">
        <f t="shared" si="7"/>
        <v>0</v>
      </c>
      <c r="F170" s="1640">
        <f t="shared" si="7"/>
        <v>1100298</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481" t="s">
        <v>1478</v>
      </c>
      <c r="B172" s="2482"/>
      <c r="C172" s="1615"/>
      <c r="D172" s="1615"/>
      <c r="E172" s="1608"/>
      <c r="F172" s="1574"/>
      <c r="G172" s="1574"/>
      <c r="H172" s="1574"/>
      <c r="I172" s="1574"/>
      <c r="J172" s="1574"/>
      <c r="K172" s="1574"/>
    </row>
    <row r="173" spans="1:11" ht="12.6" customHeight="1" x14ac:dyDescent="0.2">
      <c r="A173" s="436" t="s">
        <v>1037</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485" t="s">
        <v>1649</v>
      </c>
      <c r="B175" s="2486"/>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489" t="s">
        <v>1648</v>
      </c>
      <c r="B176" s="2490"/>
      <c r="C176" s="1658"/>
      <c r="D176" s="1659"/>
      <c r="E176" s="1660"/>
      <c r="F176" s="1661"/>
      <c r="G176" s="1661"/>
      <c r="H176" s="1661"/>
      <c r="I176" s="1661"/>
      <c r="J176" s="1661"/>
      <c r="K176" s="1661"/>
    </row>
    <row r="177" spans="1:11" ht="12.75" customHeight="1" x14ac:dyDescent="0.2">
      <c r="A177" s="427" t="s">
        <v>1038</v>
      </c>
      <c r="B177" s="429">
        <v>4045</v>
      </c>
      <c r="C177" s="1631"/>
      <c r="D177" s="1574"/>
      <c r="E177" s="1639"/>
      <c r="F177" s="1574"/>
      <c r="G177" s="1574"/>
      <c r="H177" s="1574"/>
      <c r="I177" s="1574"/>
      <c r="J177" s="1574"/>
      <c r="K177" s="1574"/>
    </row>
    <row r="178" spans="1:11" ht="12.75" customHeight="1" x14ac:dyDescent="0.2">
      <c r="A178" s="427" t="s">
        <v>1039</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487" t="s">
        <v>780</v>
      </c>
      <c r="B181" s="2488"/>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483" t="s">
        <v>1782</v>
      </c>
      <c r="B182" s="2484"/>
      <c r="C182" s="1662"/>
      <c r="D182" s="1644"/>
      <c r="E182" s="1608"/>
      <c r="F182" s="1644"/>
      <c r="G182" s="1644"/>
      <c r="H182" s="1574"/>
      <c r="I182" s="1574"/>
      <c r="J182" s="1574"/>
      <c r="K182" s="1574"/>
    </row>
    <row r="183" spans="1:11" ht="15.75" customHeight="1" x14ac:dyDescent="0.2">
      <c r="A183" s="1340" t="s">
        <v>1588</v>
      </c>
      <c r="B183" s="1341"/>
      <c r="C183" s="1642"/>
      <c r="D183" s="1616"/>
      <c r="E183" s="1608"/>
      <c r="F183" s="1616"/>
      <c r="G183" s="1616"/>
      <c r="H183" s="1574"/>
      <c r="I183" s="1574"/>
      <c r="J183" s="1574"/>
      <c r="K183" s="1574"/>
    </row>
    <row r="184" spans="1:11" ht="12.75" customHeight="1" x14ac:dyDescent="0.2">
      <c r="A184" s="427" t="s">
        <v>1589</v>
      </c>
      <c r="B184" s="429">
        <v>4100</v>
      </c>
      <c r="C184" s="1612"/>
      <c r="D184" s="1585"/>
      <c r="E184" s="1639"/>
      <c r="F184" s="1585"/>
      <c r="G184" s="1585"/>
      <c r="H184" s="1574"/>
      <c r="I184" s="1574"/>
      <c r="J184" s="1574"/>
      <c r="K184" s="1574"/>
    </row>
    <row r="185" spans="1:11" ht="12.75" customHeight="1" x14ac:dyDescent="0.2">
      <c r="A185" s="427" t="s">
        <v>1590</v>
      </c>
      <c r="B185" s="429">
        <v>4105</v>
      </c>
      <c r="C185" s="1631"/>
      <c r="D185" s="1572"/>
      <c r="E185" s="1639"/>
      <c r="F185" s="1572"/>
      <c r="G185" s="1572"/>
      <c r="H185" s="1574"/>
      <c r="I185" s="1574"/>
      <c r="J185" s="1574"/>
      <c r="K185" s="1574"/>
    </row>
    <row r="186" spans="1:11" ht="12.75" customHeight="1" x14ac:dyDescent="0.2">
      <c r="A186" s="427" t="s">
        <v>1592</v>
      </c>
      <c r="B186" s="429">
        <v>4107</v>
      </c>
      <c r="C186" s="1631"/>
      <c r="D186" s="1572"/>
      <c r="E186" s="1639"/>
      <c r="F186" s="1572"/>
      <c r="G186" s="1572"/>
      <c r="H186" s="1574"/>
      <c r="I186" s="1574"/>
      <c r="J186" s="1574"/>
      <c r="K186" s="1574"/>
    </row>
    <row r="187" spans="1:11" ht="12.75" customHeight="1" x14ac:dyDescent="0.2">
      <c r="A187" s="427" t="s">
        <v>1591</v>
      </c>
      <c r="B187" s="429">
        <v>4199</v>
      </c>
      <c r="C187" s="1631"/>
      <c r="D187" s="1572"/>
      <c r="E187" s="1639"/>
      <c r="F187" s="1572"/>
      <c r="G187" s="1572"/>
      <c r="H187" s="1574"/>
      <c r="I187" s="1574"/>
      <c r="J187" s="1574"/>
      <c r="K187" s="1574"/>
    </row>
    <row r="188" spans="1:11" ht="12.75" customHeight="1" thickBot="1" x14ac:dyDescent="0.25">
      <c r="A188" s="1405" t="s">
        <v>1593</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1436</v>
      </c>
      <c r="B190" s="429">
        <v>4200</v>
      </c>
      <c r="C190" s="1573"/>
      <c r="D190" s="1574"/>
      <c r="E190" s="1639"/>
      <c r="F190" s="1633"/>
      <c r="G190" s="1663"/>
      <c r="H190" s="1574"/>
      <c r="I190" s="1574"/>
      <c r="J190" s="1574"/>
      <c r="K190" s="1574"/>
    </row>
    <row r="191" spans="1:11" ht="12.75" customHeight="1" x14ac:dyDescent="0.2">
      <c r="A191" s="427" t="s">
        <v>1051</v>
      </c>
      <c r="B191" s="429">
        <v>4210</v>
      </c>
      <c r="C191" s="1572"/>
      <c r="D191" s="1574"/>
      <c r="E191" s="1639"/>
      <c r="F191" s="1574"/>
      <c r="G191" s="1663"/>
      <c r="H191" s="1574"/>
      <c r="I191" s="1574"/>
      <c r="J191" s="1574"/>
      <c r="K191" s="1574"/>
    </row>
    <row r="192" spans="1:11" ht="12.75" customHeight="1" x14ac:dyDescent="0.2">
      <c r="A192" s="427" t="s">
        <v>1040</v>
      </c>
      <c r="B192" s="429">
        <v>4215</v>
      </c>
      <c r="C192" s="1631">
        <v>46214</v>
      </c>
      <c r="D192" s="1574"/>
      <c r="E192" s="1639"/>
      <c r="F192" s="1574"/>
      <c r="G192" s="1663"/>
      <c r="H192" s="1574"/>
      <c r="I192" s="1574"/>
      <c r="J192" s="1574"/>
      <c r="K192" s="1574"/>
    </row>
    <row r="193" spans="1:11" ht="12.75" customHeight="1" x14ac:dyDescent="0.2">
      <c r="A193" s="427" t="s">
        <v>1052</v>
      </c>
      <c r="B193" s="429">
        <v>4220</v>
      </c>
      <c r="C193" s="1631"/>
      <c r="D193" s="1574"/>
      <c r="E193" s="1639"/>
      <c r="F193" s="1574"/>
      <c r="G193" s="1663"/>
      <c r="H193" s="1574"/>
      <c r="I193" s="1574"/>
      <c r="J193" s="1574"/>
      <c r="K193" s="1574"/>
    </row>
    <row r="194" spans="1:11" ht="12.75" customHeight="1" x14ac:dyDescent="0.2">
      <c r="A194" s="427" t="s">
        <v>1437</v>
      </c>
      <c r="B194" s="429">
        <v>4225</v>
      </c>
      <c r="C194" s="1631"/>
      <c r="D194" s="1574"/>
      <c r="E194" s="1639"/>
      <c r="F194" s="1574"/>
      <c r="G194" s="1663"/>
      <c r="H194" s="1574"/>
      <c r="I194" s="1574"/>
      <c r="J194" s="1574"/>
      <c r="K194" s="1574"/>
    </row>
    <row r="195" spans="1:11" ht="12.75" customHeight="1" x14ac:dyDescent="0.2">
      <c r="A195" s="427" t="s">
        <v>1438</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46214</v>
      </c>
      <c r="D198" s="1574"/>
      <c r="E198" s="1574"/>
      <c r="F198" s="1574"/>
      <c r="G198" s="1593">
        <f>SUM(G190:G197)</f>
        <v>0</v>
      </c>
      <c r="H198" s="1574"/>
      <c r="I198" s="1574"/>
      <c r="J198" s="1574"/>
      <c r="K198" s="1574"/>
    </row>
    <row r="199" spans="1:11" ht="15.75" customHeight="1" thickTop="1" x14ac:dyDescent="0.2">
      <c r="A199" s="1337" t="s">
        <v>1130</v>
      </c>
      <c r="B199" s="1342"/>
      <c r="C199" s="1633"/>
      <c r="D199" s="1574"/>
      <c r="E199" s="1574"/>
      <c r="F199" s="1574"/>
      <c r="G199" s="1574"/>
      <c r="H199" s="1574"/>
      <c r="I199" s="1574"/>
      <c r="J199" s="1574"/>
      <c r="K199" s="1574"/>
    </row>
    <row r="200" spans="1:11" ht="12.75" customHeight="1" x14ac:dyDescent="0.2">
      <c r="A200" s="427" t="s">
        <v>912</v>
      </c>
      <c r="B200" s="429">
        <v>4300</v>
      </c>
      <c r="C200" s="1572">
        <v>512133</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v>73887</v>
      </c>
      <c r="D203" s="1572"/>
      <c r="E203" s="1574"/>
      <c r="F203" s="1572"/>
      <c r="G203" s="1572"/>
      <c r="H203" s="1574"/>
      <c r="I203" s="1574"/>
      <c r="J203" s="1574"/>
      <c r="K203" s="1574"/>
    </row>
    <row r="204" spans="1:11" ht="12.75" customHeight="1" thickBot="1" x14ac:dyDescent="0.25">
      <c r="A204" s="1405" t="s">
        <v>397</v>
      </c>
      <c r="B204" s="1406"/>
      <c r="C204" s="1632">
        <f>SUM(C200:C203)</f>
        <v>586020</v>
      </c>
      <c r="D204" s="1632">
        <f>SUM(D200:D203)</f>
        <v>0</v>
      </c>
      <c r="E204" s="1574"/>
      <c r="F204" s="1632">
        <f>SUM(F200:F203)</f>
        <v>0</v>
      </c>
      <c r="G204" s="1632">
        <f>SUM(G200:G203)</f>
        <v>0</v>
      </c>
      <c r="H204" s="1574"/>
      <c r="I204" s="1574"/>
      <c r="J204" s="1574"/>
      <c r="K204" s="1574"/>
    </row>
    <row r="205" spans="1:11" ht="15.75" customHeight="1" thickTop="1" x14ac:dyDescent="0.2">
      <c r="A205" s="1337" t="s">
        <v>1131</v>
      </c>
      <c r="B205" s="1342"/>
      <c r="C205" s="1633"/>
      <c r="D205" s="1633"/>
      <c r="E205" s="1574"/>
      <c r="F205" s="1633"/>
      <c r="G205" s="1633"/>
      <c r="H205" s="1574"/>
      <c r="I205" s="1574"/>
      <c r="J205" s="1574"/>
      <c r="K205" s="1574"/>
    </row>
    <row r="206" spans="1:11" ht="12.75" customHeight="1" x14ac:dyDescent="0.2">
      <c r="A206" s="427" t="s">
        <v>754</v>
      </c>
      <c r="B206" s="429">
        <v>4400</v>
      </c>
      <c r="C206" s="1631">
        <v>39955</v>
      </c>
      <c r="D206" s="1572"/>
      <c r="E206" s="1574"/>
      <c r="F206" s="1572"/>
      <c r="G206" s="1572"/>
      <c r="H206" s="1574"/>
      <c r="I206" s="1574"/>
      <c r="J206" s="1574"/>
      <c r="K206" s="1574"/>
    </row>
    <row r="207" spans="1:11" ht="12.75" customHeight="1" x14ac:dyDescent="0.2">
      <c r="A207" s="427" t="s">
        <v>1439</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39955</v>
      </c>
      <c r="D209" s="1632">
        <f>SUM(D206:D208)</f>
        <v>0</v>
      </c>
      <c r="E209" s="1574" t="s">
        <v>1161</v>
      </c>
      <c r="F209" s="1632">
        <f>SUM(F206:F208)</f>
        <v>0</v>
      </c>
      <c r="G209" s="1632">
        <f>SUM(G206:G208)</f>
        <v>0</v>
      </c>
      <c r="H209" s="1574"/>
      <c r="I209" s="1574"/>
      <c r="J209" s="1574"/>
      <c r="K209" s="1574"/>
    </row>
    <row r="210" spans="1:11" ht="15.75" customHeight="1" thickTop="1" x14ac:dyDescent="0.2">
      <c r="A210" s="1337" t="s">
        <v>1085</v>
      </c>
      <c r="B210" s="1342"/>
      <c r="C210" s="1633"/>
      <c r="D210" s="1633"/>
      <c r="E210" s="1574"/>
      <c r="F210" s="1633"/>
      <c r="G210" s="1633"/>
      <c r="H210" s="1574"/>
      <c r="I210" s="1574"/>
      <c r="J210" s="1574"/>
      <c r="K210" s="1574"/>
    </row>
    <row r="211" spans="1:11" ht="12.75" customHeight="1" x14ac:dyDescent="0.2">
      <c r="A211" s="427" t="s">
        <v>1045</v>
      </c>
      <c r="B211" s="429">
        <v>4600</v>
      </c>
      <c r="C211" s="1631">
        <v>41933</v>
      </c>
      <c r="D211" s="1572"/>
      <c r="E211" s="1574"/>
      <c r="F211" s="1572"/>
      <c r="G211" s="1572"/>
      <c r="H211" s="1574"/>
      <c r="I211" s="1574"/>
      <c r="J211" s="1574"/>
      <c r="K211" s="1574"/>
    </row>
    <row r="212" spans="1:11" ht="12.75" customHeight="1" x14ac:dyDescent="0.2">
      <c r="A212" s="427" t="s">
        <v>1046</v>
      </c>
      <c r="B212" s="429">
        <v>4605</v>
      </c>
      <c r="C212" s="1631"/>
      <c r="D212" s="1572"/>
      <c r="E212" s="1574"/>
      <c r="F212" s="1572"/>
      <c r="G212" s="1572"/>
      <c r="H212" s="1574"/>
      <c r="I212" s="1574"/>
      <c r="J212" s="1574"/>
      <c r="K212" s="1574"/>
    </row>
    <row r="213" spans="1:11" ht="12.75" customHeight="1" x14ac:dyDescent="0.2">
      <c r="A213" s="427" t="s">
        <v>1440</v>
      </c>
      <c r="B213" s="475">
        <v>4620</v>
      </c>
      <c r="C213" s="1631">
        <v>1020221</v>
      </c>
      <c r="D213" s="1572"/>
      <c r="E213" s="1574"/>
      <c r="F213" s="1572"/>
      <c r="G213" s="1572"/>
      <c r="H213" s="1574"/>
      <c r="I213" s="1574"/>
      <c r="J213" s="1574"/>
      <c r="K213" s="1574"/>
    </row>
    <row r="214" spans="1:11" ht="12.75" customHeight="1" x14ac:dyDescent="0.2">
      <c r="A214" s="427" t="s">
        <v>1047</v>
      </c>
      <c r="B214" s="429">
        <v>4625</v>
      </c>
      <c r="C214" s="1631">
        <v>8531</v>
      </c>
      <c r="D214" s="1572"/>
      <c r="E214" s="1574"/>
      <c r="F214" s="1572"/>
      <c r="G214" s="1572"/>
      <c r="H214" s="1574"/>
      <c r="I214" s="1574"/>
      <c r="J214" s="1574"/>
      <c r="K214" s="1574"/>
    </row>
    <row r="215" spans="1:11" ht="12.75" customHeight="1" x14ac:dyDescent="0.2">
      <c r="A215" s="427" t="s">
        <v>1048</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1070685</v>
      </c>
      <c r="D217" s="1632">
        <f>SUM(D211:D216)</f>
        <v>0</v>
      </c>
      <c r="E217" s="1574"/>
      <c r="F217" s="1632">
        <f>SUM(F211:F216)</f>
        <v>0</v>
      </c>
      <c r="G217" s="1632">
        <f>SUM(G211:G216)</f>
        <v>0</v>
      </c>
      <c r="H217" s="1574"/>
      <c r="I217" s="1574"/>
      <c r="J217" s="1574"/>
      <c r="K217" s="1574"/>
    </row>
    <row r="218" spans="1:11" ht="15.75" customHeight="1" thickTop="1" x14ac:dyDescent="0.2">
      <c r="A218" s="1337" t="s">
        <v>1086</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1078</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1120</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1441</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1407</v>
      </c>
      <c r="B253" s="487">
        <v>4901</v>
      </c>
      <c r="C253" s="1665"/>
      <c r="D253" s="1575"/>
      <c r="E253" s="1574"/>
      <c r="F253" s="1574"/>
      <c r="G253" s="1574"/>
      <c r="H253" s="1574"/>
      <c r="I253" s="1574"/>
      <c r="J253" s="1574"/>
      <c r="K253" s="1574"/>
    </row>
    <row r="254" spans="1:11" ht="12.75" customHeight="1" thickTop="1" thickBot="1" x14ac:dyDescent="0.25">
      <c r="A254" s="1272" t="s">
        <v>1449</v>
      </c>
      <c r="B254" s="488">
        <v>4902</v>
      </c>
      <c r="C254" s="1666"/>
      <c r="D254" s="1667"/>
      <c r="E254" s="1575"/>
      <c r="F254" s="1667"/>
      <c r="G254" s="1667"/>
      <c r="H254" s="1575"/>
      <c r="I254" s="1574"/>
      <c r="J254" s="1575"/>
      <c r="K254" s="1575"/>
    </row>
    <row r="255" spans="1:11" ht="12.75" customHeight="1" thickTop="1" thickBot="1" x14ac:dyDescent="0.25">
      <c r="A255" s="427" t="s">
        <v>1442</v>
      </c>
      <c r="B255" s="429">
        <v>4905</v>
      </c>
      <c r="C255" s="1648"/>
      <c r="D255" s="1574"/>
      <c r="E255" s="1574"/>
      <c r="F255" s="1652"/>
      <c r="G255" s="1648"/>
      <c r="H255" s="1574"/>
      <c r="I255" s="1574"/>
      <c r="J255" s="1574"/>
      <c r="K255" s="1574"/>
    </row>
    <row r="256" spans="1:11" ht="12.75" customHeight="1" thickTop="1" thickBot="1" x14ac:dyDescent="0.25">
      <c r="A256" s="427" t="s">
        <v>1443</v>
      </c>
      <c r="B256" s="429">
        <v>4909</v>
      </c>
      <c r="C256" s="1650">
        <v>20659</v>
      </c>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1898</v>
      </c>
      <c r="B261" s="429">
        <v>4981</v>
      </c>
      <c r="C261" s="1649"/>
      <c r="D261" s="1650"/>
      <c r="E261" s="1574"/>
      <c r="F261" s="1650"/>
      <c r="G261" s="1650"/>
      <c r="H261" s="1574"/>
      <c r="I261" s="1574"/>
      <c r="J261" s="1574"/>
      <c r="K261" s="1574"/>
    </row>
    <row r="262" spans="1:11" ht="12.75" customHeight="1" thickTop="1" thickBot="1" x14ac:dyDescent="0.25">
      <c r="A262" s="1539" t="s">
        <v>1899</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73924</v>
      </c>
      <c r="D263" s="1650"/>
      <c r="E263" s="1574"/>
      <c r="F263" s="1650"/>
      <c r="G263" s="1650"/>
      <c r="H263" s="1574"/>
      <c r="I263" s="1574"/>
      <c r="J263" s="1574"/>
      <c r="K263" s="1574"/>
    </row>
    <row r="264" spans="1:11" ht="12.75" customHeight="1" thickTop="1" thickBot="1" x14ac:dyDescent="0.25">
      <c r="A264" s="427" t="s">
        <v>374</v>
      </c>
      <c r="B264" s="429">
        <v>4992</v>
      </c>
      <c r="C264" s="1649">
        <v>177205</v>
      </c>
      <c r="D264" s="1650"/>
      <c r="E264" s="1574"/>
      <c r="F264" s="1650"/>
      <c r="G264" s="1650"/>
      <c r="H264" s="1574"/>
      <c r="I264" s="1574"/>
      <c r="J264" s="1574"/>
      <c r="K264" s="1574"/>
    </row>
    <row r="265" spans="1:11" s="489" customFormat="1" ht="12.75" customHeight="1" thickTop="1" thickBot="1" x14ac:dyDescent="0.25">
      <c r="A265" s="479" t="s">
        <v>75</v>
      </c>
      <c r="B265" s="475">
        <v>4998</v>
      </c>
      <c r="C265" s="1649">
        <v>276734</v>
      </c>
      <c r="D265" s="1650"/>
      <c r="E265" s="1574"/>
      <c r="F265" s="1650"/>
      <c r="G265" s="1650"/>
      <c r="H265" s="1625"/>
      <c r="I265" s="1574"/>
      <c r="J265" s="1574"/>
      <c r="K265" s="1625"/>
    </row>
    <row r="266" spans="1:11" ht="14.25" thickTop="1" thickBot="1" x14ac:dyDescent="0.25">
      <c r="A266" s="1405" t="s">
        <v>1650</v>
      </c>
      <c r="B266" s="1418"/>
      <c r="C266" s="1640">
        <f t="shared" ref="C266:H266" si="10">SUM(C188,C198,C204,C209,C217,C221,C222,C252:C265)</f>
        <v>2291396</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1079</v>
      </c>
      <c r="B267" s="1420" t="s">
        <v>855</v>
      </c>
      <c r="C267" s="1640">
        <f>SUM(C175,C181,C266)</f>
        <v>2291396</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41607423</v>
      </c>
      <c r="D268" s="1640">
        <f t="shared" si="12"/>
        <v>6231992</v>
      </c>
      <c r="E268" s="1640">
        <f t="shared" si="12"/>
        <v>0</v>
      </c>
      <c r="F268" s="1640">
        <f t="shared" si="12"/>
        <v>2656228</v>
      </c>
      <c r="G268" s="1640">
        <f t="shared" si="12"/>
        <v>789930</v>
      </c>
      <c r="H268" s="1640">
        <f t="shared" si="12"/>
        <v>0</v>
      </c>
      <c r="I268" s="1640">
        <f t="shared" si="12"/>
        <v>362351</v>
      </c>
      <c r="J268" s="1640">
        <f t="shared" si="12"/>
        <v>0</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73" activePane="bottomLeft" state="frozen"/>
      <selection pane="bottomLeft" activeCell="L281" sqref="L28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459"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49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499" t="s">
        <v>294</v>
      </c>
      <c r="B3" s="2500"/>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14953718</v>
      </c>
      <c r="D5" s="1572">
        <v>3066496</v>
      </c>
      <c r="E5" s="1572">
        <v>609467</v>
      </c>
      <c r="F5" s="1572">
        <v>910299</v>
      </c>
      <c r="G5" s="1572">
        <v>38544</v>
      </c>
      <c r="H5" s="1572"/>
      <c r="I5" s="1573"/>
      <c r="J5" s="1573"/>
      <c r="K5" s="1671">
        <f>SUM(C5:J5)</f>
        <v>19578524</v>
      </c>
      <c r="L5" s="1572">
        <v>22854762</v>
      </c>
    </row>
    <row r="6" spans="1:14" x14ac:dyDescent="0.2">
      <c r="A6" s="1273" t="s">
        <v>1419</v>
      </c>
      <c r="B6" s="503" t="s">
        <v>1417</v>
      </c>
      <c r="C6" s="1581"/>
      <c r="D6" s="1581"/>
      <c r="E6" s="1572"/>
      <c r="F6" s="1581"/>
      <c r="G6" s="1581"/>
      <c r="H6" s="1581"/>
      <c r="I6" s="1581"/>
      <c r="J6" s="1581"/>
      <c r="K6" s="1671">
        <f>SUM(C6,E6)</f>
        <v>0</v>
      </c>
      <c r="L6" s="1572"/>
    </row>
    <row r="7" spans="1:14" x14ac:dyDescent="0.2">
      <c r="A7" s="1273" t="s">
        <v>162</v>
      </c>
      <c r="B7" s="503" t="s">
        <v>961</v>
      </c>
      <c r="C7" s="1573"/>
      <c r="D7" s="1573"/>
      <c r="E7" s="1573"/>
      <c r="F7" s="1573"/>
      <c r="G7" s="1573"/>
      <c r="H7" s="1573"/>
      <c r="I7" s="1573"/>
      <c r="J7" s="1573"/>
      <c r="K7" s="1671">
        <f t="shared" ref="K7:K32" si="0">SUM(C7:J7)</f>
        <v>0</v>
      </c>
      <c r="L7" s="1572"/>
    </row>
    <row r="8" spans="1:14" x14ac:dyDescent="0.2">
      <c r="A8" s="1273" t="s">
        <v>163</v>
      </c>
      <c r="B8" s="503">
        <v>1200</v>
      </c>
      <c r="C8" s="1572">
        <v>4674124</v>
      </c>
      <c r="D8" s="1572">
        <v>553616</v>
      </c>
      <c r="E8" s="1572">
        <v>6844</v>
      </c>
      <c r="F8" s="1572">
        <v>75177</v>
      </c>
      <c r="G8" s="1572">
        <v>3978</v>
      </c>
      <c r="H8" s="1572"/>
      <c r="I8" s="1573"/>
      <c r="J8" s="1573"/>
      <c r="K8" s="1671">
        <f t="shared" si="0"/>
        <v>5313739</v>
      </c>
      <c r="L8" s="1572">
        <v>5359547</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v>590484</v>
      </c>
      <c r="D10" s="1572">
        <v>50062</v>
      </c>
      <c r="E10" s="1572"/>
      <c r="F10" s="1572"/>
      <c r="G10" s="1572"/>
      <c r="H10" s="1572"/>
      <c r="I10" s="1573"/>
      <c r="J10" s="1573"/>
      <c r="K10" s="1671">
        <f t="shared" si="0"/>
        <v>640546</v>
      </c>
      <c r="L10" s="1572">
        <v>662000</v>
      </c>
    </row>
    <row r="11" spans="1:14" x14ac:dyDescent="0.2">
      <c r="A11" s="1273" t="s">
        <v>1122</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c r="G13" s="1572"/>
      <c r="H13" s="1572"/>
      <c r="I13" s="1573"/>
      <c r="J13" s="1573"/>
      <c r="K13" s="1671">
        <f t="shared" si="0"/>
        <v>0</v>
      </c>
      <c r="L13" s="1572"/>
    </row>
    <row r="14" spans="1:14" x14ac:dyDescent="0.2">
      <c r="A14" s="1273" t="s">
        <v>957</v>
      </c>
      <c r="B14" s="503">
        <v>1500</v>
      </c>
      <c r="C14" s="1572">
        <v>409697</v>
      </c>
      <c r="D14" s="1572">
        <v>32165</v>
      </c>
      <c r="E14" s="1572">
        <v>8932</v>
      </c>
      <c r="F14" s="1572">
        <v>16739</v>
      </c>
      <c r="G14" s="1572"/>
      <c r="H14" s="1572">
        <v>3900</v>
      </c>
      <c r="I14" s="1573"/>
      <c r="J14" s="1573"/>
      <c r="K14" s="1671">
        <f t="shared" si="0"/>
        <v>471433</v>
      </c>
      <c r="L14" s="1572">
        <v>531236</v>
      </c>
    </row>
    <row r="15" spans="1:14" x14ac:dyDescent="0.2">
      <c r="A15" s="1273" t="s">
        <v>958</v>
      </c>
      <c r="B15" s="503">
        <v>1600</v>
      </c>
      <c r="C15" s="1572">
        <v>118356</v>
      </c>
      <c r="D15" s="1572">
        <v>812</v>
      </c>
      <c r="E15" s="1572"/>
      <c r="F15" s="1572"/>
      <c r="G15" s="1572"/>
      <c r="H15" s="1572"/>
      <c r="I15" s="1573"/>
      <c r="J15" s="1573"/>
      <c r="K15" s="1671">
        <f t="shared" si="0"/>
        <v>119168</v>
      </c>
      <c r="L15" s="1572">
        <v>203536</v>
      </c>
    </row>
    <row r="16" spans="1:14" x14ac:dyDescent="0.2">
      <c r="A16" s="1273" t="s">
        <v>980</v>
      </c>
      <c r="B16" s="503" t="s">
        <v>421</v>
      </c>
      <c r="C16" s="1572">
        <v>327311</v>
      </c>
      <c r="D16" s="1572">
        <v>20590</v>
      </c>
      <c r="E16" s="1572"/>
      <c r="F16" s="1572">
        <v>3053</v>
      </c>
      <c r="G16" s="1572"/>
      <c r="H16" s="1572">
        <v>200</v>
      </c>
      <c r="I16" s="1573"/>
      <c r="J16" s="1573"/>
      <c r="K16" s="1671">
        <f t="shared" si="0"/>
        <v>351154</v>
      </c>
      <c r="L16" s="1572">
        <v>365100</v>
      </c>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1080</v>
      </c>
      <c r="B18" s="503">
        <v>1800</v>
      </c>
      <c r="C18" s="1572">
        <v>352882</v>
      </c>
      <c r="D18" s="1572"/>
      <c r="E18" s="1572"/>
      <c r="F18" s="1572">
        <v>4523</v>
      </c>
      <c r="G18" s="1572"/>
      <c r="H18" s="1572"/>
      <c r="I18" s="1573"/>
      <c r="J18" s="1573"/>
      <c r="K18" s="1671">
        <f t="shared" si="0"/>
        <v>357405</v>
      </c>
      <c r="L18" s="1572">
        <v>361280</v>
      </c>
    </row>
    <row r="19" spans="1:12" x14ac:dyDescent="0.2">
      <c r="A19" s="1273" t="s">
        <v>133</v>
      </c>
      <c r="B19" s="503">
        <v>1900</v>
      </c>
      <c r="C19" s="1572">
        <v>92709</v>
      </c>
      <c r="D19" s="1572">
        <v>32160</v>
      </c>
      <c r="E19" s="1572"/>
      <c r="F19" s="1572"/>
      <c r="G19" s="1572"/>
      <c r="H19" s="1572"/>
      <c r="I19" s="1573"/>
      <c r="J19" s="1573"/>
      <c r="K19" s="1671">
        <f t="shared" si="0"/>
        <v>124869</v>
      </c>
      <c r="L19" s="1572">
        <v>115800</v>
      </c>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1121</v>
      </c>
      <c r="B32" s="503" t="s">
        <v>732</v>
      </c>
      <c r="C32" s="1581"/>
      <c r="D32" s="1581"/>
      <c r="E32" s="1581"/>
      <c r="F32" s="1581"/>
      <c r="G32" s="1581"/>
      <c r="H32" s="1578"/>
      <c r="I32" s="1672"/>
      <c r="J32" s="1584"/>
      <c r="K32" s="1671">
        <f t="shared" si="0"/>
        <v>0</v>
      </c>
      <c r="L32" s="1576"/>
    </row>
    <row r="33" spans="1:14" ht="12.75" customHeight="1" thickBot="1" x14ac:dyDescent="0.25">
      <c r="A33" s="1379" t="s">
        <v>1652</v>
      </c>
      <c r="B33" s="1380" t="s">
        <v>566</v>
      </c>
      <c r="C33" s="1673">
        <f>SUM(C5:C32)</f>
        <v>21519281</v>
      </c>
      <c r="D33" s="1673">
        <f t="shared" ref="D33:L33" si="1">SUM(D5:D32)</f>
        <v>3755901</v>
      </c>
      <c r="E33" s="1673">
        <f t="shared" si="1"/>
        <v>625243</v>
      </c>
      <c r="F33" s="1673">
        <f t="shared" si="1"/>
        <v>1009791</v>
      </c>
      <c r="G33" s="1673">
        <f t="shared" si="1"/>
        <v>42522</v>
      </c>
      <c r="H33" s="1673">
        <f t="shared" si="1"/>
        <v>4100</v>
      </c>
      <c r="I33" s="1673">
        <f t="shared" si="1"/>
        <v>0</v>
      </c>
      <c r="J33" s="1673">
        <f t="shared" si="1"/>
        <v>0</v>
      </c>
      <c r="K33" s="1673">
        <f t="shared" si="1"/>
        <v>26956838</v>
      </c>
      <c r="L33" s="1673">
        <f t="shared" si="1"/>
        <v>30453261</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1082</v>
      </c>
      <c r="B36" s="503">
        <v>2110</v>
      </c>
      <c r="C36" s="1585">
        <v>516648</v>
      </c>
      <c r="D36" s="1585">
        <v>77846</v>
      </c>
      <c r="E36" s="1585">
        <v>65</v>
      </c>
      <c r="F36" s="1585"/>
      <c r="G36" s="1585"/>
      <c r="H36" s="1585"/>
      <c r="I36" s="1573"/>
      <c r="J36" s="1573"/>
      <c r="K36" s="1671">
        <f t="shared" ref="K36:K41" si="2">SUM(C36:J36)</f>
        <v>594559</v>
      </c>
      <c r="L36" s="1572">
        <v>687500</v>
      </c>
    </row>
    <row r="37" spans="1:14" x14ac:dyDescent="0.2">
      <c r="A37" s="1273" t="s">
        <v>1083</v>
      </c>
      <c r="B37" s="503">
        <v>2120</v>
      </c>
      <c r="C37" s="1572">
        <v>450488</v>
      </c>
      <c r="D37" s="1572"/>
      <c r="E37" s="1572"/>
      <c r="F37" s="1572"/>
      <c r="G37" s="1572"/>
      <c r="H37" s="1572"/>
      <c r="I37" s="1573"/>
      <c r="J37" s="1573"/>
      <c r="K37" s="1671">
        <f t="shared" si="2"/>
        <v>450488</v>
      </c>
      <c r="L37" s="1572">
        <v>494245</v>
      </c>
    </row>
    <row r="38" spans="1:14" x14ac:dyDescent="0.2">
      <c r="A38" s="1273" t="s">
        <v>196</v>
      </c>
      <c r="B38" s="503">
        <v>2130</v>
      </c>
      <c r="C38" s="1572">
        <v>327563</v>
      </c>
      <c r="D38" s="1572">
        <v>48098</v>
      </c>
      <c r="E38" s="1572">
        <v>82179</v>
      </c>
      <c r="F38" s="1572">
        <v>36378</v>
      </c>
      <c r="G38" s="1572">
        <v>4252</v>
      </c>
      <c r="H38" s="1572"/>
      <c r="I38" s="1573"/>
      <c r="J38" s="1573"/>
      <c r="K38" s="1671">
        <f t="shared" si="2"/>
        <v>498470</v>
      </c>
      <c r="L38" s="1572">
        <v>528421</v>
      </c>
    </row>
    <row r="39" spans="1:14" x14ac:dyDescent="0.2">
      <c r="A39" s="1273" t="s">
        <v>197</v>
      </c>
      <c r="B39" s="503">
        <v>2140</v>
      </c>
      <c r="C39" s="1572">
        <v>375985</v>
      </c>
      <c r="D39" s="1572">
        <v>40613</v>
      </c>
      <c r="E39" s="1572">
        <v>56364</v>
      </c>
      <c r="F39" s="1572">
        <v>4518</v>
      </c>
      <c r="G39" s="1572"/>
      <c r="H39" s="1572"/>
      <c r="I39" s="1573"/>
      <c r="J39" s="1573"/>
      <c r="K39" s="1671">
        <f t="shared" si="2"/>
        <v>477480</v>
      </c>
      <c r="L39" s="1572">
        <v>493100</v>
      </c>
    </row>
    <row r="40" spans="1:14" x14ac:dyDescent="0.2">
      <c r="A40" s="1273" t="s">
        <v>198</v>
      </c>
      <c r="B40" s="503">
        <v>2150</v>
      </c>
      <c r="C40" s="1572">
        <v>1019361</v>
      </c>
      <c r="D40" s="1572">
        <v>99745</v>
      </c>
      <c r="E40" s="1572">
        <v>7947</v>
      </c>
      <c r="F40" s="1572">
        <v>6556</v>
      </c>
      <c r="G40" s="1572"/>
      <c r="H40" s="1572"/>
      <c r="I40" s="1573"/>
      <c r="J40" s="1573"/>
      <c r="K40" s="1671">
        <f t="shared" si="2"/>
        <v>1133609</v>
      </c>
      <c r="L40" s="1572">
        <v>1213900</v>
      </c>
    </row>
    <row r="41" spans="1:14" x14ac:dyDescent="0.2">
      <c r="A41" s="1273" t="s">
        <v>1653</v>
      </c>
      <c r="B41" s="503">
        <v>2190</v>
      </c>
      <c r="C41" s="1572">
        <v>472215</v>
      </c>
      <c r="D41" s="1572">
        <v>11201</v>
      </c>
      <c r="E41" s="1572">
        <v>-13</v>
      </c>
      <c r="F41" s="1572"/>
      <c r="G41" s="1572"/>
      <c r="H41" s="1572"/>
      <c r="I41" s="1573"/>
      <c r="J41" s="1573"/>
      <c r="K41" s="1671">
        <f t="shared" si="2"/>
        <v>483403</v>
      </c>
      <c r="L41" s="1572">
        <v>538000</v>
      </c>
    </row>
    <row r="42" spans="1:14" ht="12.75" customHeight="1" thickBot="1" x14ac:dyDescent="0.25">
      <c r="A42" s="1379" t="s">
        <v>556</v>
      </c>
      <c r="B42" s="1380" t="s">
        <v>711</v>
      </c>
      <c r="C42" s="1673">
        <f>SUM(C36:C41)</f>
        <v>3162260</v>
      </c>
      <c r="D42" s="1673">
        <f t="shared" ref="D42:L42" si="3">SUM(D36:D41)</f>
        <v>277503</v>
      </c>
      <c r="E42" s="1673">
        <f t="shared" si="3"/>
        <v>146542</v>
      </c>
      <c r="F42" s="1673">
        <f t="shared" si="3"/>
        <v>47452</v>
      </c>
      <c r="G42" s="1673">
        <f t="shared" si="3"/>
        <v>4252</v>
      </c>
      <c r="H42" s="1673">
        <f t="shared" si="3"/>
        <v>0</v>
      </c>
      <c r="I42" s="1673">
        <f t="shared" si="3"/>
        <v>0</v>
      </c>
      <c r="J42" s="1673">
        <f t="shared" si="3"/>
        <v>0</v>
      </c>
      <c r="K42" s="1673">
        <f t="shared" si="3"/>
        <v>3638009</v>
      </c>
      <c r="L42" s="1673">
        <f t="shared" si="3"/>
        <v>3955166</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514232</v>
      </c>
      <c r="D44" s="1585">
        <v>3852</v>
      </c>
      <c r="E44" s="1585">
        <v>446844</v>
      </c>
      <c r="F44" s="1585">
        <v>3410</v>
      </c>
      <c r="G44" s="1585"/>
      <c r="H44" s="1585">
        <v>688</v>
      </c>
      <c r="I44" s="1573"/>
      <c r="J44" s="1573"/>
      <c r="K44" s="1677">
        <f>SUM(C44:J44)</f>
        <v>969026</v>
      </c>
      <c r="L44" s="1585">
        <v>876794</v>
      </c>
    </row>
    <row r="45" spans="1:14" x14ac:dyDescent="0.2">
      <c r="A45" s="1273" t="s">
        <v>810</v>
      </c>
      <c r="B45" s="503">
        <v>2220</v>
      </c>
      <c r="C45" s="1572">
        <v>1080833</v>
      </c>
      <c r="D45" s="1572">
        <v>151473</v>
      </c>
      <c r="E45" s="1572">
        <v>425118</v>
      </c>
      <c r="F45" s="1572">
        <v>101004</v>
      </c>
      <c r="G45" s="1572">
        <v>2244431</v>
      </c>
      <c r="H45" s="1572"/>
      <c r="I45" s="1573"/>
      <c r="J45" s="1573"/>
      <c r="K45" s="1677">
        <f>SUM(C45:J45)</f>
        <v>4002859</v>
      </c>
      <c r="L45" s="1572">
        <v>3843665</v>
      </c>
    </row>
    <row r="46" spans="1:14" x14ac:dyDescent="0.2">
      <c r="A46" s="1273" t="s">
        <v>811</v>
      </c>
      <c r="B46" s="503">
        <v>2230</v>
      </c>
      <c r="C46" s="1572"/>
      <c r="D46" s="1572"/>
      <c r="E46" s="1572"/>
      <c r="F46" s="1572">
        <v>1865</v>
      </c>
      <c r="G46" s="1572"/>
      <c r="H46" s="1572"/>
      <c r="I46" s="1573"/>
      <c r="J46" s="1573"/>
      <c r="K46" s="1677">
        <f>SUM(C46:J46)</f>
        <v>1865</v>
      </c>
      <c r="L46" s="1572">
        <v>1865</v>
      </c>
    </row>
    <row r="47" spans="1:14" ht="12.75" customHeight="1" thickBot="1" x14ac:dyDescent="0.25">
      <c r="A47" s="1379" t="s">
        <v>557</v>
      </c>
      <c r="B47" s="1380" t="s">
        <v>32</v>
      </c>
      <c r="C47" s="1673">
        <f>SUM(C44:C46)</f>
        <v>1595065</v>
      </c>
      <c r="D47" s="1673">
        <f t="shared" ref="D47:K47" si="4">SUM(D44:D46)</f>
        <v>155325</v>
      </c>
      <c r="E47" s="1673">
        <f t="shared" si="4"/>
        <v>871962</v>
      </c>
      <c r="F47" s="1673">
        <f t="shared" si="4"/>
        <v>106279</v>
      </c>
      <c r="G47" s="1673">
        <f t="shared" si="4"/>
        <v>2244431</v>
      </c>
      <c r="H47" s="1673">
        <f t="shared" si="4"/>
        <v>688</v>
      </c>
      <c r="I47" s="1673">
        <f t="shared" si="4"/>
        <v>0</v>
      </c>
      <c r="J47" s="1673">
        <f t="shared" si="4"/>
        <v>0</v>
      </c>
      <c r="K47" s="1673">
        <f t="shared" si="4"/>
        <v>4973750</v>
      </c>
      <c r="L47" s="1673">
        <f>SUM(L44:L46)</f>
        <v>4722324</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6461</v>
      </c>
      <c r="D49" s="1585"/>
      <c r="E49" s="1585">
        <v>125296</v>
      </c>
      <c r="F49" s="1585">
        <v>1310</v>
      </c>
      <c r="G49" s="1585"/>
      <c r="H49" s="1585">
        <v>2120</v>
      </c>
      <c r="I49" s="1573"/>
      <c r="J49" s="1573"/>
      <c r="K49" s="1677">
        <f>SUM(C49:J49)</f>
        <v>135187</v>
      </c>
      <c r="L49" s="1585">
        <v>133300</v>
      </c>
    </row>
    <row r="50" spans="1:14" x14ac:dyDescent="0.2">
      <c r="A50" s="1273" t="s">
        <v>813</v>
      </c>
      <c r="B50" s="503">
        <v>2320</v>
      </c>
      <c r="C50" s="1572">
        <v>312276</v>
      </c>
      <c r="D50" s="1572">
        <v>40433</v>
      </c>
      <c r="E50" s="1572">
        <v>2677</v>
      </c>
      <c r="F50" s="1572">
        <v>3368</v>
      </c>
      <c r="G50" s="1572"/>
      <c r="H50" s="1572">
        <v>1977</v>
      </c>
      <c r="I50" s="1573"/>
      <c r="J50" s="1573"/>
      <c r="K50" s="1677">
        <f>SUM(C50:J50)</f>
        <v>360731</v>
      </c>
      <c r="L50" s="1572">
        <v>316100</v>
      </c>
    </row>
    <row r="51" spans="1:14" x14ac:dyDescent="0.2">
      <c r="A51" s="1273" t="s">
        <v>42</v>
      </c>
      <c r="B51" s="503">
        <v>2330</v>
      </c>
      <c r="C51" s="1572">
        <v>481355</v>
      </c>
      <c r="D51" s="1572">
        <v>30120</v>
      </c>
      <c r="E51" s="1572">
        <v>329</v>
      </c>
      <c r="F51" s="1572">
        <v>2545</v>
      </c>
      <c r="G51" s="1572"/>
      <c r="H51" s="1572">
        <v>410</v>
      </c>
      <c r="I51" s="1573"/>
      <c r="J51" s="1573"/>
      <c r="K51" s="1677">
        <f>SUM(C51:J51)</f>
        <v>514759</v>
      </c>
      <c r="L51" s="1572">
        <v>506514</v>
      </c>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800092</v>
      </c>
      <c r="D53" s="1673">
        <f t="shared" ref="D53:L53" si="5">SUM(D49:D52)</f>
        <v>70553</v>
      </c>
      <c r="E53" s="1673">
        <f t="shared" si="5"/>
        <v>128302</v>
      </c>
      <c r="F53" s="1673">
        <f t="shared" si="5"/>
        <v>7223</v>
      </c>
      <c r="G53" s="1673">
        <f t="shared" si="5"/>
        <v>0</v>
      </c>
      <c r="H53" s="1673">
        <f t="shared" si="5"/>
        <v>4507</v>
      </c>
      <c r="I53" s="1673">
        <f t="shared" si="5"/>
        <v>0</v>
      </c>
      <c r="J53" s="1673">
        <f t="shared" si="5"/>
        <v>0</v>
      </c>
      <c r="K53" s="1673">
        <f t="shared" si="5"/>
        <v>1010677</v>
      </c>
      <c r="L53" s="1673">
        <f t="shared" si="5"/>
        <v>955914</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1060</v>
      </c>
      <c r="B55" s="503">
        <v>2410</v>
      </c>
      <c r="C55" s="1585">
        <v>1440916</v>
      </c>
      <c r="D55" s="1585">
        <v>327811</v>
      </c>
      <c r="E55" s="1585"/>
      <c r="F55" s="1585"/>
      <c r="G55" s="1585"/>
      <c r="H55" s="1585">
        <v>1970</v>
      </c>
      <c r="I55" s="1573"/>
      <c r="J55" s="1573"/>
      <c r="K55" s="1677">
        <f>SUM(C55:J55)</f>
        <v>1770697</v>
      </c>
      <c r="L55" s="1585">
        <v>1508150</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1440916</v>
      </c>
      <c r="D57" s="1678">
        <f t="shared" ref="D57:K57" si="6">SUM(D55:D56)</f>
        <v>327811</v>
      </c>
      <c r="E57" s="1678">
        <f t="shared" si="6"/>
        <v>0</v>
      </c>
      <c r="F57" s="1678">
        <f t="shared" si="6"/>
        <v>0</v>
      </c>
      <c r="G57" s="1678">
        <f t="shared" si="6"/>
        <v>0</v>
      </c>
      <c r="H57" s="1678">
        <f t="shared" si="6"/>
        <v>1970</v>
      </c>
      <c r="I57" s="1678">
        <f t="shared" si="6"/>
        <v>0</v>
      </c>
      <c r="J57" s="1678">
        <f t="shared" si="6"/>
        <v>0</v>
      </c>
      <c r="K57" s="1678">
        <f t="shared" si="6"/>
        <v>1770697</v>
      </c>
      <c r="L57" s="1673">
        <f>SUM(L55:L56)</f>
        <v>1508150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1061</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3" t="s">
        <v>460</v>
      </c>
      <c r="B60" s="503">
        <v>2520</v>
      </c>
      <c r="C60" s="1572">
        <v>351707</v>
      </c>
      <c r="D60" s="1572">
        <v>61931</v>
      </c>
      <c r="E60" s="1572">
        <v>24354</v>
      </c>
      <c r="F60" s="1572">
        <v>6796</v>
      </c>
      <c r="G60" s="1572"/>
      <c r="H60" s="1572">
        <v>500</v>
      </c>
      <c r="I60" s="1573"/>
      <c r="J60" s="1573"/>
      <c r="K60" s="1677">
        <f t="shared" si="7"/>
        <v>445288</v>
      </c>
      <c r="L60" s="1572">
        <v>407400</v>
      </c>
      <c r="M60" s="501"/>
      <c r="N60" s="501"/>
    </row>
    <row r="61" spans="1:14" s="321" customFormat="1" x14ac:dyDescent="0.2">
      <c r="A61" s="1273" t="s">
        <v>195</v>
      </c>
      <c r="B61" s="503">
        <v>2540</v>
      </c>
      <c r="C61" s="1572">
        <v>7204</v>
      </c>
      <c r="D61" s="1572"/>
      <c r="E61" s="1572"/>
      <c r="F61" s="1572"/>
      <c r="G61" s="1572"/>
      <c r="H61" s="1572"/>
      <c r="I61" s="1573"/>
      <c r="J61" s="1573"/>
      <c r="K61" s="1677">
        <f t="shared" si="7"/>
        <v>7204</v>
      </c>
      <c r="L61" s="1572">
        <v>15500</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c r="D63" s="1572"/>
      <c r="E63" s="1572"/>
      <c r="F63" s="1572">
        <v>94123</v>
      </c>
      <c r="G63" s="1572"/>
      <c r="H63" s="1572"/>
      <c r="I63" s="1573"/>
      <c r="J63" s="1573"/>
      <c r="K63" s="1677">
        <f t="shared" si="7"/>
        <v>94123</v>
      </c>
      <c r="L63" s="1572">
        <v>130000</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358911</v>
      </c>
      <c r="D65" s="1673">
        <f t="shared" ref="D65:L65" si="8">SUM(D59:D64)</f>
        <v>61931</v>
      </c>
      <c r="E65" s="1673">
        <f t="shared" si="8"/>
        <v>24354</v>
      </c>
      <c r="F65" s="1673">
        <f t="shared" si="8"/>
        <v>100919</v>
      </c>
      <c r="G65" s="1673">
        <f t="shared" si="8"/>
        <v>0</v>
      </c>
      <c r="H65" s="1673">
        <f t="shared" si="8"/>
        <v>500</v>
      </c>
      <c r="I65" s="1673">
        <f t="shared" si="8"/>
        <v>0</v>
      </c>
      <c r="J65" s="1673">
        <f t="shared" si="8"/>
        <v>0</v>
      </c>
      <c r="K65" s="1673">
        <f t="shared" si="8"/>
        <v>546615</v>
      </c>
      <c r="L65" s="1673">
        <f t="shared" si="8"/>
        <v>552900</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1053</v>
      </c>
      <c r="B67" s="503">
        <v>2610</v>
      </c>
      <c r="C67" s="1572"/>
      <c r="D67" s="1572"/>
      <c r="E67" s="1572">
        <v>6000</v>
      </c>
      <c r="F67" s="1572">
        <v>1444</v>
      </c>
      <c r="G67" s="1572"/>
      <c r="H67" s="1572"/>
      <c r="I67" s="1573"/>
      <c r="J67" s="1573"/>
      <c r="K67" s="1677">
        <f>SUM(C67:J67)</f>
        <v>7444</v>
      </c>
      <c r="L67" s="1585">
        <v>13000</v>
      </c>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1054</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79" t="s">
        <v>37</v>
      </c>
      <c r="B72" s="1382" t="s">
        <v>36</v>
      </c>
      <c r="C72" s="1673">
        <f>SUM(C67:C71)</f>
        <v>0</v>
      </c>
      <c r="D72" s="1673">
        <f t="shared" ref="D72:K72" si="9">SUM(D67:D71)</f>
        <v>0</v>
      </c>
      <c r="E72" s="1673">
        <f t="shared" si="9"/>
        <v>6000</v>
      </c>
      <c r="F72" s="1673">
        <f t="shared" si="9"/>
        <v>1444</v>
      </c>
      <c r="G72" s="1673">
        <f t="shared" si="9"/>
        <v>0</v>
      </c>
      <c r="H72" s="1673">
        <f t="shared" si="9"/>
        <v>0</v>
      </c>
      <c r="I72" s="1673">
        <f t="shared" si="9"/>
        <v>0</v>
      </c>
      <c r="J72" s="1673">
        <f t="shared" si="9"/>
        <v>0</v>
      </c>
      <c r="K72" s="1673">
        <f t="shared" si="9"/>
        <v>7444</v>
      </c>
      <c r="L72" s="1673">
        <f>SUM(L67:L71)</f>
        <v>13000</v>
      </c>
      <c r="M72" s="501"/>
      <c r="N72" s="501"/>
    </row>
    <row r="73" spans="1:14" s="321" customFormat="1" ht="14.25" thickTop="1" thickBot="1" x14ac:dyDescent="0.25">
      <c r="A73" s="1279" t="s">
        <v>973</v>
      </c>
      <c r="B73" s="515" t="s">
        <v>570</v>
      </c>
      <c r="C73" s="1648"/>
      <c r="D73" s="1648"/>
      <c r="E73" s="1648"/>
      <c r="F73" s="1648"/>
      <c r="G73" s="1648"/>
      <c r="H73" s="1648"/>
      <c r="I73" s="1626"/>
      <c r="J73" s="1626"/>
      <c r="K73" s="1673">
        <f>SUM(C73:J73)</f>
        <v>0</v>
      </c>
      <c r="L73" s="1650">
        <v>1000</v>
      </c>
      <c r="M73" s="501"/>
      <c r="N73" s="501"/>
    </row>
    <row r="74" spans="1:14" ht="12.75" customHeight="1" thickTop="1" thickBot="1" x14ac:dyDescent="0.25">
      <c r="A74" s="1379" t="s">
        <v>806</v>
      </c>
      <c r="B74" s="1383">
        <v>2000</v>
      </c>
      <c r="C74" s="1680">
        <f>SUM(C42,C47,C53,C57,C65,C72,C73)</f>
        <v>7357244</v>
      </c>
      <c r="D74" s="1680">
        <f t="shared" ref="D74:K74" si="10">SUM(D42,D47,D53,D57,D65,D72,D73)</f>
        <v>893123</v>
      </c>
      <c r="E74" s="1680">
        <f t="shared" si="10"/>
        <v>1177160</v>
      </c>
      <c r="F74" s="1680">
        <f t="shared" si="10"/>
        <v>263317</v>
      </c>
      <c r="G74" s="1680">
        <f t="shared" si="10"/>
        <v>2248683</v>
      </c>
      <c r="H74" s="1680">
        <f t="shared" si="10"/>
        <v>7665</v>
      </c>
      <c r="I74" s="1680">
        <f t="shared" si="10"/>
        <v>0</v>
      </c>
      <c r="J74" s="1680">
        <f t="shared" si="10"/>
        <v>0</v>
      </c>
      <c r="K74" s="1680">
        <f t="shared" si="10"/>
        <v>11947192</v>
      </c>
      <c r="L74" s="1680">
        <f>SUM(L42,L47,L53,L57,L65,L72,L73)</f>
        <v>11708454</v>
      </c>
    </row>
    <row r="75" spans="1:14" s="254" customFormat="1" ht="15.75" customHeight="1" thickTop="1" thickBot="1" x14ac:dyDescent="0.25">
      <c r="A75" s="1347" t="s">
        <v>47</v>
      </c>
      <c r="B75" s="1348" t="s">
        <v>571</v>
      </c>
      <c r="C75" s="1648">
        <v>74084</v>
      </c>
      <c r="D75" s="1648">
        <v>6683</v>
      </c>
      <c r="E75" s="1648">
        <v>21874</v>
      </c>
      <c r="F75" s="1648">
        <v>8696</v>
      </c>
      <c r="G75" s="1648"/>
      <c r="H75" s="1648"/>
      <c r="I75" s="1626"/>
      <c r="J75" s="1626"/>
      <c r="K75" s="1673">
        <f>SUM(C75:J75)</f>
        <v>111337</v>
      </c>
      <c r="L75" s="1650">
        <v>143465</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row>
    <row r="79" spans="1:14" x14ac:dyDescent="0.2">
      <c r="A79" s="1273" t="s">
        <v>301</v>
      </c>
      <c r="B79" s="503">
        <v>4120</v>
      </c>
      <c r="C79" s="1672"/>
      <c r="D79" s="1672"/>
      <c r="E79" s="1572">
        <v>1353</v>
      </c>
      <c r="F79" s="1672"/>
      <c r="G79" s="1672"/>
      <c r="H79" s="1572">
        <v>684488</v>
      </c>
      <c r="I79" s="1581"/>
      <c r="J79" s="1581"/>
      <c r="K79" s="1671">
        <f t="shared" si="11"/>
        <v>685841</v>
      </c>
      <c r="L79" s="1572">
        <v>1065000</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1471</v>
      </c>
      <c r="B84" s="1384">
        <v>4100</v>
      </c>
      <c r="C84" s="1672"/>
      <c r="D84" s="1672"/>
      <c r="E84" s="1673">
        <f>SUM(E78:E83)</f>
        <v>1353</v>
      </c>
      <c r="F84" s="1672"/>
      <c r="G84" s="1672"/>
      <c r="H84" s="1673">
        <f>SUM(H78:H83)</f>
        <v>684488</v>
      </c>
      <c r="I84" s="1581"/>
      <c r="J84" s="1581"/>
      <c r="K84" s="1673">
        <f>SUM(K78:K83)</f>
        <v>685841</v>
      </c>
      <c r="L84" s="1673">
        <f>SUM(L78:L83)</f>
        <v>1065000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c r="I86" s="1581"/>
      <c r="J86" s="1581"/>
      <c r="K86" s="1680">
        <f t="shared" ref="K86:K98" si="12">H86</f>
        <v>0</v>
      </c>
      <c r="L86" s="1625"/>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1546</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1474</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1472</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1475</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1473</v>
      </c>
      <c r="B102" s="1384">
        <v>4000</v>
      </c>
      <c r="C102" s="1672"/>
      <c r="D102" s="1672"/>
      <c r="E102" s="1680">
        <f>SUM(E84,E92,E100,E101)</f>
        <v>1353</v>
      </c>
      <c r="F102" s="1672"/>
      <c r="G102" s="1672"/>
      <c r="H102" s="1680">
        <f>SUM(H84,H92,H100,H101)</f>
        <v>684488</v>
      </c>
      <c r="I102" s="1581"/>
      <c r="J102" s="1581"/>
      <c r="K102" s="1680">
        <f>SUM(K84,K92,K100,K101)</f>
        <v>685841</v>
      </c>
      <c r="L102" s="1680">
        <f>SUM(L84,L92,L100,L101)</f>
        <v>1065000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1162</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1095</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28950609</v>
      </c>
      <c r="D114" s="1673">
        <f t="shared" ref="D114:K114" si="13">SUM(D33,D74,D75,D102,D112,D113)</f>
        <v>4655707</v>
      </c>
      <c r="E114" s="1673">
        <f t="shared" si="13"/>
        <v>1825630</v>
      </c>
      <c r="F114" s="1673">
        <f t="shared" si="13"/>
        <v>1281804</v>
      </c>
      <c r="G114" s="1673">
        <f t="shared" si="13"/>
        <v>2291205</v>
      </c>
      <c r="H114" s="1673">
        <f>SUM(H33,H74,H75,H102,H112,H113)</f>
        <v>696253</v>
      </c>
      <c r="I114" s="1673">
        <f t="shared" si="13"/>
        <v>0</v>
      </c>
      <c r="J114" s="1673">
        <f t="shared" si="13"/>
        <v>0</v>
      </c>
      <c r="K114" s="1673">
        <f t="shared" si="13"/>
        <v>39701208</v>
      </c>
      <c r="L114" s="1673">
        <f>SUM(L33,L74,L75,L102,L112,L113)</f>
        <v>43370180</v>
      </c>
    </row>
    <row r="115" spans="1:14" ht="13.5" thickTop="1" x14ac:dyDescent="0.2">
      <c r="A115" s="2491" t="s">
        <v>989</v>
      </c>
      <c r="B115" s="2492"/>
      <c r="C115" s="1674"/>
      <c r="D115" s="1674"/>
      <c r="E115" s="1674"/>
      <c r="F115" s="1674"/>
      <c r="G115" s="1674"/>
      <c r="H115" s="1674"/>
      <c r="I115" s="1674"/>
      <c r="J115" s="1674"/>
      <c r="K115" s="1688">
        <f>'Revenues 9-14'!C268-'Expenditures 15-22'!K114</f>
        <v>1906215</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496" t="s">
        <v>293</v>
      </c>
      <c r="B117" s="2497"/>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1965</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1061</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v>1233328</v>
      </c>
      <c r="D124" s="1572">
        <v>200953</v>
      </c>
      <c r="E124" s="1572">
        <v>767330</v>
      </c>
      <c r="F124" s="1572">
        <v>515760</v>
      </c>
      <c r="G124" s="1572">
        <v>7501395</v>
      </c>
      <c r="H124" s="1572">
        <v>210</v>
      </c>
      <c r="I124" s="1573"/>
      <c r="J124" s="1573"/>
      <c r="K124" s="1673">
        <f>SUM(C124:J124)</f>
        <v>10218976</v>
      </c>
      <c r="L124" s="1572">
        <v>7965746</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1233328</v>
      </c>
      <c r="D127" s="1673">
        <f t="shared" ref="D127:L127" si="14">SUM(D122:D126)</f>
        <v>200953</v>
      </c>
      <c r="E127" s="1673">
        <f t="shared" si="14"/>
        <v>767330</v>
      </c>
      <c r="F127" s="1673">
        <f t="shared" si="14"/>
        <v>515760</v>
      </c>
      <c r="G127" s="1673">
        <f t="shared" si="14"/>
        <v>7501395</v>
      </c>
      <c r="H127" s="1673">
        <f t="shared" si="14"/>
        <v>210</v>
      </c>
      <c r="I127" s="1673">
        <f t="shared" si="14"/>
        <v>0</v>
      </c>
      <c r="J127" s="1673">
        <f t="shared" si="14"/>
        <v>0</v>
      </c>
      <c r="K127" s="1673">
        <f t="shared" si="14"/>
        <v>10218976</v>
      </c>
      <c r="L127" s="1673">
        <f t="shared" si="14"/>
        <v>7965746</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1233328</v>
      </c>
      <c r="D129" s="1680">
        <f t="shared" ref="D129:L129" si="15">SUM(D120,D127,D128)</f>
        <v>200953</v>
      </c>
      <c r="E129" s="1680">
        <f t="shared" si="15"/>
        <v>767330</v>
      </c>
      <c r="F129" s="1680">
        <f t="shared" si="15"/>
        <v>515760</v>
      </c>
      <c r="G129" s="1680">
        <f t="shared" si="15"/>
        <v>7501395</v>
      </c>
      <c r="H129" s="1680">
        <f t="shared" si="15"/>
        <v>210</v>
      </c>
      <c r="I129" s="1680">
        <f t="shared" si="15"/>
        <v>0</v>
      </c>
      <c r="J129" s="1680">
        <f t="shared" si="15"/>
        <v>0</v>
      </c>
      <c r="K129" s="1680">
        <f t="shared" si="15"/>
        <v>10218976</v>
      </c>
      <c r="L129" s="1680">
        <f t="shared" si="15"/>
        <v>7965746</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1818</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1473</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1162</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508" t="s">
        <v>616</v>
      </c>
      <c r="B151" s="2488"/>
      <c r="C151" s="1673">
        <f>SUM(C129,C130,C139,C149,C150)</f>
        <v>1233328</v>
      </c>
      <c r="D151" s="1673">
        <f t="shared" ref="D151:K151" si="16">SUM(D129,D130,D139,D149,D150)</f>
        <v>200953</v>
      </c>
      <c r="E151" s="1673">
        <f t="shared" si="16"/>
        <v>767330</v>
      </c>
      <c r="F151" s="1673">
        <f t="shared" si="16"/>
        <v>515760</v>
      </c>
      <c r="G151" s="1673">
        <f t="shared" si="16"/>
        <v>7501395</v>
      </c>
      <c r="H151" s="1673">
        <f t="shared" si="16"/>
        <v>210</v>
      </c>
      <c r="I151" s="1673">
        <f t="shared" si="16"/>
        <v>0</v>
      </c>
      <c r="J151" s="1673">
        <f t="shared" si="16"/>
        <v>0</v>
      </c>
      <c r="K151" s="1673">
        <f t="shared" si="16"/>
        <v>10218976</v>
      </c>
      <c r="L151" s="1673">
        <f>SUM(L129,L130,L139,L149,L150)</f>
        <v>7965746</v>
      </c>
    </row>
    <row r="152" spans="1:14" ht="12.75" customHeight="1" thickTop="1" x14ac:dyDescent="0.2">
      <c r="A152" s="2511" t="s">
        <v>1170</v>
      </c>
      <c r="B152" s="2512"/>
      <c r="C152" s="1674"/>
      <c r="D152" s="1674"/>
      <c r="E152" s="1674"/>
      <c r="F152" s="1674"/>
      <c r="G152" s="1674"/>
      <c r="H152" s="1674"/>
      <c r="I152" s="1674"/>
      <c r="J152" s="1672"/>
      <c r="K152" s="1688">
        <f>'Revenues 9-14'!D268-'Expenditures 15-22'!K151</f>
        <v>-3986984</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496" t="s">
        <v>617</v>
      </c>
      <c r="B154" s="2498"/>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1819</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1818</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1820</v>
      </c>
      <c r="C158" s="1672"/>
      <c r="D158" s="1672"/>
      <c r="E158" s="1672"/>
      <c r="F158" s="1672"/>
      <c r="G158" s="1672"/>
      <c r="H158" s="1573"/>
      <c r="I158" s="1672"/>
      <c r="J158" s="1672"/>
      <c r="K158" s="1671">
        <f>H158</f>
        <v>0</v>
      </c>
      <c r="L158" s="1573"/>
      <c r="M158" s="505"/>
      <c r="N158" s="505"/>
    </row>
    <row r="159" spans="1:14" s="506" customFormat="1" ht="12" x14ac:dyDescent="0.2">
      <c r="A159" s="1461" t="s">
        <v>1821</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1822</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1162</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c r="I169" s="1672"/>
      <c r="J169" s="1672"/>
      <c r="K169" s="1671">
        <f>SUM(C169:H169)</f>
        <v>0</v>
      </c>
      <c r="L169" s="1694"/>
    </row>
    <row r="170" spans="1:14" ht="33.75" customHeight="1" x14ac:dyDescent="0.2">
      <c r="A170" s="543" t="s">
        <v>1654</v>
      </c>
      <c r="B170" s="545" t="s">
        <v>31</v>
      </c>
      <c r="C170" s="1672"/>
      <c r="D170" s="1672"/>
      <c r="E170" s="1672"/>
      <c r="F170" s="1672"/>
      <c r="G170" s="1672"/>
      <c r="H170" s="1645"/>
      <c r="I170" s="1672"/>
      <c r="J170" s="1672"/>
      <c r="K170" s="1671">
        <f>SUM(C170:J170)</f>
        <v>0</v>
      </c>
      <c r="L170" s="1645"/>
    </row>
    <row r="171" spans="1:14" ht="15.75" customHeight="1" x14ac:dyDescent="0.2">
      <c r="A171" s="507" t="s">
        <v>761</v>
      </c>
      <c r="B171" s="546" t="s">
        <v>84</v>
      </c>
      <c r="C171" s="1672"/>
      <c r="D171" s="1672"/>
      <c r="E171" s="1572"/>
      <c r="F171" s="1672"/>
      <c r="G171" s="1672"/>
      <c r="H171" s="1645"/>
      <c r="I171" s="1581"/>
      <c r="J171" s="1672"/>
      <c r="K171" s="1671">
        <f>SUM(C171:J171)</f>
        <v>0</v>
      </c>
      <c r="L171" s="1645"/>
    </row>
    <row r="172" spans="1:14" ht="12.75" customHeight="1" thickBot="1" x14ac:dyDescent="0.25">
      <c r="A172" s="1379" t="s">
        <v>633</v>
      </c>
      <c r="B172" s="1380" t="s">
        <v>489</v>
      </c>
      <c r="C172" s="1672"/>
      <c r="D172" s="1672"/>
      <c r="E172" s="1680">
        <f>SUM(E168,E169,E170,E171)</f>
        <v>0</v>
      </c>
      <c r="F172" s="1672"/>
      <c r="G172" s="1672"/>
      <c r="H172" s="1680">
        <f>SUM(H168,H169,H170,H171)</f>
        <v>0</v>
      </c>
      <c r="I172" s="1683"/>
      <c r="J172" s="1672"/>
      <c r="K172" s="1680">
        <f>SUM(K168,K169,K170,K171)</f>
        <v>0</v>
      </c>
      <c r="L172" s="1680">
        <f>SUM(L168,L169,L170,L171)</f>
        <v>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0</v>
      </c>
      <c r="I174" s="1683"/>
      <c r="J174" s="1672"/>
      <c r="K174" s="1680">
        <f>SUM(K160,K172,K173)</f>
        <v>0</v>
      </c>
      <c r="L174" s="1680">
        <f>SUM(L160,L172,L173)</f>
        <v>0</v>
      </c>
    </row>
    <row r="175" spans="1:14" ht="13.5" thickTop="1" x14ac:dyDescent="0.2">
      <c r="A175" s="2491" t="s">
        <v>989</v>
      </c>
      <c r="B175" s="2492"/>
      <c r="C175" s="1672"/>
      <c r="D175" s="1672"/>
      <c r="E175" s="1672"/>
      <c r="F175" s="1672"/>
      <c r="G175" s="1672"/>
      <c r="H175" s="1674"/>
      <c r="I175" s="1672"/>
      <c r="J175" s="1672"/>
      <c r="K175" s="1688">
        <f>'Revenues 9-14'!E268-'Expenditures 15-22'!K174</f>
        <v>0</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1965</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605565</v>
      </c>
      <c r="D182" s="1572">
        <v>123839</v>
      </c>
      <c r="E182" s="1572">
        <v>530423</v>
      </c>
      <c r="F182" s="1572">
        <v>106380</v>
      </c>
      <c r="G182" s="1572">
        <v>279540</v>
      </c>
      <c r="H182" s="1572">
        <v>65</v>
      </c>
      <c r="I182" s="1573"/>
      <c r="J182" s="1573"/>
      <c r="K182" s="1671">
        <f>SUM(C182:J182)</f>
        <v>1645812</v>
      </c>
      <c r="L182" s="1572">
        <v>1829800</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605565</v>
      </c>
      <c r="D184" s="1680">
        <f t="shared" ref="D184:J184" si="17">SUM(D180,D182,D183)</f>
        <v>123839</v>
      </c>
      <c r="E184" s="1680">
        <f t="shared" si="17"/>
        <v>530423</v>
      </c>
      <c r="F184" s="1680">
        <f t="shared" si="17"/>
        <v>106380</v>
      </c>
      <c r="G184" s="1680">
        <f t="shared" si="17"/>
        <v>279540</v>
      </c>
      <c r="H184" s="1680">
        <f t="shared" si="17"/>
        <v>65</v>
      </c>
      <c r="I184" s="1680">
        <f t="shared" si="17"/>
        <v>0</v>
      </c>
      <c r="J184" s="1680">
        <f t="shared" si="17"/>
        <v>0</v>
      </c>
      <c r="K184" s="1680">
        <f>SUM(K180,K182,K183)</f>
        <v>1645812</v>
      </c>
      <c r="L184" s="1680">
        <f>SUM(L180, L182:L183)</f>
        <v>1829800</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1132</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1473</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1162</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1655</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605565</v>
      </c>
      <c r="D210" s="1673">
        <f>SUM(D184,D185)</f>
        <v>123839</v>
      </c>
      <c r="E210" s="1673">
        <f>SUM(E184,E185,E196)</f>
        <v>530423</v>
      </c>
      <c r="F210" s="1673">
        <f>SUM(F184,F185)</f>
        <v>106380</v>
      </c>
      <c r="G210" s="1673">
        <f>SUM(G184,G185)</f>
        <v>279540</v>
      </c>
      <c r="H210" s="1673">
        <f>SUM(H184,H185,H196,H208,H209)</f>
        <v>65</v>
      </c>
      <c r="I210" s="1673">
        <f>SUM(I184,I185)</f>
        <v>0</v>
      </c>
      <c r="J210" s="1673">
        <f>SUM(J184,J185)</f>
        <v>0</v>
      </c>
      <c r="K210" s="1671">
        <f>SUM(K184,K185,K196,K208,K209)</f>
        <v>1645812</v>
      </c>
      <c r="L210" s="1673">
        <f>SUM(L184,L185,L196,L208,L209)</f>
        <v>1829800</v>
      </c>
    </row>
    <row r="211" spans="1:14" ht="13.5" thickTop="1" x14ac:dyDescent="0.2">
      <c r="A211" s="2491" t="s">
        <v>989</v>
      </c>
      <c r="B211" s="2492"/>
      <c r="C211" s="1674"/>
      <c r="D211" s="1674"/>
      <c r="E211" s="1674"/>
      <c r="F211" s="1674"/>
      <c r="G211" s="1674"/>
      <c r="H211" s="1674"/>
      <c r="I211" s="1672"/>
      <c r="J211" s="1672"/>
      <c r="K211" s="1688">
        <f>'Revenues 9-14'!F268-'Expenditures 15-22'!K210</f>
        <v>1010416</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513" t="s">
        <v>959</v>
      </c>
      <c r="B213" s="2514"/>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468144</v>
      </c>
      <c r="E215" s="1672"/>
      <c r="F215" s="1672"/>
      <c r="G215" s="1672"/>
      <c r="H215" s="1672"/>
      <c r="I215" s="1672"/>
      <c r="J215" s="1672"/>
      <c r="K215" s="1671">
        <f>D215</f>
        <v>468144</v>
      </c>
      <c r="L215" s="1572">
        <v>967000</v>
      </c>
    </row>
    <row r="216" spans="1:14" x14ac:dyDescent="0.2">
      <c r="A216" s="1273" t="s">
        <v>162</v>
      </c>
      <c r="B216" s="503" t="s">
        <v>961</v>
      </c>
      <c r="C216" s="1672"/>
      <c r="D216" s="1573"/>
      <c r="E216" s="1672"/>
      <c r="F216" s="1672"/>
      <c r="G216" s="1672"/>
      <c r="H216" s="1672"/>
      <c r="I216" s="1672"/>
      <c r="J216" s="1672"/>
      <c r="K216" s="1671">
        <f t="shared" ref="K216:K228" si="19">D216</f>
        <v>0</v>
      </c>
      <c r="L216" s="1572"/>
    </row>
    <row r="217" spans="1:14" x14ac:dyDescent="0.2">
      <c r="A217" s="1273" t="s">
        <v>163</v>
      </c>
      <c r="B217" s="503">
        <v>1200</v>
      </c>
      <c r="C217" s="1672"/>
      <c r="D217" s="1572">
        <v>231681</v>
      </c>
      <c r="E217" s="1672"/>
      <c r="F217" s="1672"/>
      <c r="G217" s="1672"/>
      <c r="H217" s="1672"/>
      <c r="I217" s="1672"/>
      <c r="J217" s="1672"/>
      <c r="K217" s="1671">
        <f t="shared" si="19"/>
        <v>231681</v>
      </c>
      <c r="L217" s="1572">
        <v>120000</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7328</v>
      </c>
      <c r="E219" s="1672"/>
      <c r="F219" s="1672"/>
      <c r="G219" s="1672"/>
      <c r="H219" s="1672"/>
      <c r="I219" s="1672"/>
      <c r="J219" s="1672"/>
      <c r="K219" s="1671">
        <f t="shared" si="19"/>
        <v>7328</v>
      </c>
      <c r="L219" s="1572">
        <v>0</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7357</v>
      </c>
      <c r="E223" s="1672"/>
      <c r="F223" s="1672"/>
      <c r="G223" s="1672"/>
      <c r="H223" s="1672"/>
      <c r="I223" s="1672"/>
      <c r="J223" s="1672"/>
      <c r="K223" s="1671">
        <f t="shared" si="19"/>
        <v>7357</v>
      </c>
      <c r="L223" s="1572">
        <v>300</v>
      </c>
    </row>
    <row r="224" spans="1:14" x14ac:dyDescent="0.2">
      <c r="A224" s="1273" t="s">
        <v>958</v>
      </c>
      <c r="B224" s="503">
        <v>1600</v>
      </c>
      <c r="C224" s="1672"/>
      <c r="D224" s="1572">
        <v>10478</v>
      </c>
      <c r="E224" s="1672"/>
      <c r="F224" s="1672"/>
      <c r="G224" s="1672"/>
      <c r="H224" s="1672"/>
      <c r="I224" s="1672"/>
      <c r="J224" s="1672"/>
      <c r="K224" s="1671">
        <f t="shared" si="19"/>
        <v>10478</v>
      </c>
      <c r="L224" s="1572">
        <v>6300</v>
      </c>
    </row>
    <row r="225" spans="1:12" x14ac:dyDescent="0.2">
      <c r="A225" s="1273" t="s">
        <v>980</v>
      </c>
      <c r="B225" s="503">
        <v>1650</v>
      </c>
      <c r="C225" s="1672"/>
      <c r="D225" s="1572">
        <v>2691</v>
      </c>
      <c r="E225" s="1672"/>
      <c r="F225" s="1672"/>
      <c r="G225" s="1672"/>
      <c r="H225" s="1672"/>
      <c r="I225" s="1672"/>
      <c r="J225" s="1672"/>
      <c r="K225" s="1671">
        <f t="shared" si="19"/>
        <v>2691</v>
      </c>
      <c r="L225" s="1572">
        <v>0</v>
      </c>
    </row>
    <row r="226" spans="1:12" x14ac:dyDescent="0.2">
      <c r="A226" s="1273" t="s">
        <v>719</v>
      </c>
      <c r="B226" s="503" t="s">
        <v>161</v>
      </c>
      <c r="C226" s="1672"/>
      <c r="D226" s="1573"/>
      <c r="E226" s="1672"/>
      <c r="F226" s="1672"/>
      <c r="G226" s="1672"/>
      <c r="H226" s="1672"/>
      <c r="I226" s="1672"/>
      <c r="J226" s="1672"/>
      <c r="K226" s="1671">
        <f t="shared" si="19"/>
        <v>0</v>
      </c>
      <c r="L226" s="1572">
        <v>0</v>
      </c>
    </row>
    <row r="227" spans="1:12" x14ac:dyDescent="0.2">
      <c r="A227" s="1273" t="s">
        <v>1080</v>
      </c>
      <c r="B227" s="503">
        <v>1800</v>
      </c>
      <c r="C227" s="1672"/>
      <c r="D227" s="1572">
        <v>5462</v>
      </c>
      <c r="E227" s="1672"/>
      <c r="F227" s="1672"/>
      <c r="G227" s="1672"/>
      <c r="H227" s="1672"/>
      <c r="I227" s="1672"/>
      <c r="J227" s="1672"/>
      <c r="K227" s="1671">
        <f t="shared" si="19"/>
        <v>5462</v>
      </c>
      <c r="L227" s="1572">
        <v>1100</v>
      </c>
    </row>
    <row r="228" spans="1:12" x14ac:dyDescent="0.2">
      <c r="A228" s="1273" t="s">
        <v>1081</v>
      </c>
      <c r="B228" s="503">
        <v>1900</v>
      </c>
      <c r="C228" s="1672"/>
      <c r="D228" s="1572">
        <v>12661</v>
      </c>
      <c r="E228" s="1672"/>
      <c r="F228" s="1672"/>
      <c r="G228" s="1672"/>
      <c r="H228" s="1672"/>
      <c r="I228" s="1672"/>
      <c r="J228" s="1672"/>
      <c r="K228" s="1671">
        <f t="shared" si="19"/>
        <v>12661</v>
      </c>
      <c r="L228" s="1572">
        <v>5700</v>
      </c>
    </row>
    <row r="229" spans="1:12" ht="12.75" customHeight="1" thickBot="1" x14ac:dyDescent="0.25">
      <c r="A229" s="1379" t="s">
        <v>710</v>
      </c>
      <c r="B229" s="1382" t="s">
        <v>566</v>
      </c>
      <c r="C229" s="1672"/>
      <c r="D229" s="1673">
        <f>SUM(D215:D228)</f>
        <v>745802</v>
      </c>
      <c r="E229" s="1672"/>
      <c r="F229" s="1672"/>
      <c r="G229" s="1672"/>
      <c r="H229" s="1672"/>
      <c r="I229" s="1672"/>
      <c r="J229" s="1672"/>
      <c r="K229" s="1673">
        <f>SUM(K215:K228)</f>
        <v>745802</v>
      </c>
      <c r="L229" s="1673">
        <f>SUM(L215:L228)</f>
        <v>1100400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1082</v>
      </c>
      <c r="B232" s="503">
        <v>2110</v>
      </c>
      <c r="C232" s="1672"/>
      <c r="D232" s="1572">
        <v>10235</v>
      </c>
      <c r="E232" s="1672"/>
      <c r="F232" s="1672"/>
      <c r="G232" s="1672"/>
      <c r="H232" s="1672"/>
      <c r="I232" s="1672"/>
      <c r="J232" s="1672"/>
      <c r="K232" s="1671">
        <f t="shared" ref="K232:K237" si="20">D232</f>
        <v>10235</v>
      </c>
      <c r="L232" s="1572">
        <v>0</v>
      </c>
    </row>
    <row r="233" spans="1:12" x14ac:dyDescent="0.2">
      <c r="A233" s="1273" t="s">
        <v>1083</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v>41960</v>
      </c>
      <c r="E234" s="1672"/>
      <c r="F234" s="1672"/>
      <c r="G234" s="1672"/>
      <c r="H234" s="1672"/>
      <c r="I234" s="1672"/>
      <c r="J234" s="1672"/>
      <c r="K234" s="1671">
        <f t="shared" si="20"/>
        <v>41960</v>
      </c>
      <c r="L234" s="1572">
        <v>27000</v>
      </c>
    </row>
    <row r="235" spans="1:12" x14ac:dyDescent="0.2">
      <c r="A235" s="1273" t="s">
        <v>197</v>
      </c>
      <c r="B235" s="503">
        <v>2140</v>
      </c>
      <c r="C235" s="1672"/>
      <c r="D235" s="1572">
        <v>5477</v>
      </c>
      <c r="E235" s="1672"/>
      <c r="F235" s="1672"/>
      <c r="G235" s="1672"/>
      <c r="H235" s="1672"/>
      <c r="I235" s="1672"/>
      <c r="J235" s="1672"/>
      <c r="K235" s="1671">
        <f t="shared" si="20"/>
        <v>5477</v>
      </c>
      <c r="L235" s="1572">
        <v>200</v>
      </c>
    </row>
    <row r="236" spans="1:12" x14ac:dyDescent="0.2">
      <c r="A236" s="1273" t="s">
        <v>198</v>
      </c>
      <c r="B236" s="503">
        <v>2150</v>
      </c>
      <c r="C236" s="1672"/>
      <c r="D236" s="1572">
        <v>16940</v>
      </c>
      <c r="E236" s="1672"/>
      <c r="F236" s="1672"/>
      <c r="G236" s="1672"/>
      <c r="H236" s="1672"/>
      <c r="I236" s="1672"/>
      <c r="J236" s="1672"/>
      <c r="K236" s="1671">
        <f t="shared" si="20"/>
        <v>16940</v>
      </c>
      <c r="L236" s="1572">
        <v>0</v>
      </c>
    </row>
    <row r="237" spans="1:12" x14ac:dyDescent="0.2">
      <c r="A237" s="1273" t="s">
        <v>164</v>
      </c>
      <c r="B237" s="503">
        <v>2190</v>
      </c>
      <c r="C237" s="1672"/>
      <c r="D237" s="1572">
        <v>53028</v>
      </c>
      <c r="E237" s="1672"/>
      <c r="F237" s="1672"/>
      <c r="G237" s="1672"/>
      <c r="H237" s="1672"/>
      <c r="I237" s="1672"/>
      <c r="J237" s="1672"/>
      <c r="K237" s="1671">
        <f t="shared" si="20"/>
        <v>53028</v>
      </c>
      <c r="L237" s="1572">
        <v>50000</v>
      </c>
    </row>
    <row r="238" spans="1:12" ht="12.75" customHeight="1" thickBot="1" x14ac:dyDescent="0.25">
      <c r="A238" s="1379" t="s">
        <v>556</v>
      </c>
      <c r="B238" s="1382" t="s">
        <v>711</v>
      </c>
      <c r="C238" s="1672"/>
      <c r="D238" s="1673">
        <f>SUM(D232:D237)</f>
        <v>127640</v>
      </c>
      <c r="E238" s="1672"/>
      <c r="F238" s="1672"/>
      <c r="G238" s="1672"/>
      <c r="H238" s="1672"/>
      <c r="I238" s="1672"/>
      <c r="J238" s="1672"/>
      <c r="K238" s="1673">
        <f>SUM(K232:K237)</f>
        <v>127640</v>
      </c>
      <c r="L238" s="1673">
        <f>SUM(L232:L237)</f>
        <v>77200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15679</v>
      </c>
      <c r="E240" s="1672"/>
      <c r="F240" s="1672"/>
      <c r="G240" s="1672"/>
      <c r="H240" s="1672"/>
      <c r="I240" s="1672"/>
      <c r="J240" s="1672"/>
      <c r="K240" s="1677">
        <f>D240</f>
        <v>15679</v>
      </c>
      <c r="L240" s="1585">
        <v>3200</v>
      </c>
    </row>
    <row r="241" spans="1:12" x14ac:dyDescent="0.2">
      <c r="A241" s="1273" t="s">
        <v>810</v>
      </c>
      <c r="B241" s="503">
        <v>2220</v>
      </c>
      <c r="C241" s="1672"/>
      <c r="D241" s="1572">
        <v>133712</v>
      </c>
      <c r="E241" s="1672"/>
      <c r="F241" s="1672"/>
      <c r="G241" s="1672"/>
      <c r="H241" s="1672"/>
      <c r="I241" s="1672"/>
      <c r="J241" s="1672"/>
      <c r="K241" s="1677">
        <f>D241</f>
        <v>133712</v>
      </c>
      <c r="L241" s="1572">
        <v>70000</v>
      </c>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149391</v>
      </c>
      <c r="E243" s="1672"/>
      <c r="F243" s="1672"/>
      <c r="G243" s="1672"/>
      <c r="H243" s="1672"/>
      <c r="I243" s="1672"/>
      <c r="J243" s="1672"/>
      <c r="K243" s="1673">
        <f>SUM(K240:K242)</f>
        <v>149391</v>
      </c>
      <c r="L243" s="1673">
        <f>SUM(L240:L242)</f>
        <v>73200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c r="E245" s="1672"/>
      <c r="F245" s="1672"/>
      <c r="G245" s="1672"/>
      <c r="H245" s="1672"/>
      <c r="I245" s="1672"/>
      <c r="J245" s="1672"/>
      <c r="K245" s="1677">
        <f>D245</f>
        <v>0</v>
      </c>
      <c r="L245" s="1585"/>
    </row>
    <row r="246" spans="1:12" x14ac:dyDescent="0.2">
      <c r="A246" s="1273" t="s">
        <v>813</v>
      </c>
      <c r="B246" s="503">
        <v>2320</v>
      </c>
      <c r="C246" s="1672"/>
      <c r="D246" s="1572">
        <v>31319</v>
      </c>
      <c r="E246" s="1672"/>
      <c r="F246" s="1672"/>
      <c r="G246" s="1672"/>
      <c r="H246" s="1672"/>
      <c r="I246" s="1672"/>
      <c r="J246" s="1672"/>
      <c r="K246" s="1677">
        <f t="shared" ref="K246:K256" si="21">D246</f>
        <v>31319</v>
      </c>
      <c r="L246" s="1572">
        <v>13100</v>
      </c>
    </row>
    <row r="247" spans="1:12" x14ac:dyDescent="0.2">
      <c r="A247" s="1273" t="s">
        <v>814</v>
      </c>
      <c r="B247" s="503">
        <v>2330</v>
      </c>
      <c r="C247" s="1672"/>
      <c r="D247" s="1572">
        <v>31250</v>
      </c>
      <c r="E247" s="1672"/>
      <c r="F247" s="1672"/>
      <c r="G247" s="1672"/>
      <c r="H247" s="1672"/>
      <c r="I247" s="1672"/>
      <c r="J247" s="1672"/>
      <c r="K247" s="1677">
        <f t="shared" si="21"/>
        <v>31250</v>
      </c>
      <c r="L247" s="1572">
        <v>15000</v>
      </c>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1784</v>
      </c>
      <c r="B249" s="557" t="s">
        <v>280</v>
      </c>
      <c r="C249" s="1672"/>
      <c r="D249" s="1578"/>
      <c r="E249" s="1672"/>
      <c r="F249" s="1672"/>
      <c r="G249" s="1672"/>
      <c r="H249" s="1672"/>
      <c r="I249" s="1672"/>
      <c r="J249" s="1672"/>
      <c r="K249" s="1677">
        <f t="shared" si="21"/>
        <v>0</v>
      </c>
      <c r="L249" s="1572"/>
    </row>
    <row r="250" spans="1:12" x14ac:dyDescent="0.2">
      <c r="A250" s="1274" t="s">
        <v>1785</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62569</v>
      </c>
      <c r="E257" s="1672"/>
      <c r="F257" s="1672"/>
      <c r="G257" s="1672"/>
      <c r="H257" s="1672"/>
      <c r="I257" s="1672"/>
      <c r="J257" s="1672"/>
      <c r="K257" s="1673">
        <f>SUM(K245:K256)</f>
        <v>62569</v>
      </c>
      <c r="L257" s="1673">
        <f>SUM(L245:L256)</f>
        <v>28100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1060</v>
      </c>
      <c r="B259" s="559">
        <v>2410</v>
      </c>
      <c r="C259" s="1672"/>
      <c r="D259" s="1585">
        <v>106642</v>
      </c>
      <c r="E259" s="1672"/>
      <c r="F259" s="1672"/>
      <c r="G259" s="1672"/>
      <c r="H259" s="1672"/>
      <c r="I259" s="1672"/>
      <c r="J259" s="1672"/>
      <c r="K259" s="1677">
        <f>D259</f>
        <v>106642</v>
      </c>
      <c r="L259" s="1585">
        <v>46000</v>
      </c>
    </row>
    <row r="260" spans="1:14" s="493" customFormat="1" x14ac:dyDescent="0.2">
      <c r="A260" s="1291" t="s">
        <v>1783</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106642</v>
      </c>
      <c r="E261" s="1672"/>
      <c r="F261" s="1672"/>
      <c r="G261" s="1672"/>
      <c r="H261" s="1672"/>
      <c r="I261" s="1672"/>
      <c r="J261" s="1672"/>
      <c r="K261" s="1673">
        <f>SUM(K259:K260)</f>
        <v>106642</v>
      </c>
      <c r="L261" s="1673">
        <f>SUM(L259:L260)</f>
        <v>46000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1061</v>
      </c>
      <c r="B263" s="559">
        <v>2510</v>
      </c>
      <c r="C263" s="1672"/>
      <c r="D263" s="1572"/>
      <c r="E263" s="1672"/>
      <c r="F263" s="1672"/>
      <c r="G263" s="1672"/>
      <c r="H263" s="1672"/>
      <c r="I263" s="1672"/>
      <c r="J263" s="1672"/>
      <c r="K263" s="1677">
        <f>D263</f>
        <v>0</v>
      </c>
      <c r="L263" s="1585"/>
    </row>
    <row r="264" spans="1:14" x14ac:dyDescent="0.2">
      <c r="A264" s="1273" t="s">
        <v>460</v>
      </c>
      <c r="B264" s="559">
        <v>2520</v>
      </c>
      <c r="C264" s="1672"/>
      <c r="D264" s="1572">
        <v>42642</v>
      </c>
      <c r="E264" s="1672"/>
      <c r="F264" s="1672"/>
      <c r="G264" s="1672"/>
      <c r="H264" s="1672"/>
      <c r="I264" s="1672"/>
      <c r="J264" s="1672"/>
      <c r="K264" s="1677">
        <f t="shared" ref="K264:K269" si="22">D264</f>
        <v>42642</v>
      </c>
      <c r="L264" s="1572">
        <v>27000</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229873</v>
      </c>
      <c r="E266" s="1672"/>
      <c r="F266" s="1672"/>
      <c r="G266" s="1672"/>
      <c r="H266" s="1672"/>
      <c r="I266" s="1672"/>
      <c r="J266" s="1672"/>
      <c r="K266" s="1677">
        <f t="shared" si="22"/>
        <v>229873</v>
      </c>
      <c r="L266" s="1572">
        <v>135000</v>
      </c>
    </row>
    <row r="267" spans="1:14" x14ac:dyDescent="0.2">
      <c r="A267" s="1273" t="s">
        <v>947</v>
      </c>
      <c r="B267" s="503">
        <v>2550</v>
      </c>
      <c r="C267" s="1672"/>
      <c r="D267" s="1572">
        <v>64640</v>
      </c>
      <c r="E267" s="1672"/>
      <c r="F267" s="1672"/>
      <c r="G267" s="1672"/>
      <c r="H267" s="1672"/>
      <c r="I267" s="1672"/>
      <c r="J267" s="1672"/>
      <c r="K267" s="1677">
        <f t="shared" si="22"/>
        <v>64640</v>
      </c>
      <c r="L267" s="1572">
        <v>64000</v>
      </c>
    </row>
    <row r="268" spans="1:14" x14ac:dyDescent="0.2">
      <c r="A268" s="1273" t="s">
        <v>100</v>
      </c>
      <c r="B268" s="503">
        <v>2560</v>
      </c>
      <c r="C268" s="1672"/>
      <c r="D268" s="1572"/>
      <c r="E268" s="1672"/>
      <c r="F268" s="1672"/>
      <c r="G268" s="1672"/>
      <c r="H268" s="1672"/>
      <c r="I268" s="1672"/>
      <c r="J268" s="1672"/>
      <c r="K268" s="1677">
        <f t="shared" si="22"/>
        <v>0</v>
      </c>
      <c r="L268" s="1572"/>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337155</v>
      </c>
      <c r="E270" s="1672"/>
      <c r="F270" s="1672"/>
      <c r="G270" s="1672"/>
      <c r="H270" s="1672"/>
      <c r="I270" s="1672"/>
      <c r="J270" s="1672"/>
      <c r="K270" s="1673">
        <f>SUM(K263:K269)</f>
        <v>337155</v>
      </c>
      <c r="L270" s="1673">
        <f>SUM(L263:L269)</f>
        <v>226000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1053</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1054</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783397</v>
      </c>
      <c r="E279" s="1672"/>
      <c r="F279" s="1672"/>
      <c r="G279" s="1672"/>
      <c r="H279" s="1672"/>
      <c r="I279" s="1672"/>
      <c r="J279" s="1672"/>
      <c r="K279" s="1680">
        <f>SUM(K238,K243,K257,K261,K270,K277,K278)</f>
        <v>783397</v>
      </c>
      <c r="L279" s="1680">
        <f>SUM(L238,L243,L257,L261,L270,L277,L278)</f>
        <v>450500</v>
      </c>
    </row>
    <row r="280" spans="1:12" ht="15.75" customHeight="1" thickTop="1" thickBot="1" x14ac:dyDescent="0.25">
      <c r="A280" s="1361" t="s">
        <v>870</v>
      </c>
      <c r="B280" s="1350">
        <v>3000</v>
      </c>
      <c r="C280" s="1672"/>
      <c r="D280" s="1650">
        <v>246</v>
      </c>
      <c r="E280" s="1672"/>
      <c r="F280" s="1672"/>
      <c r="G280" s="1672"/>
      <c r="H280" s="1672"/>
      <c r="I280" s="1672"/>
      <c r="J280" s="1672"/>
      <c r="K280" s="1686">
        <f>D280</f>
        <v>246</v>
      </c>
      <c r="L280" s="1650">
        <v>50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1818</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1473</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1162</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509" t="s">
        <v>502</v>
      </c>
      <c r="B295" s="2510"/>
      <c r="C295" s="1672"/>
      <c r="D295" s="1673">
        <f>SUM(D229,D279,D280,D285)</f>
        <v>1529445</v>
      </c>
      <c r="E295" s="1672"/>
      <c r="F295" s="1672"/>
      <c r="G295" s="1672"/>
      <c r="H295" s="1673">
        <f>H293</f>
        <v>0</v>
      </c>
      <c r="I295" s="1672"/>
      <c r="J295" s="1672"/>
      <c r="K295" s="1673">
        <f>SUM(K229,K279,K280,K285,K293,K294)</f>
        <v>1529445</v>
      </c>
      <c r="L295" s="1673">
        <f>SUM(L229,L279,L280,L285,L293,L294)</f>
        <v>1550950</v>
      </c>
    </row>
    <row r="296" spans="1:14" ht="13.5" thickTop="1" x14ac:dyDescent="0.2">
      <c r="A296" s="2491" t="s">
        <v>989</v>
      </c>
      <c r="B296" s="2492"/>
      <c r="C296" s="1672"/>
      <c r="D296" s="1674"/>
      <c r="E296" s="1672"/>
      <c r="F296" s="1672"/>
      <c r="G296" s="1672"/>
      <c r="H296" s="1706"/>
      <c r="I296" s="1672"/>
      <c r="J296" s="1672"/>
      <c r="K296" s="1688">
        <f>'Revenues 9-14'!G268-'Expenditures 15-22'!K295</f>
        <v>-739515</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501" t="s">
        <v>142</v>
      </c>
      <c r="B298" s="2495"/>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c r="G301" s="1572"/>
      <c r="H301" s="1572"/>
      <c r="I301" s="1573"/>
      <c r="J301" s="1573"/>
      <c r="K301" s="1671">
        <f>SUM(C301:J301)</f>
        <v>0</v>
      </c>
      <c r="L301" s="1573"/>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1823</v>
      </c>
      <c r="B306" s="562" t="s">
        <v>1818</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1473</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506" t="s">
        <v>275</v>
      </c>
      <c r="B312" s="2507"/>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502" t="s">
        <v>989</v>
      </c>
      <c r="B313" s="2503"/>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515" t="s">
        <v>148</v>
      </c>
      <c r="B315" s="2516"/>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517" t="s">
        <v>892</v>
      </c>
      <c r="B317" s="2516"/>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1784</v>
      </c>
      <c r="B320" s="568" t="s">
        <v>280</v>
      </c>
      <c r="C320" s="1573"/>
      <c r="D320" s="1573"/>
      <c r="E320" s="1573"/>
      <c r="F320" s="1573"/>
      <c r="G320" s="1573"/>
      <c r="H320" s="1573"/>
      <c r="I320" s="1573"/>
      <c r="J320" s="1573"/>
      <c r="K320" s="1671">
        <f t="shared" ref="K320:K327" si="24">SUM(C320:J320)</f>
        <v>0</v>
      </c>
      <c r="L320" s="1573"/>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c r="F322" s="1573"/>
      <c r="G322" s="1573"/>
      <c r="H322" s="1573"/>
      <c r="I322" s="1573"/>
      <c r="J322" s="1573"/>
      <c r="K322" s="1671">
        <f t="shared" si="24"/>
        <v>0</v>
      </c>
      <c r="L322" s="1573"/>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1124</v>
      </c>
      <c r="C328" s="1578"/>
      <c r="D328" s="1578"/>
      <c r="E328" s="1578"/>
      <c r="F328" s="1578"/>
      <c r="G328" s="1578"/>
      <c r="H328" s="1578"/>
      <c r="I328" s="1578"/>
      <c r="J328" s="1578"/>
      <c r="K328" s="1712">
        <f>SUM(C328:J328)</f>
        <v>0</v>
      </c>
      <c r="L328" s="1578"/>
      <c r="M328" s="539"/>
      <c r="N328" s="539"/>
    </row>
    <row r="329" spans="1:14" s="548" customFormat="1" x14ac:dyDescent="0.2">
      <c r="A329" s="1289" t="s">
        <v>1125</v>
      </c>
      <c r="B329" s="562" t="s">
        <v>1126</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6" t="s">
        <v>1824</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1818</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1820</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1825</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1162</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504" t="s">
        <v>989</v>
      </c>
      <c r="B343" s="2505"/>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494" t="s">
        <v>960</v>
      </c>
      <c r="B345" s="2495"/>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1826</v>
      </c>
      <c r="B354" s="557" t="s">
        <v>1818</v>
      </c>
      <c r="C354" s="1672"/>
      <c r="D354" s="1672"/>
      <c r="E354" s="1672"/>
      <c r="F354" s="1672"/>
      <c r="G354" s="1672"/>
      <c r="H354" s="1578"/>
      <c r="I354" s="1715"/>
      <c r="J354" s="1672"/>
      <c r="K354" s="1712">
        <f>H354</f>
        <v>0</v>
      </c>
      <c r="L354" s="1576"/>
    </row>
    <row r="355" spans="1:14" ht="12.75" customHeight="1" x14ac:dyDescent="0.2">
      <c r="A355" s="1282" t="s">
        <v>1827</v>
      </c>
      <c r="B355" s="562" t="s">
        <v>1820</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1473</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1656</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491" t="s">
        <v>989</v>
      </c>
      <c r="B368" s="2492"/>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2" colorId="8" zoomScale="110" zoomScaleNormal="110" workbookViewId="0">
      <selection activeCell="C8" sqref="C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518" t="s">
        <v>1781</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519"/>
      <c r="B3" s="1293"/>
      <c r="C3" s="1294"/>
      <c r="D3" s="1295" t="s">
        <v>254</v>
      </c>
      <c r="E3" s="1294"/>
      <c r="F3" s="1295" t="s">
        <v>255</v>
      </c>
    </row>
    <row r="4" spans="1:8" ht="13.7" customHeight="1" x14ac:dyDescent="0.2">
      <c r="A4" s="579" t="s">
        <v>1147</v>
      </c>
      <c r="B4" s="1720">
        <v>33688728</v>
      </c>
      <c r="C4" s="1721">
        <v>17801652</v>
      </c>
      <c r="D4" s="1722">
        <f>B4-C4</f>
        <v>15887076</v>
      </c>
      <c r="E4" s="1721">
        <v>34122817</v>
      </c>
      <c r="F4" s="1722">
        <f>E4-C4</f>
        <v>16321165</v>
      </c>
    </row>
    <row r="5" spans="1:8" ht="13.7" customHeight="1" x14ac:dyDescent="0.2">
      <c r="A5" s="579" t="s">
        <v>865</v>
      </c>
      <c r="B5" s="1723">
        <v>4135790</v>
      </c>
      <c r="C5" s="1663">
        <v>2215545</v>
      </c>
      <c r="D5" s="1724">
        <f t="shared" ref="D5:D18" si="0">B5-C5</f>
        <v>1920245</v>
      </c>
      <c r="E5" s="1663">
        <v>4246832</v>
      </c>
      <c r="F5" s="1724">
        <f>E5-C5</f>
        <v>2031287</v>
      </c>
    </row>
    <row r="6" spans="1:8" ht="13.7" customHeight="1" x14ac:dyDescent="0.2">
      <c r="A6" s="579" t="s">
        <v>408</v>
      </c>
      <c r="B6" s="1723">
        <f>'Revenues 9-14'!E5</f>
        <v>0</v>
      </c>
      <c r="C6" s="1663"/>
      <c r="D6" s="1724">
        <f t="shared" si="0"/>
        <v>0</v>
      </c>
      <c r="E6" s="1663"/>
      <c r="F6" s="1724">
        <f t="shared" ref="F6:F18" si="1">E6-C6</f>
        <v>0</v>
      </c>
    </row>
    <row r="7" spans="1:8" ht="13.7" customHeight="1" x14ac:dyDescent="0.2">
      <c r="A7" s="579" t="s">
        <v>154</v>
      </c>
      <c r="B7" s="1723">
        <v>1516719</v>
      </c>
      <c r="C7" s="1663">
        <v>812679</v>
      </c>
      <c r="D7" s="1724">
        <f t="shared" si="0"/>
        <v>704040</v>
      </c>
      <c r="E7" s="1663">
        <v>1557771</v>
      </c>
      <c r="F7" s="1724">
        <f t="shared" si="1"/>
        <v>745092</v>
      </c>
    </row>
    <row r="8" spans="1:8" ht="13.7" customHeight="1" x14ac:dyDescent="0.2">
      <c r="A8" s="579" t="s">
        <v>1171</v>
      </c>
      <c r="B8" s="1723">
        <v>429105</v>
      </c>
      <c r="C8" s="1663">
        <f>666585-310503</f>
        <v>356082</v>
      </c>
      <c r="D8" s="1724">
        <f t="shared" si="0"/>
        <v>73023</v>
      </c>
      <c r="E8" s="1663">
        <v>675690</v>
      </c>
      <c r="F8" s="1724">
        <f t="shared" si="1"/>
        <v>319608</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v>285125</v>
      </c>
      <c r="C10" s="1663">
        <v>152796</v>
      </c>
      <c r="D10" s="1724">
        <f t="shared" si="0"/>
        <v>132329</v>
      </c>
      <c r="E10" s="1663">
        <v>292885</v>
      </c>
      <c r="F10" s="1724">
        <f t="shared" si="1"/>
        <v>140089</v>
      </c>
    </row>
    <row r="11" spans="1:8" x14ac:dyDescent="0.2">
      <c r="A11" s="579" t="s">
        <v>406</v>
      </c>
      <c r="B11" s="1723">
        <f>'Revenues 9-14'!J5</f>
        <v>0</v>
      </c>
      <c r="C11" s="1663"/>
      <c r="D11" s="1724">
        <f t="shared" si="0"/>
        <v>0</v>
      </c>
      <c r="E11" s="1663"/>
      <c r="F11" s="1724">
        <f t="shared" si="1"/>
        <v>0</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256737</v>
      </c>
      <c r="C14" s="1663">
        <v>137606</v>
      </c>
      <c r="D14" s="1724">
        <f t="shared" si="0"/>
        <v>119131</v>
      </c>
      <c r="E14" s="1663">
        <v>263767</v>
      </c>
      <c r="F14" s="1724">
        <f t="shared" si="1"/>
        <v>126161</v>
      </c>
    </row>
    <row r="15" spans="1:8" ht="13.7" customHeight="1" x14ac:dyDescent="0.2">
      <c r="A15" s="579" t="s">
        <v>1150</v>
      </c>
      <c r="B15" s="1723">
        <f>SUM('Revenues 9-14'!D9:E9,'Revenues 9-14'!H9)</f>
        <v>0</v>
      </c>
      <c r="C15" s="1663"/>
      <c r="D15" s="1724">
        <f t="shared" si="0"/>
        <v>0</v>
      </c>
      <c r="E15" s="1663"/>
      <c r="F15" s="1724">
        <f t="shared" si="1"/>
        <v>0</v>
      </c>
    </row>
    <row r="16" spans="1:8" ht="13.7" customHeight="1" x14ac:dyDescent="0.2">
      <c r="A16" s="579" t="s">
        <v>1151</v>
      </c>
      <c r="B16" s="1723">
        <f>'Revenues 9-14'!G8</f>
        <v>355730</v>
      </c>
      <c r="C16" s="1663">
        <v>310503</v>
      </c>
      <c r="D16" s="1724">
        <f t="shared" si="0"/>
        <v>45227</v>
      </c>
      <c r="E16" s="1663">
        <v>602041</v>
      </c>
      <c r="F16" s="1724">
        <f t="shared" si="1"/>
        <v>291538</v>
      </c>
    </row>
    <row r="17" spans="1:6" ht="13.7" customHeight="1" x14ac:dyDescent="0.2">
      <c r="A17" s="579" t="s">
        <v>1152</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1153</v>
      </c>
      <c r="B19" s="1725">
        <f>SUM(B4:B18)</f>
        <v>40667934</v>
      </c>
      <c r="C19" s="1725">
        <f>SUM(C4:C18)</f>
        <v>21786863</v>
      </c>
      <c r="D19" s="1725">
        <f>SUM(D4:D18)</f>
        <v>18881071</v>
      </c>
      <c r="E19" s="1725">
        <f>SUM(E4:E18)</f>
        <v>41761803</v>
      </c>
      <c r="F19" s="1725">
        <f>SUM(F4:F18)</f>
        <v>19974940</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540" t="s">
        <v>625</v>
      </c>
      <c r="B1" s="2538"/>
      <c r="C1" s="585"/>
    </row>
    <row r="2" spans="1:7" ht="33.75" x14ac:dyDescent="0.2">
      <c r="A2" s="2545" t="s">
        <v>1781</v>
      </c>
      <c r="B2" s="2546"/>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547" t="s">
        <v>1106</v>
      </c>
      <c r="B3" s="2548"/>
      <c r="C3" s="2541"/>
      <c r="D3" s="2542"/>
      <c r="E3" s="2542"/>
      <c r="F3" s="2543"/>
    </row>
    <row r="4" spans="1:7" ht="12.75" customHeight="1" thickBot="1" x14ac:dyDescent="0.25">
      <c r="A4" s="2535" t="s">
        <v>626</v>
      </c>
      <c r="B4" s="2536"/>
      <c r="C4" s="1655"/>
      <c r="D4" s="1655"/>
      <c r="E4" s="1655"/>
      <c r="F4" s="1731">
        <f>SUM(C4+D4)-E4</f>
        <v>0</v>
      </c>
    </row>
    <row r="5" spans="1:7" ht="15.75" customHeight="1" thickTop="1" x14ac:dyDescent="0.2">
      <c r="A5" s="2539" t="s">
        <v>1103</v>
      </c>
      <c r="B5" s="2534"/>
      <c r="C5" s="2528"/>
      <c r="D5" s="2529"/>
      <c r="E5" s="2529"/>
      <c r="F5" s="2530"/>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1149</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531" t="s">
        <v>627</v>
      </c>
      <c r="B15" s="2532"/>
      <c r="C15" s="1731">
        <f>SUM(C6:C14)</f>
        <v>0</v>
      </c>
      <c r="D15" s="1731">
        <f>SUM(D6:D14)</f>
        <v>0</v>
      </c>
      <c r="E15" s="1731">
        <f>SUM(E6:E14)</f>
        <v>0</v>
      </c>
      <c r="F15" s="1731">
        <f>SUM(F6:F14)</f>
        <v>0</v>
      </c>
      <c r="G15" s="473"/>
    </row>
    <row r="16" spans="1:7" s="197" customFormat="1" ht="15.75" customHeight="1" thickTop="1" x14ac:dyDescent="0.2">
      <c r="A16" s="2544" t="s">
        <v>1104</v>
      </c>
      <c r="B16" s="2534"/>
      <c r="C16" s="2528"/>
      <c r="D16" s="2529"/>
      <c r="E16" s="2529"/>
      <c r="F16" s="2530"/>
    </row>
    <row r="17" spans="1:11" ht="12.75" customHeight="1" thickBot="1" x14ac:dyDescent="0.25">
      <c r="A17" s="2526" t="s">
        <v>64</v>
      </c>
      <c r="B17" s="2527"/>
      <c r="C17" s="1732"/>
      <c r="D17" s="1663"/>
      <c r="E17" s="1732"/>
      <c r="F17" s="1731">
        <f>SUM(C17+D17)-E17</f>
        <v>0</v>
      </c>
    </row>
    <row r="18" spans="1:11" ht="12.75" customHeight="1" thickTop="1" thickBot="1" x14ac:dyDescent="0.25">
      <c r="A18" s="2526" t="s">
        <v>6</v>
      </c>
      <c r="B18" s="2527"/>
      <c r="C18" s="1732"/>
      <c r="D18" s="1663"/>
      <c r="E18" s="1732"/>
      <c r="F18" s="1731">
        <f>SUM(C18+D18)-E18</f>
        <v>0</v>
      </c>
    </row>
    <row r="19" spans="1:11" ht="12.75" customHeight="1" thickTop="1" thickBot="1" x14ac:dyDescent="0.25">
      <c r="A19" s="2526" t="s">
        <v>385</v>
      </c>
      <c r="B19" s="2527"/>
      <c r="C19" s="1732"/>
      <c r="D19" s="1663"/>
      <c r="E19" s="1732"/>
      <c r="F19" s="1731">
        <f>SUM(C19+D19)-E19</f>
        <v>0</v>
      </c>
    </row>
    <row r="20" spans="1:11" ht="12.75" customHeight="1" thickTop="1" thickBot="1" x14ac:dyDescent="0.25">
      <c r="A20" s="2526" t="s">
        <v>445</v>
      </c>
      <c r="B20" s="2527"/>
      <c r="C20" s="1732"/>
      <c r="D20" s="1663"/>
      <c r="E20" s="1732"/>
      <c r="F20" s="1731">
        <f>SUM(C20+D20)-E20</f>
        <v>0</v>
      </c>
    </row>
    <row r="21" spans="1:11" ht="14.25" thickTop="1" thickBot="1" x14ac:dyDescent="0.25">
      <c r="A21" s="2531" t="s">
        <v>628</v>
      </c>
      <c r="B21" s="2532"/>
      <c r="C21" s="1731">
        <f>SUM(C17:C20)</f>
        <v>0</v>
      </c>
      <c r="D21" s="1731">
        <f>SUM(D17:D20)</f>
        <v>0</v>
      </c>
      <c r="E21" s="1731">
        <f>SUM(E17:E20)</f>
        <v>0</v>
      </c>
      <c r="F21" s="1731">
        <f>SUM(F17:F20)</f>
        <v>0</v>
      </c>
      <c r="G21" s="473"/>
    </row>
    <row r="22" spans="1:11" ht="15.75" customHeight="1" thickTop="1" x14ac:dyDescent="0.2">
      <c r="A22" s="2533" t="s">
        <v>1105</v>
      </c>
      <c r="B22" s="2534"/>
      <c r="C22" s="2528"/>
      <c r="D22" s="2529"/>
      <c r="E22" s="2529"/>
      <c r="F22" s="2530"/>
    </row>
    <row r="23" spans="1:11" ht="13.5" thickBot="1" x14ac:dyDescent="0.25">
      <c r="A23" s="2535" t="s">
        <v>629</v>
      </c>
      <c r="B23" s="2536"/>
      <c r="C23" s="1655"/>
      <c r="D23" s="1655"/>
      <c r="E23" s="1655"/>
      <c r="F23" s="1731">
        <f>SUM(C23+D23)-E23</f>
        <v>0</v>
      </c>
      <c r="G23" s="473"/>
    </row>
    <row r="24" spans="1:11" ht="15.75" customHeight="1" thickTop="1" x14ac:dyDescent="0.2">
      <c r="A24" s="2533" t="s">
        <v>2008</v>
      </c>
      <c r="B24" s="2534"/>
      <c r="C24" s="2528"/>
      <c r="D24" s="2529"/>
      <c r="E24" s="2529"/>
      <c r="F24" s="2530"/>
    </row>
    <row r="25" spans="1:11" ht="13.5" thickBot="1" x14ac:dyDescent="0.25">
      <c r="A25" s="2535" t="s">
        <v>2009</v>
      </c>
      <c r="B25" s="2536"/>
      <c r="C25" s="1655"/>
      <c r="D25" s="1655"/>
      <c r="E25" s="1655"/>
      <c r="F25" s="1731">
        <f>SUM(C25+D25)-E25</f>
        <v>0</v>
      </c>
      <c r="G25" s="473"/>
    </row>
    <row r="26" spans="1:11" ht="15.75" customHeight="1" thickTop="1" x14ac:dyDescent="0.2">
      <c r="A26" s="2539" t="s">
        <v>652</v>
      </c>
      <c r="B26" s="2534"/>
      <c r="C26" s="589"/>
      <c r="D26" s="589"/>
      <c r="E26" s="589"/>
      <c r="F26" s="590"/>
    </row>
    <row r="27" spans="1:11" ht="13.5" thickBot="1" x14ac:dyDescent="0.25">
      <c r="A27" s="2531" t="s">
        <v>1063</v>
      </c>
      <c r="B27" s="2532"/>
      <c r="C27" s="1663"/>
      <c r="D27" s="1663"/>
      <c r="E27" s="1663"/>
      <c r="F27" s="1731">
        <f>SUM(C27+D27)-E27</f>
        <v>0</v>
      </c>
      <c r="G27" s="473"/>
    </row>
    <row r="28" spans="1:11" ht="7.5" customHeight="1" thickTop="1" x14ac:dyDescent="0.2">
      <c r="A28" s="489"/>
    </row>
    <row r="29" spans="1:11" ht="23.25" customHeight="1" x14ac:dyDescent="0.2">
      <c r="A29" s="2537" t="s">
        <v>578</v>
      </c>
      <c r="B29" s="2538"/>
      <c r="C29" s="591"/>
      <c r="D29" s="591"/>
      <c r="E29" s="591"/>
      <c r="F29" s="591"/>
      <c r="G29" s="591"/>
      <c r="H29" s="591"/>
      <c r="I29" s="591"/>
      <c r="J29" s="591"/>
    </row>
    <row r="30" spans="1:11" ht="33.75" x14ac:dyDescent="0.2">
      <c r="A30" s="1296"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1879</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0</v>
      </c>
      <c r="D49" s="1741"/>
      <c r="E49" s="1735">
        <f t="shared" ref="E49:J49" si="2">SUM(E31:E48)</f>
        <v>0</v>
      </c>
      <c r="F49" s="1735">
        <f t="shared" si="2"/>
        <v>0</v>
      </c>
      <c r="G49" s="1735">
        <f t="shared" si="2"/>
        <v>0</v>
      </c>
      <c r="H49" s="1735">
        <f t="shared" si="2"/>
        <v>0</v>
      </c>
      <c r="I49" s="1735">
        <f t="shared" si="2"/>
        <v>0</v>
      </c>
      <c r="J49" s="1735">
        <f t="shared" si="2"/>
        <v>0</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520" t="s">
        <v>580</v>
      </c>
      <c r="C52" s="2521"/>
      <c r="D52" s="2521"/>
      <c r="E52" s="603" t="s">
        <v>840</v>
      </c>
      <c r="F52" s="2522"/>
      <c r="G52" s="2523"/>
      <c r="H52" s="596"/>
      <c r="I52" s="596"/>
      <c r="J52" s="600"/>
    </row>
    <row r="53" spans="1:11" ht="11.25" customHeight="1" x14ac:dyDescent="0.2">
      <c r="A53" s="604" t="s">
        <v>907</v>
      </c>
      <c r="B53" s="605" t="s">
        <v>945</v>
      </c>
      <c r="C53" s="600"/>
      <c r="D53" s="597"/>
      <c r="E53" s="603" t="s">
        <v>494</v>
      </c>
      <c r="F53" s="2524"/>
      <c r="G53" s="2525"/>
      <c r="H53" s="596"/>
      <c r="I53" s="596"/>
      <c r="J53" s="600"/>
    </row>
    <row r="54" spans="1:11" ht="11.25" customHeight="1" x14ac:dyDescent="0.2">
      <c r="A54" s="606" t="s">
        <v>908</v>
      </c>
      <c r="B54" s="601" t="s">
        <v>946</v>
      </c>
      <c r="C54" s="600"/>
      <c r="D54" s="597"/>
      <c r="E54" s="603" t="s">
        <v>495</v>
      </c>
      <c r="F54" s="2524"/>
      <c r="G54" s="252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549" t="s">
        <v>851</v>
      </c>
      <c r="B1" s="2550"/>
      <c r="C1" s="2550"/>
      <c r="D1" s="2550"/>
      <c r="E1" s="2550"/>
      <c r="F1" s="2550"/>
      <c r="G1" s="2551"/>
      <c r="H1" s="1297"/>
      <c r="I1" s="614"/>
      <c r="J1" s="400"/>
    </row>
    <row r="2" spans="1:11" ht="26.25" x14ac:dyDescent="0.2">
      <c r="A2" s="2568" t="s">
        <v>1661</v>
      </c>
      <c r="B2" s="2569"/>
      <c r="C2" s="2569"/>
      <c r="D2" s="2569"/>
      <c r="E2" s="2570"/>
      <c r="F2" s="615" t="s">
        <v>898</v>
      </c>
      <c r="G2" s="616" t="s">
        <v>1658</v>
      </c>
      <c r="H2" s="616" t="s">
        <v>407</v>
      </c>
      <c r="I2" s="616" t="s">
        <v>1150</v>
      </c>
      <c r="J2" s="616" t="s">
        <v>1791</v>
      </c>
      <c r="K2" s="616" t="s">
        <v>137</v>
      </c>
    </row>
    <row r="3" spans="1:11" x14ac:dyDescent="0.2">
      <c r="A3" s="2571" t="str">
        <f>"Cash Basis Fund Balance as of July 1, "&amp;'AFR20'!E2-1</f>
        <v>Cash Basis Fund Balance as of July 1, 2019</v>
      </c>
      <c r="B3" s="2572"/>
      <c r="C3" s="2572"/>
      <c r="D3" s="2572"/>
      <c r="E3" s="2573"/>
      <c r="F3" s="617"/>
      <c r="G3" s="1743"/>
      <c r="H3" s="1743"/>
      <c r="I3" s="1743"/>
      <c r="J3" s="1744"/>
      <c r="K3" s="1744"/>
    </row>
    <row r="4" spans="1:11" x14ac:dyDescent="0.2">
      <c r="A4" s="2574" t="s">
        <v>366</v>
      </c>
      <c r="B4" s="2575"/>
      <c r="C4" s="2575"/>
      <c r="D4" s="2575"/>
      <c r="E4" s="2521"/>
      <c r="F4" s="620"/>
      <c r="G4" s="1745"/>
      <c r="H4" s="1746"/>
      <c r="I4" s="1745"/>
      <c r="J4" s="1747"/>
      <c r="K4" s="1747"/>
    </row>
    <row r="5" spans="1:11" x14ac:dyDescent="0.2">
      <c r="A5" s="2552" t="s">
        <v>1062</v>
      </c>
      <c r="B5" s="2553"/>
      <c r="C5" s="2553"/>
      <c r="D5" s="2553"/>
      <c r="E5" s="2554"/>
      <c r="F5" s="622" t="s">
        <v>843</v>
      </c>
      <c r="G5" s="1748"/>
      <c r="H5" s="1743">
        <v>256818</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552" t="s">
        <v>1792</v>
      </c>
      <c r="B10" s="2553"/>
      <c r="C10" s="2553"/>
      <c r="D10" s="2553"/>
      <c r="E10" s="2555"/>
      <c r="F10" s="633" t="s">
        <v>857</v>
      </c>
      <c r="G10" s="1752"/>
      <c r="H10" s="1753"/>
      <c r="I10" s="1743"/>
      <c r="J10" s="1744"/>
      <c r="K10" s="1744"/>
    </row>
    <row r="11" spans="1:11" x14ac:dyDescent="0.2">
      <c r="A11" s="2552" t="s">
        <v>159</v>
      </c>
      <c r="B11" s="2553"/>
      <c r="C11" s="2553"/>
      <c r="D11" s="2553"/>
      <c r="E11" s="2554"/>
      <c r="F11" s="622" t="s">
        <v>847</v>
      </c>
      <c r="G11" s="1748"/>
      <c r="H11" s="1743"/>
      <c r="I11" s="1743"/>
      <c r="J11" s="1744"/>
      <c r="K11" s="1750"/>
    </row>
    <row r="12" spans="1:11" ht="13.5" thickBot="1" x14ac:dyDescent="0.25">
      <c r="A12" s="2579" t="s">
        <v>899</v>
      </c>
      <c r="B12" s="2580"/>
      <c r="C12" s="2580"/>
      <c r="D12" s="2580"/>
      <c r="E12" s="2581"/>
      <c r="F12" s="1432"/>
      <c r="G12" s="1754">
        <f>SUM(G5:G11)</f>
        <v>0</v>
      </c>
      <c r="H12" s="1754">
        <f>SUM(H5:H11)</f>
        <v>256818</v>
      </c>
      <c r="I12" s="1754">
        <f>SUM(I5:I11)</f>
        <v>0</v>
      </c>
      <c r="J12" s="1754">
        <f>SUM(J5:J11)</f>
        <v>0</v>
      </c>
      <c r="K12" s="1754">
        <f>SUM(K5:K11)</f>
        <v>0</v>
      </c>
    </row>
    <row r="13" spans="1:11" ht="13.5" thickTop="1" x14ac:dyDescent="0.2">
      <c r="A13" s="2576" t="s">
        <v>367</v>
      </c>
      <c r="B13" s="2577"/>
      <c r="C13" s="2577"/>
      <c r="D13" s="2577"/>
      <c r="E13" s="2578"/>
      <c r="F13" s="634"/>
      <c r="G13" s="1755"/>
      <c r="H13" s="1756"/>
      <c r="I13" s="1757"/>
      <c r="J13" s="1757"/>
      <c r="K13" s="1757"/>
    </row>
    <row r="14" spans="1:11" x14ac:dyDescent="0.2">
      <c r="A14" s="2559" t="s">
        <v>453</v>
      </c>
      <c r="B14" s="2559"/>
      <c r="C14" s="2559"/>
      <c r="D14" s="2559"/>
      <c r="E14" s="2560"/>
      <c r="F14" s="635" t="s">
        <v>849</v>
      </c>
      <c r="G14" s="1752"/>
      <c r="H14" s="1743"/>
      <c r="I14" s="1748"/>
      <c r="J14" s="1750"/>
      <c r="K14" s="1744"/>
    </row>
    <row r="15" spans="1:11" x14ac:dyDescent="0.2">
      <c r="A15" s="2553" t="s">
        <v>4</v>
      </c>
      <c r="B15" s="2553"/>
      <c r="C15" s="2553"/>
      <c r="D15" s="2553"/>
      <c r="E15" s="2554"/>
      <c r="F15" s="635" t="s">
        <v>850</v>
      </c>
      <c r="G15" s="1748"/>
      <c r="H15" s="1743"/>
      <c r="I15" s="1743"/>
      <c r="J15" s="1744"/>
      <c r="K15" s="1744"/>
    </row>
    <row r="16" spans="1:11" x14ac:dyDescent="0.2">
      <c r="A16" s="2553" t="s">
        <v>295</v>
      </c>
      <c r="B16" s="2553"/>
      <c r="C16" s="2553"/>
      <c r="D16" s="2553"/>
      <c r="E16" s="2554"/>
      <c r="F16" s="635" t="s">
        <v>917</v>
      </c>
      <c r="G16" s="1749"/>
      <c r="H16" s="1745"/>
      <c r="I16" s="1745"/>
      <c r="J16" s="1747"/>
      <c r="K16" s="1747"/>
    </row>
    <row r="17" spans="1:15" x14ac:dyDescent="0.2">
      <c r="A17" s="2586" t="s">
        <v>929</v>
      </c>
      <c r="B17" s="2586"/>
      <c r="C17" s="2586"/>
      <c r="D17" s="2586"/>
      <c r="E17" s="2587"/>
      <c r="F17" s="636"/>
      <c r="G17" s="1758"/>
      <c r="H17" s="1759"/>
      <c r="I17" s="1759"/>
      <c r="J17" s="1760"/>
      <c r="K17" s="1761"/>
    </row>
    <row r="18" spans="1:15" x14ac:dyDescent="0.2">
      <c r="A18" s="2563" t="s">
        <v>365</v>
      </c>
      <c r="B18" s="2564"/>
      <c r="C18" s="2564"/>
      <c r="D18" s="2564"/>
      <c r="E18" s="2565"/>
      <c r="F18" s="635" t="s">
        <v>926</v>
      </c>
      <c r="G18" s="1752"/>
      <c r="H18" s="1752"/>
      <c r="I18" s="1752"/>
      <c r="J18" s="1744"/>
      <c r="K18" s="1762"/>
    </row>
    <row r="19" spans="1:15" ht="21.75" customHeight="1" x14ac:dyDescent="0.2">
      <c r="A19" s="2561" t="s">
        <v>1788</v>
      </c>
      <c r="B19" s="2561"/>
      <c r="C19" s="2561"/>
      <c r="D19" s="2561"/>
      <c r="E19" s="2562"/>
      <c r="F19" s="635" t="s">
        <v>927</v>
      </c>
      <c r="G19" s="1752"/>
      <c r="H19" s="1752"/>
      <c r="I19" s="1752"/>
      <c r="J19" s="1744"/>
      <c r="K19" s="1762"/>
    </row>
    <row r="20" spans="1:15" x14ac:dyDescent="0.2">
      <c r="A20" s="2563" t="s">
        <v>1793</v>
      </c>
      <c r="B20" s="2564"/>
      <c r="C20" s="2564"/>
      <c r="D20" s="2564"/>
      <c r="E20" s="2565"/>
      <c r="F20" s="635" t="s">
        <v>928</v>
      </c>
      <c r="G20" s="1752"/>
      <c r="H20" s="1752"/>
      <c r="I20" s="1752"/>
      <c r="J20" s="1744"/>
      <c r="K20" s="1762"/>
    </row>
    <row r="21" spans="1:15" ht="13.5" thickBot="1" x14ac:dyDescent="0.25">
      <c r="A21" s="2582" t="s">
        <v>633</v>
      </c>
      <c r="B21" s="2582"/>
      <c r="C21" s="2582"/>
      <c r="D21" s="2582"/>
      <c r="E21" s="2582"/>
      <c r="F21" s="1433"/>
      <c r="G21" s="1759"/>
      <c r="H21" s="1763"/>
      <c r="I21" s="1763"/>
      <c r="J21" s="1764">
        <f>SUM(J18:J20)</f>
        <v>0</v>
      </c>
      <c r="K21" s="1760"/>
    </row>
    <row r="22" spans="1:15" ht="13.5" thickTop="1" x14ac:dyDescent="0.2">
      <c r="A22" s="2553" t="s">
        <v>1794</v>
      </c>
      <c r="B22" s="2553"/>
      <c r="C22" s="2553"/>
      <c r="D22" s="2553"/>
      <c r="E22" s="2554"/>
      <c r="F22" s="635" t="s">
        <v>857</v>
      </c>
      <c r="G22" s="1752"/>
      <c r="H22" s="1743">
        <v>256818</v>
      </c>
      <c r="I22" s="1743"/>
      <c r="J22" s="1765"/>
      <c r="K22" s="1744"/>
    </row>
    <row r="23" spans="1:15" ht="13.5" thickBot="1" x14ac:dyDescent="0.25">
      <c r="A23" s="2583" t="s">
        <v>900</v>
      </c>
      <c r="B23" s="2582"/>
      <c r="C23" s="2582"/>
      <c r="D23" s="2582"/>
      <c r="E23" s="2582"/>
      <c r="F23" s="1435"/>
      <c r="G23" s="1754">
        <f>SUM(G14:G16,G21,G22)</f>
        <v>0</v>
      </c>
      <c r="H23" s="1754">
        <f>SUM(H14:H16,H21,H22)</f>
        <v>256818</v>
      </c>
      <c r="I23" s="1754">
        <f>SUM(I14:I16,I21,I22)</f>
        <v>0</v>
      </c>
      <c r="J23" s="1754">
        <f>SUM(J14:J16,J21,J22)</f>
        <v>0</v>
      </c>
      <c r="K23" s="1754">
        <f>SUM(K14:K16,K21,K22)</f>
        <v>0</v>
      </c>
      <c r="M23" s="1845"/>
      <c r="N23" s="1845"/>
      <c r="O23" s="1845"/>
    </row>
    <row r="24" spans="1:15" ht="14.25" thickTop="1" thickBot="1" x14ac:dyDescent="0.25">
      <c r="A24" s="2584" t="str">
        <f>"Ending Cash Basis Fund Balance as of June 30, "&amp;'AFR20'!E2</f>
        <v>Ending Cash Basis Fund Balance as of June 30, 2020</v>
      </c>
      <c r="B24" s="2585"/>
      <c r="C24" s="2585"/>
      <c r="D24" s="2585"/>
      <c r="E24" s="2585"/>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1878</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2053</v>
      </c>
      <c r="E30" s="648" t="s">
        <v>763</v>
      </c>
      <c r="F30" s="197"/>
      <c r="G30" s="645"/>
    </row>
    <row r="31" spans="1:15" x14ac:dyDescent="0.2">
      <c r="A31" s="649"/>
      <c r="D31" s="232"/>
      <c r="E31" s="650" t="s">
        <v>764</v>
      </c>
      <c r="F31" s="651" t="s">
        <v>536</v>
      </c>
      <c r="G31" s="618"/>
      <c r="H31" s="2556"/>
      <c r="I31" s="2557"/>
      <c r="J31" s="2557"/>
      <c r="K31" s="2557"/>
    </row>
    <row r="32" spans="1:15" x14ac:dyDescent="0.2">
      <c r="A32" s="649"/>
      <c r="B32" s="232"/>
      <c r="C32" s="232"/>
      <c r="D32" s="232"/>
      <c r="E32" s="645"/>
      <c r="F32" s="651" t="s">
        <v>537</v>
      </c>
      <c r="G32" s="618"/>
      <c r="H32" s="2558"/>
      <c r="I32" s="2557"/>
      <c r="J32" s="2557"/>
      <c r="K32" s="2557"/>
    </row>
    <row r="33" spans="1:11" ht="1.5" customHeight="1" x14ac:dyDescent="0.2">
      <c r="A33" s="652" t="s">
        <v>1161</v>
      </c>
      <c r="B33" s="341"/>
      <c r="C33" s="341"/>
      <c r="D33" s="341"/>
      <c r="E33" s="341"/>
      <c r="F33" s="341"/>
      <c r="G33" s="653"/>
      <c r="H33" s="2558"/>
      <c r="I33" s="2557"/>
      <c r="J33" s="2557"/>
      <c r="K33" s="2557"/>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158993</v>
      </c>
    </row>
    <row r="37" spans="1:11" x14ac:dyDescent="0.2">
      <c r="A37" s="660" t="s">
        <v>890</v>
      </c>
      <c r="B37" s="658"/>
      <c r="C37" s="658"/>
      <c r="D37" s="658"/>
      <c r="E37" s="658"/>
      <c r="F37" s="659"/>
      <c r="G37" s="619">
        <v>2194</v>
      </c>
    </row>
    <row r="38" spans="1:11" x14ac:dyDescent="0.2">
      <c r="A38" s="660" t="s">
        <v>986</v>
      </c>
      <c r="B38" s="658"/>
      <c r="C38" s="658"/>
      <c r="D38" s="658"/>
      <c r="E38" s="658"/>
      <c r="F38" s="659"/>
      <c r="G38" s="619">
        <v>85040</v>
      </c>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553" t="s">
        <v>538</v>
      </c>
      <c r="B41" s="2566"/>
      <c r="C41" s="2566"/>
      <c r="D41" s="2566"/>
      <c r="E41" s="2566"/>
      <c r="F41" s="256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1789</v>
      </c>
      <c r="B46" s="382" t="s">
        <v>1659</v>
      </c>
    </row>
    <row r="47" spans="1:11" s="663" customFormat="1" ht="12.75" customHeight="1" x14ac:dyDescent="0.2">
      <c r="A47" s="661"/>
      <c r="B47" s="662" t="s">
        <v>1660</v>
      </c>
      <c r="E47" s="662"/>
      <c r="K47" s="664"/>
    </row>
    <row r="48" spans="1:11" ht="12.75" customHeight="1" x14ac:dyDescent="0.2">
      <c r="A48" s="1299"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590" t="s">
        <v>1877</v>
      </c>
      <c r="B1" s="2591"/>
      <c r="C1" s="2592"/>
      <c r="D1" s="666"/>
      <c r="E1" s="667"/>
      <c r="F1" s="667"/>
      <c r="G1" s="668"/>
      <c r="H1" s="669"/>
      <c r="I1" s="670"/>
      <c r="J1" s="2588"/>
      <c r="K1" s="2589"/>
      <c r="L1" s="2589"/>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1096591</v>
      </c>
      <c r="D5" s="1769"/>
      <c r="E5" s="1769"/>
      <c r="F5" s="1764">
        <f>(C5+D5)-E5</f>
        <v>1096591</v>
      </c>
      <c r="G5" s="676"/>
      <c r="H5" s="680"/>
      <c r="I5" s="680"/>
      <c r="J5" s="680"/>
      <c r="K5" s="637"/>
      <c r="L5" s="1441">
        <f>F5-K5</f>
        <v>1096591</v>
      </c>
    </row>
    <row r="6" spans="1:14" ht="14.25" thickTop="1" thickBot="1" x14ac:dyDescent="0.25">
      <c r="A6" s="629" t="s">
        <v>1109</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1110</v>
      </c>
      <c r="B8" s="679">
        <v>231</v>
      </c>
      <c r="C8" s="1770">
        <v>52728915</v>
      </c>
      <c r="D8" s="1770"/>
      <c r="E8" s="1770"/>
      <c r="F8" s="1764">
        <f>(C8+D8)-E8</f>
        <v>52728915</v>
      </c>
      <c r="G8" s="681">
        <v>50</v>
      </c>
      <c r="H8" s="619">
        <v>22058259</v>
      </c>
      <c r="I8" s="619">
        <v>1112993</v>
      </c>
      <c r="J8" s="619"/>
      <c r="K8" s="1441">
        <f>(H8+I8)-J8</f>
        <v>23171252</v>
      </c>
      <c r="L8" s="1441">
        <f>F8-K8</f>
        <v>29557663</v>
      </c>
    </row>
    <row r="9" spans="1:14" ht="14.25" thickTop="1" thickBot="1" x14ac:dyDescent="0.25">
      <c r="A9" s="629" t="s">
        <v>1111</v>
      </c>
      <c r="B9" s="679">
        <v>232</v>
      </c>
      <c r="C9" s="1744"/>
      <c r="D9" s="1744"/>
      <c r="E9" s="1744"/>
      <c r="F9" s="1764">
        <f>(C9+D9)-E9</f>
        <v>0</v>
      </c>
      <c r="G9" s="681">
        <v>20</v>
      </c>
      <c r="H9" s="619"/>
      <c r="I9" s="619"/>
      <c r="J9" s="619"/>
      <c r="K9" s="1441">
        <f>(H9+I9)-J9</f>
        <v>0</v>
      </c>
      <c r="L9" s="1441">
        <f>F9-K9</f>
        <v>0</v>
      </c>
    </row>
    <row r="10" spans="1:14" ht="24" thickTop="1" thickBot="1" x14ac:dyDescent="0.25">
      <c r="A10" s="682" t="s">
        <v>1112</v>
      </c>
      <c r="B10" s="679">
        <v>240</v>
      </c>
      <c r="C10" s="1771">
        <v>31909265</v>
      </c>
      <c r="D10" s="1771"/>
      <c r="E10" s="1771"/>
      <c r="F10" s="1772">
        <f>(C10+D10)-E10</f>
        <v>31909265</v>
      </c>
      <c r="G10" s="681">
        <v>20</v>
      </c>
      <c r="H10" s="683">
        <v>5011681</v>
      </c>
      <c r="I10" s="683">
        <v>1443717</v>
      </c>
      <c r="J10" s="683"/>
      <c r="K10" s="1441">
        <f>(H10+I10)-J10</f>
        <v>6455398</v>
      </c>
      <c r="L10" s="1441">
        <f>F10-K10</f>
        <v>25453867</v>
      </c>
    </row>
    <row r="11" spans="1:14" ht="13.5" thickTop="1" x14ac:dyDescent="0.2">
      <c r="A11" s="1366" t="s">
        <v>1128</v>
      </c>
      <c r="B11" s="1364">
        <v>250</v>
      </c>
      <c r="C11" s="1751"/>
      <c r="D11" s="1751"/>
      <c r="E11" s="1751"/>
      <c r="F11" s="1750"/>
      <c r="G11" s="681"/>
      <c r="H11" s="632"/>
      <c r="I11" s="632"/>
      <c r="J11" s="632"/>
      <c r="K11" s="624"/>
      <c r="L11" s="624"/>
    </row>
    <row r="12" spans="1:14" ht="13.5" thickBot="1" x14ac:dyDescent="0.25">
      <c r="A12" s="684" t="s">
        <v>1113</v>
      </c>
      <c r="B12" s="679">
        <v>251</v>
      </c>
      <c r="C12" s="1770">
        <v>23054823</v>
      </c>
      <c r="D12" s="1770">
        <v>152476</v>
      </c>
      <c r="E12" s="1770"/>
      <c r="F12" s="1764">
        <f>(C12+D12)-E12</f>
        <v>23207299</v>
      </c>
      <c r="G12" s="681">
        <v>10</v>
      </c>
      <c r="H12" s="619">
        <v>20606357</v>
      </c>
      <c r="I12" s="619">
        <v>677473</v>
      </c>
      <c r="J12" s="619"/>
      <c r="K12" s="1441">
        <f>(H12+I12)-J12</f>
        <v>21283830</v>
      </c>
      <c r="L12" s="1441">
        <f>F12-K12</f>
        <v>1923469</v>
      </c>
    </row>
    <row r="13" spans="1:14" ht="14.25" thickTop="1" thickBot="1" x14ac:dyDescent="0.25">
      <c r="A13" s="684" t="s">
        <v>1114</v>
      </c>
      <c r="B13" s="679">
        <v>252</v>
      </c>
      <c r="C13" s="1770">
        <v>5896760</v>
      </c>
      <c r="D13" s="1770"/>
      <c r="E13" s="1770"/>
      <c r="F13" s="1764">
        <f>(C13+D13)-E13</f>
        <v>5896760</v>
      </c>
      <c r="G13" s="681">
        <v>5</v>
      </c>
      <c r="H13" s="619">
        <v>3828431</v>
      </c>
      <c r="I13" s="619">
        <v>668025</v>
      </c>
      <c r="J13" s="619"/>
      <c r="K13" s="1441">
        <f>(H13+I13)-J13</f>
        <v>4496456</v>
      </c>
      <c r="L13" s="1441">
        <f>F13-K13</f>
        <v>1400304</v>
      </c>
    </row>
    <row r="14" spans="1:14" ht="14.25" thickTop="1" thickBot="1" x14ac:dyDescent="0.25">
      <c r="A14" s="684" t="s">
        <v>1115</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v>2351627</v>
      </c>
      <c r="D15" s="1770">
        <v>7384461</v>
      </c>
      <c r="E15" s="1770">
        <v>0</v>
      </c>
      <c r="F15" s="1764">
        <f>(C15+D15)-E15</f>
        <v>9736088</v>
      </c>
      <c r="G15" s="685" t="s">
        <v>857</v>
      </c>
      <c r="H15" s="632"/>
      <c r="I15" s="632"/>
      <c r="J15" s="632"/>
      <c r="K15" s="632"/>
      <c r="L15" s="1441">
        <f>F15-K15</f>
        <v>9736088</v>
      </c>
    </row>
    <row r="16" spans="1:14" ht="15" customHeight="1" thickTop="1" thickBot="1" x14ac:dyDescent="0.25">
      <c r="A16" s="1437" t="s">
        <v>638</v>
      </c>
      <c r="B16" s="1438">
        <v>200</v>
      </c>
      <c r="C16" s="1764">
        <f>SUM(C3,C5:C6,C8:C10,C12:C15)</f>
        <v>117037981</v>
      </c>
      <c r="D16" s="1764">
        <f>SUM(D3,D5:D6,D8:D10,D12:D15)</f>
        <v>7536937</v>
      </c>
      <c r="E16" s="1764">
        <f>SUM(E3,E5:E6,E8:E10,E12:E15)</f>
        <v>0</v>
      </c>
      <c r="F16" s="1764">
        <f>SUM(F3,F5:F6,F8:F10,F12:F15)</f>
        <v>124574918</v>
      </c>
      <c r="G16" s="681"/>
      <c r="H16" s="1434">
        <f>SUM(H3,H6,H8:H10,H12:H14,)</f>
        <v>51504728</v>
      </c>
      <c r="I16" s="1434">
        <f>SUM(I3,I6,I8:I10,I12:I14,)</f>
        <v>3902208</v>
      </c>
      <c r="J16" s="1434">
        <f>SUM(J3,J6,J8:J10,J12:J14,)</f>
        <v>0</v>
      </c>
      <c r="K16" s="1434">
        <f>(H16+I16)-J16</f>
        <v>55406936</v>
      </c>
      <c r="L16" s="1434">
        <f>F16-K16</f>
        <v>69167982</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3902208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1"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96" t="str">
        <f>"ESTIMATED OPERATING EXPENSE PER PUPIL (OEPP)/PER CAPITA TUITION CHARGE (PCTC) COMPUTATIONS ("&amp;'AFR20'!E2-1&amp;" - "&amp;'AFR20'!E2&amp;")"</f>
        <v>ESTIMATED OPERATING EXPENSE PER PUPIL (OEPP)/PER CAPITA TUITION CHARGE (PCTC) COMPUTATIONS (2019 - 2020)</v>
      </c>
      <c r="B1" s="2597"/>
      <c r="C1" s="2597"/>
      <c r="D1" s="2597"/>
      <c r="E1" s="2597"/>
      <c r="F1" s="2598"/>
      <c r="G1" s="691"/>
      <c r="I1" s="701"/>
    </row>
    <row r="2" spans="1:9" ht="15" customHeight="1" thickBot="1" x14ac:dyDescent="0.25">
      <c r="A2" s="2599" t="s">
        <v>474</v>
      </c>
      <c r="B2" s="2600"/>
      <c r="C2" s="2600"/>
      <c r="D2" s="2600"/>
      <c r="E2" s="2600"/>
      <c r="F2" s="260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602"/>
      <c r="B5" s="2603"/>
      <c r="C5" s="2603"/>
      <c r="D5" s="2603"/>
      <c r="E5" s="2603"/>
      <c r="F5" s="2603"/>
    </row>
    <row r="6" spans="1:9" ht="13.5" customHeight="1" thickBot="1" x14ac:dyDescent="0.25">
      <c r="A6" s="2593" t="s">
        <v>1097</v>
      </c>
      <c r="B6" s="2594"/>
      <c r="C6" s="2594"/>
      <c r="D6" s="2594"/>
      <c r="E6" s="2594"/>
      <c r="F6" s="259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15-22'!K114</f>
        <v>39701208</v>
      </c>
      <c r="G8" s="701"/>
    </row>
    <row r="9" spans="1:9" x14ac:dyDescent="0.2">
      <c r="A9" s="705" t="s">
        <v>457</v>
      </c>
      <c r="B9" s="706" t="s">
        <v>1850</v>
      </c>
      <c r="C9" s="707"/>
      <c r="D9" s="705" t="s">
        <v>498</v>
      </c>
      <c r="E9" s="704"/>
      <c r="F9" s="1774">
        <f>'Expenditures 15-22'!K151</f>
        <v>10218976</v>
      </c>
      <c r="G9" s="708"/>
    </row>
    <row r="10" spans="1:9" x14ac:dyDescent="0.2">
      <c r="A10" s="705" t="s">
        <v>496</v>
      </c>
      <c r="B10" s="706" t="s">
        <v>1851</v>
      </c>
      <c r="C10" s="707"/>
      <c r="D10" s="705" t="s">
        <v>498</v>
      </c>
      <c r="E10" s="704"/>
      <c r="F10" s="1774">
        <f>'Expenditures 15-22'!K174</f>
        <v>0</v>
      </c>
      <c r="G10" s="708"/>
    </row>
    <row r="11" spans="1:9" x14ac:dyDescent="0.2">
      <c r="A11" s="705" t="s">
        <v>458</v>
      </c>
      <c r="B11" s="706" t="s">
        <v>1852</v>
      </c>
      <c r="C11" s="707"/>
      <c r="D11" s="705" t="s">
        <v>498</v>
      </c>
      <c r="E11" s="704"/>
      <c r="F11" s="1774">
        <f>'Expenditures 15-22'!K210</f>
        <v>1645812</v>
      </c>
      <c r="G11" s="708"/>
    </row>
    <row r="12" spans="1:9" x14ac:dyDescent="0.2">
      <c r="A12" s="705" t="s">
        <v>459</v>
      </c>
      <c r="B12" s="706" t="s">
        <v>1853</v>
      </c>
      <c r="C12" s="707"/>
      <c r="D12" s="705" t="s">
        <v>498</v>
      </c>
      <c r="E12" s="704"/>
      <c r="F12" s="1774">
        <f>'Expenditures 15-22'!K295</f>
        <v>1529445</v>
      </c>
      <c r="G12" s="708"/>
    </row>
    <row r="13" spans="1:9" x14ac:dyDescent="0.2">
      <c r="A13" s="705" t="s">
        <v>106</v>
      </c>
      <c r="B13" s="706" t="s">
        <v>1854</v>
      </c>
      <c r="C13" s="707"/>
      <c r="D13" s="705" t="s">
        <v>498</v>
      </c>
      <c r="E13" s="704"/>
      <c r="F13" s="1774">
        <f>'Expenditures 15-22'!K342</f>
        <v>0</v>
      </c>
      <c r="G13" s="709"/>
    </row>
    <row r="14" spans="1:9" ht="12" customHeight="1" thickBot="1" x14ac:dyDescent="0.25">
      <c r="A14" s="1442"/>
      <c r="B14" s="1443"/>
      <c r="C14" s="1444"/>
      <c r="D14" s="1445" t="s">
        <v>498</v>
      </c>
      <c r="E14" s="1446" t="s">
        <v>952</v>
      </c>
      <c r="F14" s="1775">
        <f>SUM(F8:F13)</f>
        <v>53095441</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1908</v>
      </c>
      <c r="C30" s="716">
        <f>'Revenues 9-14'!B150</f>
        <v>3499</v>
      </c>
      <c r="D30" s="717" t="str">
        <f>'Revenues 9-14'!A150</f>
        <v>Adult Ed - Other (Describe &amp; Itemize)</v>
      </c>
      <c r="E30" s="704"/>
      <c r="F30" s="1782">
        <f>('Revenues 9-14'!D150+'Revenues 9-14'!F150)</f>
        <v>0</v>
      </c>
      <c r="G30" s="701"/>
    </row>
    <row r="31" spans="1:7" x14ac:dyDescent="0.2">
      <c r="A31" s="705" t="s">
        <v>1090</v>
      </c>
      <c r="B31" s="706" t="s">
        <v>1909</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1910</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1911</v>
      </c>
      <c r="C33" s="711">
        <f>'Revenues 9-14'!B222</f>
        <v>4810</v>
      </c>
      <c r="D33" s="718" t="str">
        <f>'Revenues 9-14'!A222</f>
        <v>Federal - Adult Education</v>
      </c>
      <c r="E33" s="704"/>
      <c r="F33" s="1781">
        <f>'Revenues 9-14'!D222</f>
        <v>0</v>
      </c>
      <c r="G33" s="701"/>
    </row>
    <row r="34" spans="1:7" x14ac:dyDescent="0.2">
      <c r="A34" s="705" t="s">
        <v>456</v>
      </c>
      <c r="B34" s="705" t="s">
        <v>1455</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1">
        <f>'Expenditures 15-22'!K15-SUM('Expenditures 15-22'!G15,'Expenditures 15-22'!I15)</f>
        <v>119168</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1460</v>
      </c>
      <c r="C52" s="724" t="str">
        <f>'Expenditures 15-22'!B75</f>
        <v>3000</v>
      </c>
      <c r="D52" s="723" t="s">
        <v>446</v>
      </c>
      <c r="E52" s="704"/>
      <c r="F52" s="1781">
        <f>'Expenditures 15-22'!K75-SUM('Expenditures 15-22'!G75,'Expenditures 15-22'!I75)</f>
        <v>111337</v>
      </c>
      <c r="G52" s="701"/>
    </row>
    <row r="53" spans="1:7" x14ac:dyDescent="0.2">
      <c r="A53" s="705" t="s">
        <v>456</v>
      </c>
      <c r="B53" s="705" t="s">
        <v>1461</v>
      </c>
      <c r="C53" s="724">
        <f>'Expenditures 15-22'!B102</f>
        <v>4000</v>
      </c>
      <c r="D53" s="723" t="str">
        <f>'Expenditures 15-22'!A102</f>
        <v>Total Payments to Other Govt Units</v>
      </c>
      <c r="E53" s="704"/>
      <c r="F53" s="1781">
        <f>'Expenditures 15-22'!K102</f>
        <v>685841</v>
      </c>
      <c r="G53" s="701"/>
    </row>
    <row r="54" spans="1:7" x14ac:dyDescent="0.2">
      <c r="A54" s="705" t="s">
        <v>456</v>
      </c>
      <c r="B54" s="705" t="s">
        <v>1462</v>
      </c>
      <c r="C54" s="724" t="s">
        <v>975</v>
      </c>
      <c r="D54" s="720" t="s">
        <v>1088</v>
      </c>
      <c r="E54" s="704"/>
      <c r="F54" s="1781">
        <f>'Expenditures 15-22'!G114</f>
        <v>2291205</v>
      </c>
      <c r="G54" s="701"/>
    </row>
    <row r="55" spans="1:7" x14ac:dyDescent="0.2">
      <c r="A55" s="705" t="s">
        <v>456</v>
      </c>
      <c r="B55" s="705" t="s">
        <v>1463</v>
      </c>
      <c r="C55" s="724" t="s">
        <v>975</v>
      </c>
      <c r="D55" s="720" t="s">
        <v>288</v>
      </c>
      <c r="E55" s="704"/>
      <c r="F55" s="1781">
        <f>'Expenditures 15-22'!I114</f>
        <v>0</v>
      </c>
      <c r="G55" s="701"/>
    </row>
    <row r="56" spans="1:7" x14ac:dyDescent="0.2">
      <c r="A56" s="705" t="s">
        <v>457</v>
      </c>
      <c r="B56" s="705" t="s">
        <v>1464</v>
      </c>
      <c r="C56" s="721" t="str">
        <f>'Expenditures 15-22'!B130</f>
        <v>3000</v>
      </c>
      <c r="D56" s="727" t="s">
        <v>446</v>
      </c>
      <c r="E56" s="704"/>
      <c r="F56" s="1781">
        <f>'Expenditures 15-22'!K130-SUM('Expenditures 15-22'!G130+'Expenditures 15-22'!I130)</f>
        <v>0</v>
      </c>
      <c r="G56" s="701"/>
    </row>
    <row r="57" spans="1:7" x14ac:dyDescent="0.2">
      <c r="A57" s="705" t="s">
        <v>457</v>
      </c>
      <c r="B57" s="705" t="s">
        <v>1855</v>
      </c>
      <c r="C57" s="724">
        <f>'Expenditures 15-22'!B139</f>
        <v>4000</v>
      </c>
      <c r="D57" s="722" t="str">
        <f>'Expenditures 15-22'!A139</f>
        <v>Total Payments to Other Govt Units</v>
      </c>
      <c r="E57" s="704"/>
      <c r="F57" s="1781">
        <f>'Expenditures 15-22'!K139</f>
        <v>0</v>
      </c>
      <c r="G57" s="701"/>
    </row>
    <row r="58" spans="1:7" x14ac:dyDescent="0.2">
      <c r="A58" s="705" t="s">
        <v>457</v>
      </c>
      <c r="B58" s="705" t="s">
        <v>1856</v>
      </c>
      <c r="C58" s="721" t="s">
        <v>975</v>
      </c>
      <c r="D58" s="720" t="s">
        <v>1088</v>
      </c>
      <c r="E58" s="704"/>
      <c r="F58" s="1783">
        <f>'Expenditures 15-22'!G151</f>
        <v>7501395</v>
      </c>
      <c r="G58" s="701"/>
    </row>
    <row r="59" spans="1:7" x14ac:dyDescent="0.2">
      <c r="A59" s="728" t="s">
        <v>457</v>
      </c>
      <c r="B59" s="692" t="s">
        <v>1857</v>
      </c>
      <c r="C59" s="729" t="s">
        <v>975</v>
      </c>
      <c r="D59" s="692" t="s">
        <v>288</v>
      </c>
      <c r="F59" s="1784">
        <f>'Expenditures 15-22'!I151</f>
        <v>0</v>
      </c>
      <c r="G59" s="701"/>
    </row>
    <row r="60" spans="1:7" x14ac:dyDescent="0.2">
      <c r="A60" s="728" t="s">
        <v>496</v>
      </c>
      <c r="B60" s="692" t="s">
        <v>1858</v>
      </c>
      <c r="C60" s="729">
        <v>4000</v>
      </c>
      <c r="D60" s="692" t="s">
        <v>309</v>
      </c>
      <c r="F60" s="1782">
        <f>'Expenditures 15-22'!K160</f>
        <v>0</v>
      </c>
      <c r="G60" s="701"/>
    </row>
    <row r="61" spans="1:7" x14ac:dyDescent="0.2">
      <c r="A61" s="730" t="s">
        <v>496</v>
      </c>
      <c r="B61" s="730" t="s">
        <v>1859</v>
      </c>
      <c r="C61" s="731" t="str">
        <f>'Expenditures 15-22'!B170</f>
        <v>5300</v>
      </c>
      <c r="D61" s="732" t="s">
        <v>308</v>
      </c>
      <c r="E61" s="715"/>
      <c r="F61" s="1781">
        <f>'Expenditures 15-22'!K170</f>
        <v>0</v>
      </c>
      <c r="G61" s="701"/>
    </row>
    <row r="62" spans="1:7" x14ac:dyDescent="0.2">
      <c r="A62" s="705" t="s">
        <v>458</v>
      </c>
      <c r="B62" s="705" t="s">
        <v>1860</v>
      </c>
      <c r="C62" s="721">
        <f>'Expenditures 15-22'!B185</f>
        <v>3000</v>
      </c>
      <c r="D62" s="712" t="s">
        <v>446</v>
      </c>
      <c r="E62" s="704"/>
      <c r="F62" s="1781">
        <f>'Expenditures 15-22'!K185-SUM('Expenditures 15-22'!G185,'Expenditures 15-22'!I185)</f>
        <v>0</v>
      </c>
      <c r="G62" s="701"/>
    </row>
    <row r="63" spans="1:7" x14ac:dyDescent="0.2">
      <c r="A63" s="705" t="s">
        <v>458</v>
      </c>
      <c r="B63" s="705" t="s">
        <v>1861</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1862</v>
      </c>
      <c r="C64" s="731" t="str">
        <f>'Expenditures 15-22'!B206</f>
        <v>5300</v>
      </c>
      <c r="D64" s="727" t="s">
        <v>308</v>
      </c>
      <c r="E64" s="704"/>
      <c r="F64" s="1781">
        <f>'Expenditures 15-22'!K206</f>
        <v>0</v>
      </c>
      <c r="G64" s="701"/>
    </row>
    <row r="65" spans="1:9" x14ac:dyDescent="0.2">
      <c r="A65" s="705" t="s">
        <v>458</v>
      </c>
      <c r="B65" s="705" t="s">
        <v>1863</v>
      </c>
      <c r="C65" s="721" t="s">
        <v>975</v>
      </c>
      <c r="D65" s="720" t="s">
        <v>1088</v>
      </c>
      <c r="E65" s="704"/>
      <c r="F65" s="1781">
        <f>'Expenditures 15-22'!G210</f>
        <v>279540</v>
      </c>
      <c r="G65" s="701"/>
    </row>
    <row r="66" spans="1:9" x14ac:dyDescent="0.2">
      <c r="A66" s="705" t="s">
        <v>458</v>
      </c>
      <c r="B66" s="705" t="s">
        <v>1864</v>
      </c>
      <c r="C66" s="721" t="s">
        <v>975</v>
      </c>
      <c r="D66" s="720" t="s">
        <v>288</v>
      </c>
      <c r="E66" s="704"/>
      <c r="F66" s="1781">
        <f>'Expenditures 15-22'!I210</f>
        <v>0</v>
      </c>
      <c r="G66" s="701"/>
    </row>
    <row r="67" spans="1:9" x14ac:dyDescent="0.2">
      <c r="A67" s="705" t="s">
        <v>459</v>
      </c>
      <c r="B67" s="705" t="s">
        <v>1865</v>
      </c>
      <c r="C67" s="721" t="str">
        <f>'Expenditures 15-22'!B216</f>
        <v>1125</v>
      </c>
      <c r="D67" s="727" t="str">
        <f>'Expenditures 15-22'!A216</f>
        <v>Pre-K Programs</v>
      </c>
      <c r="E67" s="704"/>
      <c r="F67" s="1781">
        <f>'Expenditures 15-22'!K216</f>
        <v>0</v>
      </c>
      <c r="G67" s="701"/>
    </row>
    <row r="68" spans="1:9" x14ac:dyDescent="0.2">
      <c r="A68" s="705" t="s">
        <v>459</v>
      </c>
      <c r="B68" s="705" t="s">
        <v>1465</v>
      </c>
      <c r="C68" s="721" t="str">
        <f>'Expenditures 15-22'!B218</f>
        <v>1225</v>
      </c>
      <c r="D68" s="727" t="str">
        <f>'Expenditures 15-22'!A218</f>
        <v>Special Education Programs - Pre-K</v>
      </c>
      <c r="E68" s="704"/>
      <c r="F68" s="1781">
        <f>'Expenditures 15-22'!K218</f>
        <v>0</v>
      </c>
      <c r="G68" s="701"/>
    </row>
    <row r="69" spans="1:9" x14ac:dyDescent="0.2">
      <c r="A69" s="705" t="s">
        <v>459</v>
      </c>
      <c r="B69" s="705" t="s">
        <v>1866</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1867</v>
      </c>
      <c r="C70" s="721">
        <f>'Expenditures 15-22'!B221</f>
        <v>1300</v>
      </c>
      <c r="D70" s="722" t="str">
        <f>'Expenditures 15-22'!A221</f>
        <v>Adult/Continuing Education Programs</v>
      </c>
      <c r="E70" s="704"/>
      <c r="F70" s="1781">
        <f>'Expenditures 15-22'!K221</f>
        <v>0</v>
      </c>
      <c r="G70" s="701"/>
    </row>
    <row r="71" spans="1:9" x14ac:dyDescent="0.2">
      <c r="A71" s="705" t="s">
        <v>459</v>
      </c>
      <c r="B71" s="705" t="s">
        <v>1868</v>
      </c>
      <c r="C71" s="721">
        <f>'Expenditures 15-22'!B224</f>
        <v>1600</v>
      </c>
      <c r="D71" s="722" t="str">
        <f>'Expenditures 15-22'!A224</f>
        <v>Summer School Programs</v>
      </c>
      <c r="E71" s="704"/>
      <c r="F71" s="1781">
        <f>'Expenditures 15-22'!K224</f>
        <v>10478</v>
      </c>
      <c r="G71" s="701"/>
    </row>
    <row r="72" spans="1:9" x14ac:dyDescent="0.2">
      <c r="A72" s="705" t="s">
        <v>459</v>
      </c>
      <c r="B72" s="705" t="s">
        <v>1869</v>
      </c>
      <c r="C72" s="721">
        <f>'Expenditures 15-22'!B280</f>
        <v>3000</v>
      </c>
      <c r="D72" s="712" t="s">
        <v>446</v>
      </c>
      <c r="E72" s="704"/>
      <c r="F72" s="1781">
        <f>'Expenditures 15-22'!K280</f>
        <v>246</v>
      </c>
      <c r="G72" s="701"/>
    </row>
    <row r="73" spans="1:9" x14ac:dyDescent="0.2">
      <c r="A73" s="705" t="s">
        <v>459</v>
      </c>
      <c r="B73" s="705" t="s">
        <v>1870</v>
      </c>
      <c r="C73" s="721" t="str">
        <f>'Expenditures 15-22'!B285</f>
        <v>4000</v>
      </c>
      <c r="D73" s="722" t="str">
        <f>'Expenditures 15-22'!A285</f>
        <v>Total Payments to Other Govt Units</v>
      </c>
      <c r="E73" s="704"/>
      <c r="F73" s="1781">
        <f>'Expenditures 15-22'!K285</f>
        <v>0</v>
      </c>
      <c r="G73" s="701"/>
    </row>
    <row r="74" spans="1:9" x14ac:dyDescent="0.2">
      <c r="A74" s="705" t="s">
        <v>433</v>
      </c>
      <c r="B74" s="705" t="s">
        <v>1871</v>
      </c>
      <c r="C74" s="721" t="s">
        <v>855</v>
      </c>
      <c r="D74" s="722" t="s">
        <v>1473</v>
      </c>
      <c r="E74" s="704"/>
      <c r="F74" s="1785">
        <f>'Expenditures 15-22'!K334</f>
        <v>0</v>
      </c>
      <c r="G74" s="701"/>
    </row>
    <row r="75" spans="1:9" x14ac:dyDescent="0.2">
      <c r="A75" s="705" t="s">
        <v>2010</v>
      </c>
      <c r="B75" s="705" t="s">
        <v>2011</v>
      </c>
      <c r="C75" s="721" t="s">
        <v>975</v>
      </c>
      <c r="D75" s="722" t="s">
        <v>1088</v>
      </c>
      <c r="E75" s="704"/>
      <c r="F75" s="1785">
        <f>'Expenditures 15-22'!G342</f>
        <v>0</v>
      </c>
      <c r="G75" s="701"/>
    </row>
    <row r="76" spans="1:9" ht="10.5" customHeight="1" x14ac:dyDescent="0.2">
      <c r="A76" s="701" t="s">
        <v>433</v>
      </c>
      <c r="B76" s="705" t="s">
        <v>2012</v>
      </c>
      <c r="C76" s="711" t="s">
        <v>975</v>
      </c>
      <c r="D76" s="701" t="s">
        <v>288</v>
      </c>
      <c r="E76" s="704"/>
      <c r="F76" s="1785">
        <f>'Expenditures 15-22'!I342</f>
        <v>0</v>
      </c>
      <c r="G76" s="703"/>
    </row>
    <row r="77" spans="1:9" ht="12" thickBot="1" x14ac:dyDescent="0.25">
      <c r="A77" s="1442"/>
      <c r="B77" s="1447"/>
      <c r="C77" s="1444"/>
      <c r="D77" s="1448" t="s">
        <v>2013</v>
      </c>
      <c r="E77" s="1446" t="s">
        <v>952</v>
      </c>
      <c r="F77" s="1786">
        <f>SUM(F18:F76)</f>
        <v>10999210</v>
      </c>
      <c r="G77" s="701"/>
    </row>
    <row r="78" spans="1:9" s="728" customFormat="1" ht="12" customHeight="1" thickTop="1" thickBot="1" x14ac:dyDescent="0.25">
      <c r="A78" s="1449"/>
      <c r="B78" s="1447"/>
      <c r="C78" s="1444"/>
      <c r="D78" s="1448" t="s">
        <v>2014</v>
      </c>
      <c r="E78" s="1446"/>
      <c r="F78" s="1787">
        <f>(F14-F77)</f>
        <v>42096231</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3548.1</v>
      </c>
      <c r="G79" s="733"/>
      <c r="H79" s="705"/>
      <c r="I79" s="705"/>
    </row>
    <row r="80" spans="1:9" s="728" customFormat="1" ht="12" customHeight="1" thickBot="1" x14ac:dyDescent="0.25">
      <c r="A80" s="1451"/>
      <c r="B80" s="1447"/>
      <c r="C80" s="1444"/>
      <c r="D80" s="1448" t="s">
        <v>2015</v>
      </c>
      <c r="E80" s="1446" t="s">
        <v>952</v>
      </c>
      <c r="F80" s="1789">
        <f>IF(F79&gt;0,F78/F79," Complete Line 79")</f>
        <v>11864.443223133509</v>
      </c>
      <c r="G80" s="705"/>
    </row>
    <row r="81" spans="1:7" s="728" customFormat="1" ht="8.25" customHeight="1" thickTop="1" x14ac:dyDescent="0.2">
      <c r="A81" s="734"/>
      <c r="B81" s="705"/>
      <c r="C81" s="707"/>
      <c r="D81" s="735"/>
      <c r="E81" s="704"/>
      <c r="F81" s="1790"/>
      <c r="G81" s="705"/>
    </row>
    <row r="82" spans="1:7" s="728" customFormat="1" ht="12" thickBot="1" x14ac:dyDescent="0.25">
      <c r="A82" s="2593" t="s">
        <v>1098</v>
      </c>
      <c r="B82" s="2594"/>
      <c r="C82" s="2594"/>
      <c r="D82" s="2594"/>
      <c r="E82" s="2594"/>
      <c r="F82" s="259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37362</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18109</v>
      </c>
      <c r="G95" s="745"/>
    </row>
    <row r="96" spans="1:7" x14ac:dyDescent="0.2">
      <c r="A96" s="741" t="s">
        <v>139</v>
      </c>
      <c r="B96" s="741" t="s">
        <v>174</v>
      </c>
      <c r="C96" s="743">
        <v>1700</v>
      </c>
      <c r="D96" s="751" t="str">
        <f>'Revenues 9-14'!A82</f>
        <v>Total District/School Activity Income</v>
      </c>
      <c r="E96" s="739"/>
      <c r="F96" s="1792">
        <f>SUM('Revenues 9-14'!C82,'Revenues 9-14'!D82)</f>
        <v>23664</v>
      </c>
      <c r="G96" s="745"/>
    </row>
    <row r="97" spans="1:7" x14ac:dyDescent="0.2">
      <c r="A97" s="741" t="s">
        <v>456</v>
      </c>
      <c r="B97" s="741" t="s">
        <v>175</v>
      </c>
      <c r="C97" s="743">
        <f>'Revenues 9-14'!B84</f>
        <v>1811</v>
      </c>
      <c r="D97" s="744" t="str">
        <f>'Revenues 9-14'!A84</f>
        <v>Rentals - Regular Textbooks</v>
      </c>
      <c r="E97" s="739"/>
      <c r="F97" s="1792">
        <f>'Revenues 9-14'!C84</f>
        <v>569248</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4100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1912</v>
      </c>
      <c r="C106" s="746">
        <v>3100</v>
      </c>
      <c r="D106" s="752" t="str">
        <f>'Revenues 9-14'!A132</f>
        <v>Total Special Education</v>
      </c>
      <c r="E106" s="739"/>
      <c r="F106" s="1792">
        <f>SUM('Revenues 9-14'!C132:D132,'Revenues 9-14'!F132)</f>
        <v>270741</v>
      </c>
      <c r="G106" s="745"/>
    </row>
    <row r="107" spans="1:7" x14ac:dyDescent="0.2">
      <c r="A107" s="741" t="s">
        <v>668</v>
      </c>
      <c r="B107" s="741" t="s">
        <v>1913</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1914</v>
      </c>
      <c r="C108" s="753">
        <v>3300</v>
      </c>
      <c r="D108" s="744" t="str">
        <f>'Revenues 9-14'!A145</f>
        <v>Total Bilingual Ed</v>
      </c>
      <c r="E108" s="739"/>
      <c r="F108" s="1792">
        <f>SUM('Revenues 9-14'!C145,'Revenues 9-14'!G145)</f>
        <v>0</v>
      </c>
      <c r="G108" s="745"/>
    </row>
    <row r="109" spans="1:7" x14ac:dyDescent="0.2">
      <c r="A109" s="741" t="s">
        <v>456</v>
      </c>
      <c r="B109" s="741" t="s">
        <v>1915</v>
      </c>
      <c r="C109" s="753">
        <f>'Revenues 9-14'!B146</f>
        <v>3360</v>
      </c>
      <c r="D109" s="744" t="str">
        <f>'Revenues 9-14'!A146</f>
        <v>State Free Lunch &amp; Breakfast</v>
      </c>
      <c r="E109" s="739"/>
      <c r="F109" s="1792">
        <f>'Revenues 9-14'!C146</f>
        <v>982</v>
      </c>
      <c r="G109" s="745"/>
    </row>
    <row r="110" spans="1:7" x14ac:dyDescent="0.2">
      <c r="A110" s="741" t="s">
        <v>668</v>
      </c>
      <c r="B110" s="741" t="s">
        <v>1916</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2">
        <f>SUM('Revenues 9-14'!C148,'Revenues 9-14'!D148)</f>
        <v>0</v>
      </c>
      <c r="G111" s="745"/>
    </row>
    <row r="112" spans="1:7" x14ac:dyDescent="0.2">
      <c r="A112" s="741" t="s">
        <v>663</v>
      </c>
      <c r="B112" s="741" t="s">
        <v>1918</v>
      </c>
      <c r="C112" s="755">
        <v>3500</v>
      </c>
      <c r="D112" s="744" t="str">
        <f>'Revenues 9-14'!A155</f>
        <v>Total Transportation</v>
      </c>
      <c r="E112" s="739"/>
      <c r="F112" s="1792">
        <f>SUM('Revenues 9-14'!C155,'Revenues 9-14'!D155,'Revenues 9-14'!F155,'Revenues 9-14'!G155)</f>
        <v>1100298</v>
      </c>
      <c r="G112" s="745"/>
    </row>
    <row r="113" spans="1:7" x14ac:dyDescent="0.2">
      <c r="A113" s="741" t="s">
        <v>456</v>
      </c>
      <c r="B113" s="741" t="s">
        <v>1919</v>
      </c>
      <c r="C113" s="753">
        <f>'Revenues 9-14'!B156</f>
        <v>3610</v>
      </c>
      <c r="D113" s="744" t="str">
        <f>'Revenues 9-14'!A156</f>
        <v>Learning Improvement - Change Grants</v>
      </c>
      <c r="E113" s="739"/>
      <c r="F113" s="1792">
        <f>'Revenues 9-14'!C156</f>
        <v>0</v>
      </c>
      <c r="G113" s="745"/>
    </row>
    <row r="114" spans="1:7" x14ac:dyDescent="0.2">
      <c r="A114" s="741" t="s">
        <v>663</v>
      </c>
      <c r="B114" s="741" t="s">
        <v>1920</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1922</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1923</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1924</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1925</v>
      </c>
      <c r="C119" s="757">
        <f>'Revenues 9-14'!B163</f>
        <v>3780</v>
      </c>
      <c r="D119" s="758" t="str">
        <f>'Revenues 9-14'!A163</f>
        <v>Technology - Technology for Success</v>
      </c>
      <c r="E119" s="739"/>
      <c r="F119" s="1791">
        <f>SUM('Revenues 9-14'!C163:G163)</f>
        <v>0</v>
      </c>
      <c r="G119" s="745"/>
    </row>
    <row r="120" spans="1:7" x14ac:dyDescent="0.2">
      <c r="A120" s="756" t="s">
        <v>501</v>
      </c>
      <c r="B120" s="756" t="s">
        <v>1926</v>
      </c>
      <c r="C120" s="757">
        <f>'Revenues 9-14'!B164</f>
        <v>3815</v>
      </c>
      <c r="D120" s="758" t="str">
        <f>'Revenues 9-14'!A164</f>
        <v>State Charter Schools</v>
      </c>
      <c r="E120" s="739"/>
      <c r="F120" s="1791">
        <f>SUM('Revenues 9-14'!C164,'Revenues 9-14'!F164)</f>
        <v>0</v>
      </c>
      <c r="G120" s="745"/>
    </row>
    <row r="121" spans="1:7" x14ac:dyDescent="0.2">
      <c r="A121" s="760" t="s">
        <v>457</v>
      </c>
      <c r="B121" s="760" t="s">
        <v>1927</v>
      </c>
      <c r="C121" s="761">
        <f>'Revenues 9-14'!B167</f>
        <v>3925</v>
      </c>
      <c r="D121" s="762" t="str">
        <f>'Revenues 9-14'!A167</f>
        <v>School Infrastructure - Maintenance Projects</v>
      </c>
      <c r="E121" s="739"/>
      <c r="F121" s="1792">
        <f>'Revenues 9-14'!D167</f>
        <v>0</v>
      </c>
      <c r="G121" s="763"/>
    </row>
    <row r="122" spans="1:7" x14ac:dyDescent="0.2">
      <c r="A122" s="760" t="s">
        <v>497</v>
      </c>
      <c r="B122" s="760" t="s">
        <v>1928</v>
      </c>
      <c r="C122" s="761">
        <f>'Revenues 9-14'!B168</f>
        <v>3999</v>
      </c>
      <c r="D122" s="762" t="s">
        <v>540</v>
      </c>
      <c r="E122" s="764"/>
      <c r="F122" s="1792">
        <f>SUM('Revenues 9-14'!C168:G168,'Revenues 9-14'!J168)</f>
        <v>0</v>
      </c>
      <c r="G122" s="763"/>
    </row>
    <row r="123" spans="1:7" x14ac:dyDescent="0.2">
      <c r="A123" s="760" t="s">
        <v>456</v>
      </c>
      <c r="B123" s="760" t="s">
        <v>1929</v>
      </c>
      <c r="C123" s="765">
        <f>'Revenues 9-14'!B177</f>
        <v>4045</v>
      </c>
      <c r="D123" s="762" t="str">
        <f>'Revenues 9-14'!A177 &amp; " (Subtract)"</f>
        <v>Head Start (Subtract)</v>
      </c>
      <c r="E123" s="739"/>
      <c r="F123" s="1792">
        <f>SUM(-'Revenues 9-14'!C177)</f>
        <v>0</v>
      </c>
      <c r="G123" s="763"/>
    </row>
    <row r="124" spans="1:7" x14ac:dyDescent="0.2">
      <c r="A124" s="760" t="s">
        <v>663</v>
      </c>
      <c r="B124" s="760" t="s">
        <v>1930</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1931</v>
      </c>
      <c r="C125" s="765">
        <v>4100</v>
      </c>
      <c r="D125" s="766" t="str">
        <f>'Revenues 9-14'!A188</f>
        <v>Total Title V</v>
      </c>
      <c r="E125" s="739"/>
      <c r="F125" s="1792">
        <f>SUM('Revenues 9-14'!C188,'Revenues 9-14'!D188,'Revenues 9-14'!F188,'Revenues 9-14'!G188)</f>
        <v>0</v>
      </c>
      <c r="G125" s="763"/>
    </row>
    <row r="126" spans="1:7" x14ac:dyDescent="0.2">
      <c r="A126" s="760" t="s">
        <v>659</v>
      </c>
      <c r="B126" s="760" t="s">
        <v>1932</v>
      </c>
      <c r="C126" s="765">
        <v>4200</v>
      </c>
      <c r="D126" s="762" t="str">
        <f>'Revenues 9-14'!A198</f>
        <v>Total Food Service</v>
      </c>
      <c r="E126" s="739"/>
      <c r="F126" s="1792">
        <f>SUM('Revenues 9-14'!C198,'Revenues 9-14'!G198)</f>
        <v>46214</v>
      </c>
      <c r="G126" s="763"/>
    </row>
    <row r="127" spans="1:7" x14ac:dyDescent="0.2">
      <c r="A127" s="760" t="s">
        <v>663</v>
      </c>
      <c r="B127" s="760" t="s">
        <v>1933</v>
      </c>
      <c r="C127" s="765">
        <v>4300</v>
      </c>
      <c r="D127" s="766" t="str">
        <f>'Revenues 9-14'!A204</f>
        <v>Total Title I</v>
      </c>
      <c r="E127" s="739"/>
      <c r="F127" s="1792">
        <f>SUM('Revenues 9-14'!C204,'Revenues 9-14'!D204,'Revenues 9-14'!F204,'Revenues 9-14'!G204)</f>
        <v>586020</v>
      </c>
      <c r="G127" s="763"/>
    </row>
    <row r="128" spans="1:7" x14ac:dyDescent="0.2">
      <c r="A128" s="760" t="s">
        <v>663</v>
      </c>
      <c r="B128" s="760" t="s">
        <v>1934</v>
      </c>
      <c r="C128" s="765">
        <v>4400</v>
      </c>
      <c r="D128" s="766" t="str">
        <f>'Revenues 9-14'!A209</f>
        <v>Total Title IV</v>
      </c>
      <c r="E128" s="739"/>
      <c r="F128" s="1792">
        <f>SUM('Revenues 9-14'!C209,'Revenues 9-14'!D209,'Revenues 9-14'!F209,'Revenues 9-14'!G209)</f>
        <v>39955</v>
      </c>
      <c r="G128" s="763"/>
    </row>
    <row r="129" spans="1:7" x14ac:dyDescent="0.2">
      <c r="A129" s="760" t="s">
        <v>663</v>
      </c>
      <c r="B129" s="760" t="s">
        <v>1935</v>
      </c>
      <c r="C129" s="765">
        <f>'Revenues 9-14'!B213</f>
        <v>4620</v>
      </c>
      <c r="D129" s="766" t="str">
        <f>'Revenues 9-14'!A213</f>
        <v>Fed - Spec Education - IDEA - Flow Through</v>
      </c>
      <c r="E129" s="739"/>
      <c r="F129" s="1792">
        <f>SUM('Revenues 9-14'!C213:D213,'Revenues 9-14'!F213:G213)</f>
        <v>1020221</v>
      </c>
      <c r="G129" s="763"/>
    </row>
    <row r="130" spans="1:7" x14ac:dyDescent="0.2">
      <c r="A130" s="760" t="s">
        <v>663</v>
      </c>
      <c r="B130" s="760" t="s">
        <v>1936</v>
      </c>
      <c r="C130" s="765">
        <f>'Revenues 9-14'!B214</f>
        <v>4625</v>
      </c>
      <c r="D130" s="766" t="str">
        <f>'Revenues 9-14'!A214</f>
        <v>Fed - Spec Education - IDEA - Room &amp; Board</v>
      </c>
      <c r="E130" s="739"/>
      <c r="F130" s="1792">
        <f>SUM('Revenues 9-14'!C214,'Revenues 9-14'!D214,'Revenues 9-14'!F214,'Revenues 9-14'!G214)</f>
        <v>8531</v>
      </c>
      <c r="G130" s="763"/>
    </row>
    <row r="131" spans="1:7" x14ac:dyDescent="0.2">
      <c r="A131" s="760" t="s">
        <v>663</v>
      </c>
      <c r="B131" s="760" t="s">
        <v>1937</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1938</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2">
        <v>0</v>
      </c>
      <c r="G139" s="738"/>
    </row>
    <row r="140" spans="1:7" s="703" customFormat="1" hidden="1" x14ac:dyDescent="0.2">
      <c r="A140" s="767" t="s">
        <v>204</v>
      </c>
      <c r="B140" s="767" t="s">
        <v>1945</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1948</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1403</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1953</v>
      </c>
      <c r="C158" s="773" t="s">
        <v>836</v>
      </c>
      <c r="D158" s="774" t="s">
        <v>772</v>
      </c>
      <c r="E158" s="775"/>
      <c r="F158" s="1792">
        <f>SUM(F134:F157)</f>
        <v>0</v>
      </c>
      <c r="G158" s="738"/>
    </row>
    <row r="159" spans="1:7" s="703" customFormat="1" x14ac:dyDescent="0.2">
      <c r="A159" s="771" t="s">
        <v>456</v>
      </c>
      <c r="B159" s="772" t="s">
        <v>1954</v>
      </c>
      <c r="C159" s="773" t="s">
        <v>1413</v>
      </c>
      <c r="D159" s="774" t="s">
        <v>1414</v>
      </c>
      <c r="E159" s="775"/>
      <c r="F159" s="1792">
        <f>SUM('Revenues 9-14'!C253)</f>
        <v>0</v>
      </c>
      <c r="G159" s="738"/>
    </row>
    <row r="160" spans="1:7" s="703" customFormat="1" x14ac:dyDescent="0.2">
      <c r="A160" s="771" t="s">
        <v>497</v>
      </c>
      <c r="B160" s="772" t="s">
        <v>1955</v>
      </c>
      <c r="C160" s="773" t="s">
        <v>1452</v>
      </c>
      <c r="D160" s="774" t="s">
        <v>1453</v>
      </c>
      <c r="E160" s="775"/>
      <c r="F160" s="1792">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792">
        <f>SUM('Revenues 9-14'!C256,'Revenues 9-14'!F256,'Revenues 9-14'!G256)</f>
        <v>20659</v>
      </c>
      <c r="G162" s="776"/>
    </row>
    <row r="163" spans="1:7" x14ac:dyDescent="0.2">
      <c r="A163" s="760" t="s">
        <v>663</v>
      </c>
      <c r="B163" s="760" t="s">
        <v>1958</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1959</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1960</v>
      </c>
      <c r="C165" s="765">
        <f>'Revenues 9-14'!B259</f>
        <v>4932</v>
      </c>
      <c r="D165" s="766" t="str">
        <f>'Revenues 9-14'!A259</f>
        <v>Title II - Teacher Quality</v>
      </c>
      <c r="E165" s="739"/>
      <c r="F165" s="1791">
        <f>SUM('Revenues 9-14'!C259,'Revenues 9-14'!D259,'Revenues 9-14'!F259,'Revenues 9-14'!G259)</f>
        <v>0</v>
      </c>
      <c r="G165" s="763"/>
    </row>
    <row r="166" spans="1:7" x14ac:dyDescent="0.2">
      <c r="A166" s="760" t="s">
        <v>663</v>
      </c>
      <c r="B166" s="760" t="s">
        <v>1961</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1906</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1907</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1962</v>
      </c>
      <c r="C169" s="765">
        <f>'Revenues 9-14'!B263</f>
        <v>4991</v>
      </c>
      <c r="D169" s="766" t="str">
        <f>'Revenues 9-14'!A263</f>
        <v>Medicaid Matching Funds - Administrative Outreach</v>
      </c>
      <c r="E169" s="739"/>
      <c r="F169" s="1792">
        <f>SUM('Revenues 9-14'!C263:D263,'Revenues 9-14'!F263:G263)</f>
        <v>73924</v>
      </c>
      <c r="G169" s="780">
        <v>6320</v>
      </c>
    </row>
    <row r="170" spans="1:7" x14ac:dyDescent="0.2">
      <c r="A170" s="760" t="s">
        <v>663</v>
      </c>
      <c r="B170" s="760" t="s">
        <v>1963</v>
      </c>
      <c r="C170" s="765">
        <f>'Revenues 9-14'!B264</f>
        <v>4992</v>
      </c>
      <c r="D170" s="766" t="str">
        <f>'Revenues 9-14'!A264</f>
        <v>Medicaid Matching Funds - Fee-for-Service Program</v>
      </c>
      <c r="E170" s="739"/>
      <c r="F170" s="1792">
        <f>SUM('Revenues 9-14'!C264:D264,'Revenues 9-14'!F264:G264)</f>
        <v>177205</v>
      </c>
      <c r="G170" s="780"/>
    </row>
    <row r="171" spans="1:7" x14ac:dyDescent="0.2">
      <c r="A171" s="781" t="s">
        <v>663</v>
      </c>
      <c r="B171" s="777" t="s">
        <v>1964</v>
      </c>
      <c r="C171" s="778">
        <f>'Revenues 9-14'!B265</f>
        <v>4998</v>
      </c>
      <c r="D171" s="779" t="str">
        <f>'Revenues 9-14'!A265</f>
        <v>Other Restricted Revenue from Federal Sources (Describe &amp; Itemize)</v>
      </c>
      <c r="E171" s="739"/>
      <c r="F171" s="1792">
        <f>SUM('Revenues 9-14'!C265:D265,'Revenues 9-14'!F265:G265)</f>
        <v>276734</v>
      </c>
      <c r="G171" s="760"/>
    </row>
    <row r="172" spans="1:7" x14ac:dyDescent="0.2">
      <c r="A172" s="1528" t="s">
        <v>5</v>
      </c>
      <c r="B172" s="1529" t="s">
        <v>1887</v>
      </c>
      <c r="C172" s="1530">
        <v>3100</v>
      </c>
      <c r="D172" s="1531" t="s">
        <v>1889</v>
      </c>
      <c r="E172" s="739"/>
      <c r="F172" s="1793">
        <v>1500328</v>
      </c>
      <c r="G172" s="760"/>
    </row>
    <row r="173" spans="1:7" x14ac:dyDescent="0.2">
      <c r="A173" s="1528" t="s">
        <v>659</v>
      </c>
      <c r="B173" s="1529" t="s">
        <v>1887</v>
      </c>
      <c r="C173" s="1530">
        <v>3300</v>
      </c>
      <c r="D173" s="1531" t="s">
        <v>1890</v>
      </c>
      <c r="E173" s="739"/>
      <c r="F173" s="1793">
        <v>14444</v>
      </c>
      <c r="G173" s="760"/>
    </row>
    <row r="174" spans="1:7" ht="6" customHeight="1" x14ac:dyDescent="0.2">
      <c r="A174" s="760"/>
      <c r="B174" s="760"/>
      <c r="C174" s="782"/>
      <c r="D174" s="760"/>
      <c r="E174" s="739"/>
      <c r="F174" s="1794"/>
      <c r="G174" s="780"/>
    </row>
    <row r="175" spans="1:7" x14ac:dyDescent="0.2">
      <c r="A175" s="1442"/>
      <c r="B175" s="1452"/>
      <c r="C175" s="1453"/>
      <c r="D175" s="1454" t="s">
        <v>2018</v>
      </c>
      <c r="E175" s="1455" t="s">
        <v>952</v>
      </c>
      <c r="F175" s="1795">
        <f>SUM(F85:F133,F158:F173)</f>
        <v>5788739</v>
      </c>
    </row>
    <row r="176" spans="1:7" ht="12" customHeight="1" x14ac:dyDescent="0.2">
      <c r="A176" s="1442"/>
      <c r="B176" s="1452"/>
      <c r="C176" s="1453"/>
      <c r="D176" s="1454" t="s">
        <v>2016</v>
      </c>
      <c r="E176" s="1455"/>
      <c r="F176" s="1792">
        <f>'PCTC-OEPP 27-28'!F78-F175</f>
        <v>36307492</v>
      </c>
    </row>
    <row r="177" spans="1:9" ht="12" customHeight="1" x14ac:dyDescent="0.2">
      <c r="A177" s="1442"/>
      <c r="B177" s="1452"/>
      <c r="C177" s="1453"/>
      <c r="D177" s="1454" t="s">
        <v>1796</v>
      </c>
      <c r="E177" s="1455"/>
      <c r="F177" s="1792">
        <f>'Cap Outlay Deprec 26'!I18</f>
        <v>3902208</v>
      </c>
    </row>
    <row r="178" spans="1:9" ht="12" customHeight="1" x14ac:dyDescent="0.2">
      <c r="A178" s="1442"/>
      <c r="B178" s="1452"/>
      <c r="C178" s="1453"/>
      <c r="D178" s="1454" t="s">
        <v>2017</v>
      </c>
      <c r="E178" s="1455"/>
      <c r="F178" s="1792">
        <f>F176+F177</f>
        <v>40209700</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3548.1</v>
      </c>
      <c r="G179" s="763"/>
      <c r="I179" s="701"/>
    </row>
    <row r="180" spans="1:9" ht="12" customHeight="1" thickBot="1" x14ac:dyDescent="0.25">
      <c r="A180" s="1442"/>
      <c r="B180" s="1456"/>
      <c r="C180" s="1453"/>
      <c r="D180" s="1454" t="s">
        <v>2019</v>
      </c>
      <c r="E180" s="1455" t="s">
        <v>1531</v>
      </c>
      <c r="F180" s="1797">
        <f>F178/F179</f>
        <v>11332.74146726417</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1892</v>
      </c>
      <c r="B186" s="1535"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9" sqref="B19"/>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1809</v>
      </c>
      <c r="B1" s="1859"/>
      <c r="C1" s="1860"/>
      <c r="D1" s="1860"/>
      <c r="E1" s="1860"/>
      <c r="F1" s="1860"/>
    </row>
    <row r="2" spans="1:6" x14ac:dyDescent="0.25">
      <c r="A2" s="1862"/>
      <c r="B2" s="1863"/>
      <c r="C2" s="1912" t="s">
        <v>2005</v>
      </c>
      <c r="D2" s="1862"/>
      <c r="E2" s="1862"/>
      <c r="F2" s="1862"/>
    </row>
    <row r="3" spans="1:6" ht="5.25" customHeight="1" x14ac:dyDescent="0.25">
      <c r="A3" s="1864"/>
      <c r="B3" s="1865"/>
      <c r="C3" s="1864"/>
      <c r="D3" s="1864"/>
      <c r="E3" s="1864"/>
      <c r="F3" s="1864"/>
    </row>
    <row r="4" spans="1:6" ht="18.75" customHeight="1" x14ac:dyDescent="0.25">
      <c r="A4" s="2607" t="s">
        <v>1797</v>
      </c>
      <c r="B4" s="2608"/>
      <c r="C4" s="2608"/>
      <c r="D4" s="2608"/>
      <c r="E4" s="2608"/>
      <c r="F4" s="2609"/>
    </row>
    <row r="5" spans="1:6" x14ac:dyDescent="0.25">
      <c r="A5" s="2610"/>
      <c r="B5" s="2611"/>
      <c r="C5" s="2611"/>
      <c r="D5" s="2611"/>
      <c r="E5" s="2611"/>
      <c r="F5" s="2612"/>
    </row>
    <row r="6" spans="1:6" ht="18.75" x14ac:dyDescent="0.25">
      <c r="A6" s="1866" t="s">
        <v>1798</v>
      </c>
      <c r="B6" s="1867"/>
      <c r="C6" s="1868"/>
      <c r="D6" s="1868"/>
      <c r="E6" s="1868"/>
      <c r="F6" s="1869"/>
    </row>
    <row r="7" spans="1:6" ht="47.25" customHeight="1" x14ac:dyDescent="0.25">
      <c r="A7" s="2613" t="s">
        <v>1987</v>
      </c>
      <c r="B7" s="2614"/>
      <c r="C7" s="2614"/>
      <c r="D7" s="2614"/>
      <c r="E7" s="2614"/>
      <c r="F7" s="2615"/>
    </row>
    <row r="8" spans="1:6" ht="20.25" customHeight="1" x14ac:dyDescent="0.25">
      <c r="A8" s="1901" t="s">
        <v>1989</v>
      </c>
      <c r="B8" s="1902"/>
      <c r="C8" s="1902"/>
      <c r="D8" s="1902"/>
      <c r="E8" s="1870"/>
      <c r="F8" s="1871"/>
    </row>
    <row r="9" spans="1:6" ht="18" customHeight="1" x14ac:dyDescent="0.25">
      <c r="A9" s="1872" t="s">
        <v>1986</v>
      </c>
      <c r="B9" s="1874"/>
      <c r="C9" s="1874"/>
      <c r="D9" s="1874"/>
      <c r="E9" s="1870"/>
      <c r="F9" s="1871"/>
    </row>
    <row r="10" spans="1:6" ht="15.75" customHeight="1" x14ac:dyDescent="0.25">
      <c r="A10" s="2616" t="s">
        <v>1983</v>
      </c>
      <c r="B10" s="2617"/>
      <c r="C10" s="2617"/>
      <c r="D10" s="2617"/>
      <c r="E10" s="2617"/>
      <c r="F10" s="2618"/>
    </row>
    <row r="11" spans="1:6" ht="33" customHeight="1" x14ac:dyDescent="0.25">
      <c r="A11" s="2613" t="s">
        <v>1988</v>
      </c>
      <c r="B11" s="2614"/>
      <c r="C11" s="2614"/>
      <c r="D11" s="2614"/>
      <c r="E11" s="2614"/>
      <c r="F11" s="2615"/>
    </row>
    <row r="12" spans="1:6" ht="15" customHeight="1" x14ac:dyDescent="0.25">
      <c r="A12" s="1872" t="s">
        <v>1984</v>
      </c>
      <c r="B12" s="1873"/>
      <c r="C12" s="1874"/>
      <c r="D12" s="1874"/>
      <c r="E12" s="1874"/>
      <c r="F12" s="1875"/>
    </row>
    <row r="13" spans="1:6" ht="17.25" customHeight="1" x14ac:dyDescent="0.25">
      <c r="A13" s="2613" t="s">
        <v>1985</v>
      </c>
      <c r="B13" s="2614"/>
      <c r="C13" s="2614"/>
      <c r="D13" s="2614"/>
      <c r="E13" s="2614"/>
      <c r="F13" s="2615"/>
    </row>
    <row r="14" spans="1:6" ht="15" customHeight="1" x14ac:dyDescent="0.25">
      <c r="A14" s="1872" t="s">
        <v>1802</v>
      </c>
      <c r="B14" s="1873"/>
      <c r="C14" s="1874"/>
      <c r="D14" s="1874"/>
      <c r="E14" s="1874"/>
      <c r="F14" s="1875"/>
    </row>
    <row r="15" spans="1:6" ht="32.25" customHeight="1" x14ac:dyDescent="0.25">
      <c r="A15" s="260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605"/>
      <c r="C15" s="2605"/>
      <c r="D15" s="2605"/>
      <c r="E15" s="2605"/>
      <c r="F15" s="2606"/>
    </row>
    <row r="16" spans="1:6" ht="61.5" customHeight="1" x14ac:dyDescent="0.25">
      <c r="A16" s="1876" t="s">
        <v>1803</v>
      </c>
      <c r="B16" s="1877" t="s">
        <v>1804</v>
      </c>
      <c r="C16" s="1876" t="s">
        <v>1805</v>
      </c>
      <c r="D16" s="1878" t="s">
        <v>1806</v>
      </c>
      <c r="E16" s="1878" t="s">
        <v>1807</v>
      </c>
      <c r="F16" s="1878" t="s">
        <v>1808</v>
      </c>
    </row>
    <row r="17" spans="1:7" x14ac:dyDescent="0.25">
      <c r="A17" s="1879" t="s">
        <v>1810</v>
      </c>
      <c r="B17" s="1906" t="s">
        <v>1801</v>
      </c>
      <c r="C17" s="1880" t="s">
        <v>1799</v>
      </c>
      <c r="D17" s="1881">
        <v>500000</v>
      </c>
      <c r="E17" s="1881" t="str">
        <f>IF(D17&lt;25000,D17,"25,000")</f>
        <v>25,000</v>
      </c>
      <c r="F17" s="1882">
        <f>IF(D17&gt;=25000,(D17-E17),"0")</f>
        <v>475000</v>
      </c>
    </row>
    <row r="18" spans="1:7" x14ac:dyDescent="0.25">
      <c r="A18" s="2034" t="s">
        <v>2074</v>
      </c>
      <c r="B18" s="1907">
        <v>402550300</v>
      </c>
      <c r="C18" s="2035" t="s">
        <v>2076</v>
      </c>
      <c r="D18" s="1885">
        <v>42305</v>
      </c>
      <c r="E18" s="1905" t="str">
        <f t="shared" ref="E18:E81" si="0">IF(D18&lt;25000,D18,"25,000")</f>
        <v>25,000</v>
      </c>
      <c r="F18" s="1905">
        <f t="shared" ref="F18:F81" si="1">IF(D18&gt;=25000,(D18-E18),"0")</f>
        <v>17305</v>
      </c>
      <c r="G18" s="1886"/>
    </row>
    <row r="19" spans="1:7" x14ac:dyDescent="0.25">
      <c r="A19" s="2034" t="s">
        <v>2075</v>
      </c>
      <c r="B19" s="1907">
        <v>202540300</v>
      </c>
      <c r="C19" s="2035" t="s">
        <v>2077</v>
      </c>
      <c r="D19" s="1885">
        <v>192578.93</v>
      </c>
      <c r="E19" s="1905" t="str">
        <f t="shared" si="0"/>
        <v>25,000</v>
      </c>
      <c r="F19" s="1905">
        <f t="shared" si="1"/>
        <v>167578.93</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234883.93</v>
      </c>
      <c r="E142" s="1892">
        <f>SUM(E18:E141)</f>
        <v>0</v>
      </c>
      <c r="F142" s="1893">
        <f>SUM(F18:F141)</f>
        <v>184883.93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1107</v>
      </c>
      <c r="B1" s="1369"/>
      <c r="C1" s="1370"/>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619" t="s">
        <v>1663</v>
      </c>
      <c r="B5" s="2620"/>
      <c r="C5" s="2620"/>
      <c r="D5" s="2620"/>
      <c r="E5" s="2620"/>
      <c r="F5" s="2620"/>
      <c r="G5" s="2621"/>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1896</v>
      </c>
      <c r="B10" s="803"/>
      <c r="C10" s="807"/>
      <c r="D10" s="804"/>
      <c r="E10" s="1799">
        <v>94123</v>
      </c>
      <c r="F10" s="805"/>
      <c r="G10" s="806"/>
      <c r="H10" s="157"/>
      <c r="I10" s="157"/>
    </row>
    <row r="11" spans="1:13" s="542" customFormat="1" ht="22.5" customHeight="1" x14ac:dyDescent="0.2">
      <c r="A11" s="262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625"/>
      <c r="C11" s="2625"/>
      <c r="D11" s="2626"/>
      <c r="E11" s="1800"/>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27660118</v>
      </c>
      <c r="F19" s="1801"/>
      <c r="G19" s="1803">
        <f>'Expenditures 15-22'!K33-SUM('Expenditures 15-22'!G33,'Expenditures 15-22'!I33)+'Expenditures 15-22'!D229</f>
        <v>27660118</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3761397</v>
      </c>
      <c r="F21" s="1804"/>
      <c r="G21" s="1807">
        <f>'Expenditures 15-22'!K42-SUM('Expenditures 15-22'!G42,'Expenditures 15-22'!I42)+'Expenditures 15-22'!K120-SUM('Expenditures 15-22'!G120,'Expenditures 15-22'!I120)+'Expenditures 15-22'!K180-SUM('Expenditures 15-22'!G180,'Expenditures 15-22'!I180)+'Expenditures 15-22'!D238</f>
        <v>3761397</v>
      </c>
      <c r="H21" s="817"/>
      <c r="I21" s="157"/>
    </row>
    <row r="22" spans="1:9" s="542" customFormat="1" ht="12" customHeight="1" x14ac:dyDescent="0.2">
      <c r="A22" s="824" t="s">
        <v>560</v>
      </c>
      <c r="B22" s="825"/>
      <c r="C22" s="823">
        <v>2200</v>
      </c>
      <c r="D22" s="1804"/>
      <c r="E22" s="1806">
        <f>'Expenditures 15-22'!K47-SUM('Expenditures 15-22'!G47,'Expenditures 15-22'!I47)+'Expenditures 15-22'!D243</f>
        <v>2878710</v>
      </c>
      <c r="F22" s="1804"/>
      <c r="G22" s="1807">
        <f>'Expenditures 15-22'!K47-SUM('Expenditures 15-22'!G47,'Expenditures 15-22'!I47)+'Expenditures 15-22'!D243</f>
        <v>2878710</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1073246</v>
      </c>
      <c r="F23" s="1804"/>
      <c r="G23" s="1806">
        <f>'Expenditures 15-22'!K53-SUM('Expenditures 15-22'!G53,'Expenditures 15-22'!I53)+'Expenditures 15-22'!D257+'Expenditures 15-22'!K330-SUM('Expenditures 15-22'!G330,'Expenditures 15-22'!I330)</f>
        <v>1073246</v>
      </c>
      <c r="H23" s="817"/>
      <c r="I23" s="157"/>
    </row>
    <row r="24" spans="1:9" s="542" customFormat="1" ht="12" customHeight="1" x14ac:dyDescent="0.2">
      <c r="A24" s="824" t="s">
        <v>562</v>
      </c>
      <c r="B24" s="825"/>
      <c r="C24" s="823">
        <v>2400</v>
      </c>
      <c r="D24" s="1804"/>
      <c r="E24" s="1806">
        <f>'Expenditures 15-22'!K57-SUM('Expenditures 15-22'!G57,'Expenditures 15-22'!I57)+'Expenditures 15-22'!D261</f>
        <v>1877339</v>
      </c>
      <c r="F24" s="1804"/>
      <c r="G24" s="1807">
        <f>'Expenditures 15-22'!K57-SUM('Expenditures 15-22'!G57,'Expenditures 15-22'!I57)+'Expenditures 15-22'!D261</f>
        <v>1877339</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487930</v>
      </c>
      <c r="E27" s="1806">
        <f>E8</f>
        <v>0</v>
      </c>
      <c r="F27" s="1806">
        <f>'Expenditures 15-22'!K60-SUM('Expenditures 15-22'!G60,'Expenditures 15-22'!I60)+'Expenditures 15-22'!D264-E8</f>
        <v>487930</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2954658</v>
      </c>
      <c r="F28" s="1808">
        <f>'Expenditures 15-22'!K61-SUM('Expenditures 15-22'!G61,'Expenditures 15-22'!I61)+'Expenditures 15-22'!K124-SUM('Expenditures 15-22'!G124,'Expenditures 15-22'!I124)+'Expenditures 15-22'!D266-E9</f>
        <v>2954658</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1430912</v>
      </c>
      <c r="F29" s="1804"/>
      <c r="G29" s="1807">
        <f>'Expenditures 15-22'!K62-SUM('Expenditures 15-22'!G62,'Expenditures 15-22'!I62)+'Expenditures 15-22'!K125-SUM('Expenditures 15-22'!G125,'Expenditures 15-22'!I125)+'Expenditures 15-22'!K182-SUM('Expenditures 15-22'!G182,'Expenditures 15-22'!I182)+'Expenditures 15-22'!D267</f>
        <v>1430912</v>
      </c>
      <c r="H29" s="815"/>
    </row>
    <row r="30" spans="1:9" ht="12" customHeight="1" x14ac:dyDescent="0.2">
      <c r="A30" s="824" t="s">
        <v>100</v>
      </c>
      <c r="B30" s="827"/>
      <c r="C30" s="823">
        <v>2560</v>
      </c>
      <c r="D30" s="1804"/>
      <c r="E30" s="1806">
        <f>'Expenditures 15-22'!K63-SUM('Expenditures 15-22'!G63,'Expenditures 15-22'!I63)+'Expenditures 15-22'!D268-E10</f>
        <v>0</v>
      </c>
      <c r="F30" s="1804"/>
      <c r="G30" s="1806">
        <f>'Expenditures 15-22'!K63-SUM('Expenditures 15-22'!G63,'Expenditures 15-22'!I63)+'Expenditures 15-22'!D268-E10</f>
        <v>0</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7444</v>
      </c>
      <c r="F33" s="1804"/>
      <c r="G33" s="1806">
        <f>'Expenditures 15-22'!K67-SUM('Expenditures 15-22'!G67,'Expenditures 15-22'!I67)+'Expenditures 15-22'!D272</f>
        <v>7444</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111583</v>
      </c>
      <c r="F39" s="1804"/>
      <c r="G39" s="1806">
        <f>'Expenditures 15-22'!K75-SUM('Expenditures 15-22'!G75,'Expenditures 15-22'!I75)+'Expenditures 15-22'!K130-SUM('Expenditures 15-22'!G130,'Expenditures 15-22'!I130)+'Expenditures 15-22'!K185-SUM('Expenditures 15-22'!G185,'Expenditures 15-22'!I185)+'Expenditures 15-22'!D280</f>
        <v>111583</v>
      </c>
    </row>
    <row r="40" spans="1:7" ht="12" customHeight="1" x14ac:dyDescent="0.2">
      <c r="A40" s="820" t="s">
        <v>1800</v>
      </c>
      <c r="B40" s="821"/>
      <c r="C40" s="823"/>
      <c r="D40" s="1804"/>
      <c r="E40" s="1808">
        <f>-'Contracts Paid in CY 29'!F142</f>
        <v>-184883.93</v>
      </c>
      <c r="F40" s="1804"/>
      <c r="G40" s="1808">
        <f>-'Contracts Paid in CY 29'!F142</f>
        <v>-184883.93</v>
      </c>
    </row>
    <row r="41" spans="1:7" ht="12" customHeight="1" x14ac:dyDescent="0.2">
      <c r="A41" s="828" t="s">
        <v>155</v>
      </c>
      <c r="B41" s="829"/>
      <c r="C41" s="830"/>
      <c r="D41" s="1808">
        <f>SUM(D19:D39)</f>
        <v>487930</v>
      </c>
      <c r="E41" s="1808">
        <f>SUM(E19:E40)</f>
        <v>41570523.07</v>
      </c>
      <c r="F41" s="1808">
        <f>SUM(F19:F39)</f>
        <v>3442588</v>
      </c>
      <c r="G41" s="1808">
        <f>SUM(G19:G40)</f>
        <v>38615865.07</v>
      </c>
    </row>
    <row r="42" spans="1:7" x14ac:dyDescent="0.2">
      <c r="A42" s="817"/>
      <c r="B42" s="157"/>
      <c r="C42" s="831"/>
      <c r="D42" s="2622" t="s">
        <v>519</v>
      </c>
      <c r="E42" s="2623"/>
      <c r="F42" s="832" t="s">
        <v>520</v>
      </c>
      <c r="G42" s="833"/>
    </row>
    <row r="43" spans="1:7" ht="12" customHeight="1" x14ac:dyDescent="0.2">
      <c r="A43" s="817"/>
      <c r="B43" s="157"/>
      <c r="C43" s="831"/>
      <c r="D43" s="1457" t="s">
        <v>470</v>
      </c>
      <c r="E43" s="1809">
        <f>D41</f>
        <v>487930</v>
      </c>
      <c r="F43" s="1457" t="s">
        <v>470</v>
      </c>
      <c r="G43" s="1809">
        <f>F41</f>
        <v>3442588</v>
      </c>
    </row>
    <row r="44" spans="1:7" ht="12" customHeight="1" x14ac:dyDescent="0.2">
      <c r="A44" s="817"/>
      <c r="B44" s="157"/>
      <c r="C44" s="831"/>
      <c r="D44" s="1457" t="s">
        <v>471</v>
      </c>
      <c r="E44" s="1809">
        <f>E41</f>
        <v>41570523.07</v>
      </c>
      <c r="F44" s="1457" t="s">
        <v>471</v>
      </c>
      <c r="G44" s="1809">
        <f>G41</f>
        <v>38615865.07</v>
      </c>
    </row>
    <row r="45" spans="1:7" ht="12" customHeight="1" x14ac:dyDescent="0.2">
      <c r="A45" s="817"/>
      <c r="B45" s="157"/>
      <c r="C45" s="157"/>
      <c r="D45" s="1458" t="s">
        <v>999</v>
      </c>
      <c r="E45" s="1810">
        <f>(E43/E44)</f>
        <v>1.1737403428347094E-2</v>
      </c>
      <c r="F45" s="1458" t="s">
        <v>999</v>
      </c>
      <c r="G45" s="1810">
        <f>(G43/G44)</f>
        <v>8.9149576055321547E-2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C40" sqref="C40:F40"/>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641" t="s">
        <v>1365</v>
      </c>
      <c r="B1" s="2641"/>
      <c r="C1" s="2641"/>
      <c r="D1" s="2641"/>
      <c r="E1" s="2641"/>
      <c r="F1" s="2641"/>
    </row>
    <row r="2" spans="1:15" x14ac:dyDescent="0.2">
      <c r="A2" s="1512" t="s">
        <v>1880</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642" t="s">
        <v>1532</v>
      </c>
      <c r="B5" s="2643"/>
      <c r="C5" s="2644"/>
      <c r="D5" s="2644"/>
      <c r="E5" s="2644"/>
      <c r="F5" s="2644"/>
      <c r="G5" s="1506"/>
      <c r="L5" s="1506"/>
      <c r="M5" s="1854"/>
      <c r="N5" s="1854"/>
      <c r="O5" s="1854"/>
    </row>
    <row r="6" spans="1:15" ht="12" customHeight="1" x14ac:dyDescent="0.25">
      <c r="A6" s="1479"/>
      <c r="B6" s="1480"/>
      <c r="C6" s="2645" t="str">
        <f>COVER!A17</f>
        <v xml:space="preserve"> Kirby SD 140</v>
      </c>
      <c r="D6" s="2645"/>
      <c r="E6" s="2645"/>
      <c r="F6" s="1481"/>
      <c r="G6" s="1506"/>
      <c r="L6" s="1506"/>
      <c r="M6" s="1854"/>
      <c r="N6" s="1854"/>
      <c r="O6" s="1854"/>
    </row>
    <row r="7" spans="1:15" ht="11.25" customHeight="1" thickBot="1" x14ac:dyDescent="0.3">
      <c r="A7" s="1479"/>
      <c r="B7" s="1480"/>
      <c r="C7" s="2646">
        <f>COVER!A13</f>
        <v>7016140002</v>
      </c>
      <c r="D7" s="2646"/>
      <c r="E7" s="2646"/>
      <c r="F7" s="1481"/>
      <c r="G7" s="1506"/>
      <c r="L7" s="1506"/>
      <c r="M7" s="1854"/>
      <c r="N7" s="1854"/>
      <c r="O7" s="1854"/>
    </row>
    <row r="8" spans="1:15" ht="25.5" customHeight="1" thickBot="1" x14ac:dyDescent="0.25">
      <c r="A8" s="1518" t="s">
        <v>1876</v>
      </c>
      <c r="B8" s="1482"/>
      <c r="C8" s="1514" t="s">
        <v>1665</v>
      </c>
      <c r="D8" s="1513" t="s">
        <v>1666</v>
      </c>
      <c r="E8" s="1515" t="s">
        <v>1366</v>
      </c>
      <c r="F8" s="1513" t="s">
        <v>1667</v>
      </c>
      <c r="G8" s="1506"/>
      <c r="H8" s="1483" t="b">
        <v>0</v>
      </c>
      <c r="L8" s="1506"/>
      <c r="M8" s="1854"/>
      <c r="N8" s="1854"/>
      <c r="O8" s="1854"/>
    </row>
    <row r="9" spans="1:15" ht="15.75" customHeight="1" x14ac:dyDescent="0.2">
      <c r="A9" s="1484" t="s">
        <v>1528</v>
      </c>
      <c r="B9" s="1485"/>
      <c r="C9" s="1486"/>
      <c r="D9" s="1486"/>
      <c r="E9" s="1487"/>
      <c r="F9" s="1488"/>
      <c r="G9" s="1506"/>
      <c r="L9" s="1506"/>
      <c r="M9" s="1854"/>
      <c r="N9" s="1854"/>
      <c r="O9" s="1854"/>
    </row>
    <row r="10" spans="1:15" ht="27.75" customHeight="1" x14ac:dyDescent="0.2">
      <c r="A10" s="1489" t="s">
        <v>1664</v>
      </c>
      <c r="B10" s="1490"/>
      <c r="C10" s="1491"/>
      <c r="D10" s="1491"/>
      <c r="E10" s="1516" t="s">
        <v>1367</v>
      </c>
      <c r="F10" s="1517" t="s">
        <v>1368</v>
      </c>
      <c r="G10" s="1506"/>
      <c r="L10" s="1506"/>
      <c r="M10" s="1854"/>
      <c r="N10" s="1854"/>
      <c r="O10" s="1854"/>
    </row>
    <row r="11" spans="1:15" ht="12" customHeight="1" x14ac:dyDescent="0.2">
      <c r="A11" s="1492" t="s">
        <v>1369</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1370</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1371</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1372</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1373</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1374</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1375</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1376</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1513</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1514</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1515</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1516</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1517</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1518</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1519</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1520</v>
      </c>
      <c r="B26" s="1493"/>
      <c r="C26" s="1494" t="s">
        <v>2053</v>
      </c>
      <c r="D26" s="1494" t="s">
        <v>2053</v>
      </c>
      <c r="E26" s="1497"/>
      <c r="F26" s="1496" t="s">
        <v>2065</v>
      </c>
      <c r="G26" s="1506"/>
      <c r="H26" s="1506">
        <f t="shared" si="0"/>
        <v>5</v>
      </c>
      <c r="I26" s="1506">
        <f t="shared" si="1"/>
        <v>5</v>
      </c>
      <c r="J26" s="1506">
        <f t="shared" si="2"/>
        <v>0</v>
      </c>
      <c r="L26" s="1506"/>
      <c r="M26" s="1854"/>
      <c r="N26" s="1854"/>
      <c r="O26" s="1854"/>
    </row>
    <row r="27" spans="1:15" ht="18.75" x14ac:dyDescent="0.2">
      <c r="A27" s="1492" t="s">
        <v>1521</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1522</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1523</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1524</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1525</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1526</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1527</v>
      </c>
      <c r="B33" s="1493"/>
      <c r="C33" s="1494" t="s">
        <v>2053</v>
      </c>
      <c r="D33" s="1494" t="s">
        <v>2053</v>
      </c>
      <c r="E33" s="1497"/>
      <c r="F33" s="1496" t="s">
        <v>2066</v>
      </c>
      <c r="G33" s="1506"/>
      <c r="H33" s="1506">
        <f t="shared" si="0"/>
        <v>5</v>
      </c>
      <c r="I33" s="1506">
        <f t="shared" si="1"/>
        <v>5</v>
      </c>
      <c r="J33" s="1506">
        <f t="shared" si="2"/>
        <v>0</v>
      </c>
      <c r="L33" s="1506"/>
      <c r="M33" s="1854"/>
      <c r="N33" s="1854"/>
      <c r="O33" s="1854"/>
    </row>
    <row r="34" spans="1:15" ht="12" customHeight="1" x14ac:dyDescent="0.25">
      <c r="A34" s="1498"/>
      <c r="B34" s="1498"/>
      <c r="C34" s="1498"/>
      <c r="D34" s="1498"/>
      <c r="E34" s="1498"/>
      <c r="F34" s="1498"/>
      <c r="G34" s="1506"/>
      <c r="H34" s="1506">
        <f>SUM(H11:H32)</f>
        <v>5</v>
      </c>
      <c r="I34" s="1506">
        <f>SUM(I11:I32)</f>
        <v>5</v>
      </c>
      <c r="J34" s="1506">
        <f>SUM(J11:J32)</f>
        <v>0</v>
      </c>
      <c r="K34" s="1506">
        <f>SUM(H34:J34)</f>
        <v>10</v>
      </c>
      <c r="L34" s="1506"/>
      <c r="M34" s="1854"/>
      <c r="N34" s="1854"/>
      <c r="O34" s="1854"/>
    </row>
    <row r="35" spans="1:15" ht="12" customHeight="1" x14ac:dyDescent="0.2">
      <c r="A35" s="1499" t="s">
        <v>1378</v>
      </c>
      <c r="B35" s="1500"/>
      <c r="C35" s="2647"/>
      <c r="D35" s="2647"/>
      <c r="E35" s="2647"/>
      <c r="F35" s="2648"/>
    </row>
    <row r="36" spans="1:15" ht="12" customHeight="1" x14ac:dyDescent="0.2">
      <c r="A36" s="2630"/>
      <c r="B36" s="2631"/>
      <c r="C36" s="2631"/>
      <c r="D36" s="2631"/>
      <c r="E36" s="2631"/>
      <c r="F36" s="2632"/>
    </row>
    <row r="37" spans="1:15" ht="12" customHeight="1" x14ac:dyDescent="0.2">
      <c r="A37" s="2630"/>
      <c r="B37" s="2631"/>
      <c r="C37" s="2631"/>
      <c r="D37" s="2631"/>
      <c r="E37" s="2631"/>
      <c r="F37" s="2632"/>
    </row>
    <row r="38" spans="1:15" ht="12" customHeight="1" x14ac:dyDescent="0.2">
      <c r="A38" s="2633"/>
      <c r="B38" s="2634"/>
      <c r="C38" s="2634"/>
      <c r="D38" s="2634"/>
      <c r="E38" s="2634"/>
      <c r="F38" s="2635"/>
    </row>
    <row r="39" spans="1:15" ht="4.5" hidden="1" customHeight="1" x14ac:dyDescent="0.2">
      <c r="A39" s="1501"/>
      <c r="B39" s="1501"/>
      <c r="C39" s="1501"/>
      <c r="D39" s="1501"/>
      <c r="E39" s="1501"/>
      <c r="F39" s="1501"/>
    </row>
    <row r="40" spans="1:15" s="1498" customFormat="1" ht="12" customHeight="1" x14ac:dyDescent="0.25">
      <c r="A40" s="1502" t="s">
        <v>1377</v>
      </c>
      <c r="B40" s="1503"/>
      <c r="C40" s="2636"/>
      <c r="D40" s="2636"/>
      <c r="E40" s="2636"/>
      <c r="F40" s="2637"/>
      <c r="H40" s="1507"/>
      <c r="I40" s="1507"/>
      <c r="J40" s="1507"/>
      <c r="K40" s="1507"/>
    </row>
    <row r="41" spans="1:15" s="1498" customFormat="1" ht="12" customHeight="1" x14ac:dyDescent="0.25">
      <c r="A41" s="2638"/>
      <c r="B41" s="2639"/>
      <c r="C41" s="2639"/>
      <c r="D41" s="2639"/>
      <c r="E41" s="2639"/>
      <c r="F41" s="2640"/>
      <c r="H41" s="1507"/>
      <c r="I41" s="1507"/>
      <c r="J41" s="1507"/>
      <c r="K41" s="1507"/>
    </row>
    <row r="42" spans="1:15" s="1498" customFormat="1" ht="12" customHeight="1" x14ac:dyDescent="0.25">
      <c r="A42" s="2638"/>
      <c r="B42" s="2639"/>
      <c r="C42" s="2639"/>
      <c r="D42" s="2639"/>
      <c r="E42" s="2639"/>
      <c r="F42" s="2640"/>
      <c r="H42" s="1507"/>
      <c r="I42" s="1507"/>
      <c r="J42" s="1507"/>
      <c r="K42" s="1507"/>
    </row>
    <row r="43" spans="1:15" s="1498" customFormat="1" ht="15" x14ac:dyDescent="0.25">
      <c r="A43" s="2627"/>
      <c r="B43" s="2628"/>
      <c r="C43" s="2628"/>
      <c r="D43" s="2628"/>
      <c r="E43" s="2628"/>
      <c r="F43" s="2629"/>
      <c r="H43" s="1507"/>
      <c r="I43" s="1507"/>
      <c r="J43" s="1507"/>
      <c r="K43" s="1507"/>
    </row>
    <row r="44" spans="1:15" s="1498" customFormat="1" ht="12" hidden="1" customHeight="1" x14ac:dyDescent="0.25">
      <c r="A44" s="2627"/>
      <c r="B44" s="2628"/>
      <c r="C44" s="2628"/>
      <c r="D44" s="2628"/>
      <c r="E44" s="2628"/>
      <c r="F44" s="2629"/>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7" sqref="I17"/>
    </sheetView>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2004</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6"/>
      <c r="C6" s="1376"/>
      <c r="D6" s="1376"/>
      <c r="E6" s="1377"/>
      <c r="F6" s="1921"/>
      <c r="G6" s="1922"/>
      <c r="H6" s="838"/>
      <c r="I6" s="1923" t="s">
        <v>1021</v>
      </c>
      <c r="J6" s="2667" t="str">
        <f>COVER!A17</f>
        <v xml:space="preserve"> Kirby SD 140</v>
      </c>
      <c r="K6" s="2667"/>
      <c r="L6" s="2681"/>
      <c r="M6" s="838"/>
      <c r="N6" s="1997"/>
    </row>
    <row r="7" spans="1:14" x14ac:dyDescent="0.2">
      <c r="A7" s="2682" t="s">
        <v>864</v>
      </c>
      <c r="B7" s="2683"/>
      <c r="C7" s="2683"/>
      <c r="D7" s="2683"/>
      <c r="E7" s="2684"/>
      <c r="F7" s="839"/>
      <c r="G7" s="838"/>
      <c r="H7" s="838"/>
      <c r="I7" s="1923" t="s">
        <v>369</v>
      </c>
      <c r="J7" s="2669">
        <f>COVER!A13</f>
        <v>7016140002</v>
      </c>
      <c r="K7" s="2669"/>
      <c r="L7" s="2669"/>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2020</v>
      </c>
      <c r="F9" s="1856"/>
      <c r="G9" s="1856"/>
      <c r="H9" s="1856"/>
      <c r="I9" s="1928" t="s">
        <v>2021</v>
      </c>
      <c r="J9" s="1856"/>
      <c r="K9" s="1856"/>
      <c r="L9" s="1857"/>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685" t="s">
        <v>478</v>
      </c>
      <c r="B11" s="2686"/>
      <c r="C11" s="2687"/>
      <c r="D11" s="1936" t="s">
        <v>866</v>
      </c>
      <c r="E11" s="1936" t="s">
        <v>64</v>
      </c>
      <c r="F11" s="1936" t="s">
        <v>6</v>
      </c>
      <c r="G11" s="1937" t="s">
        <v>2022</v>
      </c>
      <c r="H11" s="1938" t="s">
        <v>155</v>
      </c>
      <c r="I11" s="1936" t="s">
        <v>64</v>
      </c>
      <c r="J11" s="1936" t="s">
        <v>6</v>
      </c>
      <c r="K11" s="1937" t="s">
        <v>2003</v>
      </c>
      <c r="L11" s="1938" t="s">
        <v>155</v>
      </c>
      <c r="M11" s="838"/>
      <c r="N11" s="1997"/>
    </row>
    <row r="12" spans="1:14" x14ac:dyDescent="0.2">
      <c r="A12" s="2002">
        <v>1</v>
      </c>
      <c r="B12" s="1939" t="s">
        <v>813</v>
      </c>
      <c r="C12" s="842"/>
      <c r="D12" s="1940">
        <v>2320</v>
      </c>
      <c r="E12" s="1943">
        <f>'Expenditures 15-22'!K50</f>
        <v>360731</v>
      </c>
      <c r="F12" s="1941"/>
      <c r="G12" s="1967">
        <f>G68</f>
        <v>0</v>
      </c>
      <c r="H12" s="1943">
        <f t="shared" ref="H12:H18" si="0">SUM(E12:G12)</f>
        <v>360731</v>
      </c>
      <c r="I12" s="1942">
        <v>374800</v>
      </c>
      <c r="J12" s="1941"/>
      <c r="K12" s="1942"/>
      <c r="L12" s="1943">
        <f t="shared" ref="L12:L18" si="1">SUM(I12:K12)</f>
        <v>374800</v>
      </c>
      <c r="M12" s="838"/>
      <c r="N12" s="1997"/>
    </row>
    <row r="13" spans="1:14" x14ac:dyDescent="0.2">
      <c r="A13" s="2002">
        <v>2</v>
      </c>
      <c r="B13" s="1939" t="s">
        <v>42</v>
      </c>
      <c r="C13" s="842"/>
      <c r="D13" s="1940">
        <v>2330</v>
      </c>
      <c r="E13" s="1943">
        <f>'Expenditures 15-22'!K51</f>
        <v>514759</v>
      </c>
      <c r="F13" s="1941"/>
      <c r="G13" s="1967">
        <f>H68</f>
        <v>0</v>
      </c>
      <c r="H13" s="1943">
        <f t="shared" si="0"/>
        <v>514759</v>
      </c>
      <c r="I13" s="1942">
        <v>478855</v>
      </c>
      <c r="J13" s="1941"/>
      <c r="K13" s="1942"/>
      <c r="L13" s="1943">
        <f t="shared" si="1"/>
        <v>478855</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1061</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1053</v>
      </c>
      <c r="C17" s="842"/>
      <c r="D17" s="1940">
        <v>2610</v>
      </c>
      <c r="E17" s="1943">
        <f>'Expenditures 15-22'!K67</f>
        <v>7444</v>
      </c>
      <c r="F17" s="1941"/>
      <c r="G17" s="1967">
        <f>L68</f>
        <v>0</v>
      </c>
      <c r="H17" s="1943">
        <f t="shared" si="0"/>
        <v>7444</v>
      </c>
      <c r="I17" s="1942">
        <v>13000</v>
      </c>
      <c r="J17" s="1941"/>
      <c r="K17" s="1942"/>
      <c r="L17" s="1943">
        <f t="shared" si="1"/>
        <v>13000</v>
      </c>
      <c r="M17" s="838"/>
      <c r="N17" s="1997"/>
    </row>
    <row r="18" spans="1:14" ht="26.25" customHeight="1" x14ac:dyDescent="0.2">
      <c r="A18" s="2003">
        <v>7</v>
      </c>
      <c r="B18" s="2688" t="s">
        <v>7</v>
      </c>
      <c r="C18" s="2689"/>
      <c r="D18" s="2690"/>
      <c r="E18" s="1945"/>
      <c r="F18" s="1945"/>
      <c r="G18" s="1942"/>
      <c r="H18" s="1946">
        <f t="shared" si="0"/>
        <v>0</v>
      </c>
      <c r="I18" s="1942"/>
      <c r="J18" s="1942"/>
      <c r="K18" s="1942"/>
      <c r="L18" s="1943">
        <f t="shared" si="1"/>
        <v>0</v>
      </c>
      <c r="M18" s="838"/>
      <c r="N18" s="1997"/>
    </row>
    <row r="19" spans="1:14" ht="13.5" thickBot="1" x14ac:dyDescent="0.25">
      <c r="A19" s="2002">
        <v>8</v>
      </c>
      <c r="B19" s="1947" t="s">
        <v>1153</v>
      </c>
      <c r="C19" s="838"/>
      <c r="D19" s="1948"/>
      <c r="E19" s="1949">
        <f t="shared" ref="E19:L19" si="2">SUM(E12:E17)-E18</f>
        <v>882934</v>
      </c>
      <c r="F19" s="1949">
        <f t="shared" si="2"/>
        <v>0</v>
      </c>
      <c r="G19" s="1949">
        <f t="shared" ref="G19" si="3">SUM(G12:G17)-G18</f>
        <v>0</v>
      </c>
      <c r="H19" s="1949">
        <f t="shared" si="2"/>
        <v>882934</v>
      </c>
      <c r="I19" s="1949">
        <f t="shared" si="2"/>
        <v>866655</v>
      </c>
      <c r="J19" s="1949">
        <f t="shared" si="2"/>
        <v>0</v>
      </c>
      <c r="K19" s="1949">
        <f t="shared" si="2"/>
        <v>0</v>
      </c>
      <c r="L19" s="1949">
        <f t="shared" si="2"/>
        <v>866655</v>
      </c>
      <c r="M19" s="838"/>
      <c r="N19" s="1997"/>
    </row>
    <row r="20" spans="1:14" ht="13.5" thickTop="1" x14ac:dyDescent="0.2">
      <c r="A20" s="2002">
        <v>9</v>
      </c>
      <c r="B20" s="2691" t="s">
        <v>2023</v>
      </c>
      <c r="C20" s="2691"/>
      <c r="D20" s="2692"/>
      <c r="E20" s="1950"/>
      <c r="F20" s="1950"/>
      <c r="G20" s="1950"/>
      <c r="H20" s="1950"/>
      <c r="I20" s="1950"/>
      <c r="J20" s="1950"/>
      <c r="K20" s="1950"/>
      <c r="L20" s="1951">
        <f>IF(AND(H19&gt;0,L19&gt;0),(((L19-H19)/H19)),"Enter Budget Data")</f>
        <v>-1.8437391696321581E-2</v>
      </c>
      <c r="M20" s="838"/>
      <c r="N20" s="1997"/>
    </row>
    <row r="21" spans="1:14" x14ac:dyDescent="0.2">
      <c r="A21" s="2004" t="s">
        <v>194</v>
      </c>
      <c r="B21" s="2005" t="s">
        <v>2048</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2024</v>
      </c>
      <c r="B24" s="2009"/>
      <c r="C24" s="2010"/>
      <c r="D24" s="2010"/>
      <c r="E24" s="2010"/>
      <c r="F24" s="2010"/>
      <c r="G24" s="2010"/>
      <c r="H24" s="2010"/>
      <c r="I24" s="2010"/>
      <c r="J24" s="2010"/>
      <c r="K24" s="2010"/>
      <c r="L24" s="838"/>
      <c r="M24" s="838"/>
      <c r="N24" s="1997"/>
    </row>
    <row r="25" spans="1:14" x14ac:dyDescent="0.2">
      <c r="A25" s="2008" t="s">
        <v>2025</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693"/>
      <c r="D27" s="2693"/>
      <c r="E27" s="843"/>
      <c r="F27" s="2694"/>
      <c r="G27" s="2694"/>
      <c r="H27" s="2694"/>
      <c r="I27" s="838"/>
      <c r="J27" s="838"/>
      <c r="K27" s="838"/>
      <c r="L27" s="838"/>
      <c r="M27" s="838"/>
      <c r="N27" s="1997"/>
    </row>
    <row r="28" spans="1:14" x14ac:dyDescent="0.2">
      <c r="A28" s="1996"/>
      <c r="B28" s="2006"/>
      <c r="C28" s="1956" t="s">
        <v>1026</v>
      </c>
      <c r="D28" s="844"/>
      <c r="E28" s="1957"/>
      <c r="F28" s="2695" t="s">
        <v>1495</v>
      </c>
      <c r="G28" s="2695"/>
      <c r="H28" s="2695"/>
      <c r="I28" s="838"/>
      <c r="J28" s="838"/>
      <c r="K28" s="838"/>
      <c r="L28" s="838"/>
      <c r="M28" s="838"/>
      <c r="N28" s="1997"/>
    </row>
    <row r="29" spans="1:14" x14ac:dyDescent="0.2">
      <c r="A29" s="1996"/>
      <c r="B29" s="2006"/>
      <c r="C29" s="2696"/>
      <c r="D29" s="2696"/>
      <c r="E29" s="845"/>
      <c r="F29" s="2696"/>
      <c r="G29" s="2696"/>
      <c r="H29" s="2696"/>
      <c r="I29" s="838"/>
      <c r="J29" s="838"/>
      <c r="K29" s="838"/>
      <c r="L29" s="838"/>
      <c r="M29" s="838"/>
      <c r="N29" s="1997"/>
    </row>
    <row r="30" spans="1:14" x14ac:dyDescent="0.2">
      <c r="A30" s="1996"/>
      <c r="B30" s="2006"/>
      <c r="C30" s="1959" t="s">
        <v>1547</v>
      </c>
      <c r="D30" s="838"/>
      <c r="E30" s="1958"/>
      <c r="F30" s="2680" t="s">
        <v>1496</v>
      </c>
      <c r="G30" s="2680"/>
      <c r="H30" s="2680"/>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657" t="s">
        <v>2026</v>
      </c>
      <c r="D34" s="2658"/>
      <c r="E34" s="2658"/>
      <c r="F34" s="2658"/>
      <c r="G34" s="2658"/>
      <c r="H34" s="2658"/>
      <c r="I34" s="2658"/>
      <c r="J34" s="2658"/>
      <c r="K34" s="2015"/>
      <c r="L34" s="838"/>
      <c r="M34" s="838"/>
      <c r="N34" s="1997"/>
    </row>
    <row r="35" spans="1:14" x14ac:dyDescent="0.2">
      <c r="A35" s="1996"/>
      <c r="B35" s="838"/>
      <c r="C35" s="2658"/>
      <c r="D35" s="2658"/>
      <c r="E35" s="2658"/>
      <c r="F35" s="2658"/>
      <c r="G35" s="2658"/>
      <c r="H35" s="2658"/>
      <c r="I35" s="2658"/>
      <c r="J35" s="2658"/>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657" t="s">
        <v>2027</v>
      </c>
      <c r="D37" s="2658"/>
      <c r="E37" s="2658"/>
      <c r="F37" s="2658"/>
      <c r="G37" s="2658"/>
      <c r="H37" s="2658"/>
      <c r="I37" s="2658"/>
      <c r="J37" s="2658"/>
      <c r="K37" s="2015"/>
      <c r="L37" s="2017"/>
      <c r="M37" s="838"/>
      <c r="N37" s="1997"/>
    </row>
    <row r="38" spans="1:14" x14ac:dyDescent="0.2">
      <c r="A38" s="1996"/>
      <c r="B38" s="838"/>
      <c r="C38" s="2658"/>
      <c r="D38" s="2658"/>
      <c r="E38" s="2658"/>
      <c r="F38" s="2658"/>
      <c r="G38" s="2658"/>
      <c r="H38" s="2658"/>
      <c r="I38" s="2658"/>
      <c r="J38" s="2658"/>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659" t="s">
        <v>2028</v>
      </c>
      <c r="D40" s="2660"/>
      <c r="E40" s="2660"/>
      <c r="F40" s="2660"/>
      <c r="G40" s="2660"/>
      <c r="H40" s="2660"/>
      <c r="I40" s="2660"/>
      <c r="J40" s="2660"/>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661" t="s">
        <v>2029</v>
      </c>
      <c r="B43" s="2662"/>
      <c r="C43" s="2662"/>
      <c r="D43" s="2662"/>
      <c r="E43" s="2662"/>
      <c r="F43" s="2662"/>
      <c r="G43" s="2662"/>
      <c r="H43" s="2662"/>
      <c r="I43" s="2662"/>
      <c r="J43" s="2662"/>
      <c r="K43" s="2662"/>
      <c r="L43" s="2662"/>
      <c r="M43" s="2662"/>
      <c r="N43" s="2663"/>
    </row>
    <row r="44" spans="1:14" x14ac:dyDescent="0.2">
      <c r="A44" s="1981"/>
      <c r="B44" s="1982"/>
      <c r="C44" s="1982"/>
      <c r="D44" s="1982"/>
      <c r="E44" s="1982"/>
      <c r="F44" s="1982"/>
      <c r="G44" s="1982"/>
      <c r="H44" s="1982"/>
      <c r="I44" s="1982"/>
      <c r="J44" s="1982"/>
      <c r="K44" s="1982"/>
      <c r="L44" s="1982"/>
      <c r="M44" s="1982"/>
      <c r="N44" s="1983"/>
    </row>
    <row r="45" spans="1:14" x14ac:dyDescent="0.2">
      <c r="A45" s="1981" t="s">
        <v>2030</v>
      </c>
      <c r="B45" s="1982"/>
      <c r="C45" s="1982"/>
      <c r="D45" s="1982"/>
      <c r="E45" s="1982"/>
      <c r="F45" s="1982"/>
      <c r="G45" s="1982"/>
      <c r="H45" s="1982"/>
      <c r="I45" s="1982"/>
      <c r="J45" s="1982"/>
      <c r="K45" s="1982"/>
      <c r="L45" s="1982"/>
      <c r="M45" s="1982"/>
      <c r="N45" s="1983"/>
    </row>
    <row r="46" spans="1:14" x14ac:dyDescent="0.2">
      <c r="A46" s="2664" t="s">
        <v>2031</v>
      </c>
      <c r="B46" s="2665"/>
      <c r="C46" s="2665"/>
      <c r="D46" s="2665"/>
      <c r="E46" s="2665"/>
      <c r="F46" s="2665"/>
      <c r="G46" s="2665"/>
      <c r="H46" s="2665"/>
      <c r="I46" s="2665"/>
      <c r="J46" s="2665"/>
      <c r="K46" s="2665"/>
      <c r="L46" s="2665"/>
      <c r="M46" s="2665"/>
      <c r="N46" s="2666"/>
    </row>
    <row r="47" spans="1:14" x14ac:dyDescent="0.2">
      <c r="A47" s="2664"/>
      <c r="B47" s="2665"/>
      <c r="C47" s="2665"/>
      <c r="D47" s="2665"/>
      <c r="E47" s="2665"/>
      <c r="F47" s="2665"/>
      <c r="G47" s="2665"/>
      <c r="H47" s="2665"/>
      <c r="I47" s="2665"/>
      <c r="J47" s="2665"/>
      <c r="K47" s="2665"/>
      <c r="L47" s="2665"/>
      <c r="M47" s="2665"/>
      <c r="N47" s="2666"/>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2047</v>
      </c>
      <c r="B49" s="2023"/>
      <c r="C49" s="2023"/>
      <c r="D49" s="2024"/>
      <c r="E49" s="2024"/>
      <c r="F49" s="2024"/>
      <c r="G49" s="2024"/>
      <c r="H49" s="2024"/>
      <c r="I49" s="2024"/>
      <c r="J49" s="2024"/>
      <c r="K49" s="2024"/>
      <c r="L49" s="2024"/>
      <c r="M49" s="2024"/>
      <c r="N49" s="2025"/>
    </row>
    <row r="50" spans="1:14" ht="15" x14ac:dyDescent="0.25">
      <c r="A50" s="2027" t="s">
        <v>2046</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667" t="str">
        <f>J6</f>
        <v xml:space="preserve"> Kirby SD 140</v>
      </c>
      <c r="M52" s="2667"/>
      <c r="N52" s="2668"/>
    </row>
    <row r="53" spans="1:14" x14ac:dyDescent="0.2">
      <c r="A53" s="1981"/>
      <c r="B53" s="1982"/>
      <c r="C53" s="1982"/>
      <c r="D53" s="1982"/>
      <c r="E53" s="1982"/>
      <c r="F53" s="1982"/>
      <c r="G53" s="1982"/>
      <c r="H53" s="1982"/>
      <c r="I53" s="1982"/>
      <c r="J53" s="1982"/>
      <c r="K53" s="1923" t="s">
        <v>369</v>
      </c>
      <c r="L53" s="2669">
        <f>J7</f>
        <v>7016140002</v>
      </c>
      <c r="M53" s="2669"/>
      <c r="N53" s="2670"/>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671"/>
      <c r="B55" s="2672"/>
      <c r="C55" s="2672"/>
      <c r="D55" s="1969"/>
      <c r="E55" s="1969"/>
      <c r="F55" s="1969"/>
      <c r="G55" s="2673" t="s">
        <v>2032</v>
      </c>
      <c r="H55" s="2673"/>
      <c r="I55" s="2673"/>
      <c r="J55" s="2673"/>
      <c r="K55" s="2673"/>
      <c r="L55" s="2673"/>
      <c r="M55" s="2673"/>
      <c r="N55" s="2674"/>
    </row>
    <row r="56" spans="1:14" ht="63.75" x14ac:dyDescent="0.2">
      <c r="A56" s="2675" t="s">
        <v>2033</v>
      </c>
      <c r="B56" s="2676"/>
      <c r="C56" s="2677"/>
      <c r="D56" s="1963" t="s">
        <v>2034</v>
      </c>
      <c r="E56" s="1963" t="s">
        <v>2035</v>
      </c>
      <c r="F56" s="1970"/>
      <c r="G56" s="1963" t="s">
        <v>2036</v>
      </c>
      <c r="H56" s="1963" t="s">
        <v>2037</v>
      </c>
      <c r="I56" s="1963" t="s">
        <v>2038</v>
      </c>
      <c r="J56" s="1963" t="s">
        <v>2039</v>
      </c>
      <c r="K56" s="1963" t="s">
        <v>2040</v>
      </c>
      <c r="L56" s="1963" t="s">
        <v>2041</v>
      </c>
      <c r="M56" s="1963" t="s">
        <v>2042</v>
      </c>
      <c r="N56" s="1964" t="s">
        <v>2049</v>
      </c>
    </row>
    <row r="57" spans="1:14" ht="24.75" customHeight="1" x14ac:dyDescent="0.2">
      <c r="A57" s="2678" t="s">
        <v>296</v>
      </c>
      <c r="B57" s="2679"/>
      <c r="C57" s="2679"/>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655" t="s">
        <v>2043</v>
      </c>
      <c r="B58" s="2656"/>
      <c r="C58" s="2656"/>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649" t="s">
        <v>297</v>
      </c>
      <c r="B59" s="2650"/>
      <c r="C59" s="2650"/>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649" t="s">
        <v>236</v>
      </c>
      <c r="B60" s="2650"/>
      <c r="C60" s="2650"/>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649" t="s">
        <v>697</v>
      </c>
      <c r="B61" s="2650"/>
      <c r="C61" s="2650"/>
      <c r="D61" s="1966">
        <v>2365</v>
      </c>
      <c r="E61" s="1976">
        <f>'Expenditures 15-22'!K323</f>
        <v>0</v>
      </c>
      <c r="F61" s="1971"/>
      <c r="G61" s="2030"/>
      <c r="H61" s="2031"/>
      <c r="I61" s="2031"/>
      <c r="J61" s="2031"/>
      <c r="K61" s="2031"/>
      <c r="L61" s="2031"/>
      <c r="M61" s="2031"/>
      <c r="N61" s="1974">
        <f t="shared" si="4"/>
        <v>0</v>
      </c>
    </row>
    <row r="62" spans="1:14" ht="24" customHeight="1" x14ac:dyDescent="0.2">
      <c r="A62" s="2649" t="s">
        <v>237</v>
      </c>
      <c r="B62" s="2650"/>
      <c r="C62" s="2650"/>
      <c r="D62" s="1966">
        <v>2366</v>
      </c>
      <c r="E62" s="1976">
        <f>'Expenditures 15-22'!K324</f>
        <v>0</v>
      </c>
      <c r="F62" s="1971"/>
      <c r="G62" s="2030"/>
      <c r="H62" s="2031"/>
      <c r="I62" s="2031"/>
      <c r="J62" s="2031"/>
      <c r="K62" s="2031"/>
      <c r="L62" s="2031"/>
      <c r="M62" s="2031"/>
      <c r="N62" s="1974">
        <f t="shared" si="4"/>
        <v>0</v>
      </c>
    </row>
    <row r="63" spans="1:14" ht="24" customHeight="1" x14ac:dyDescent="0.2">
      <c r="A63" s="2655" t="s">
        <v>1022</v>
      </c>
      <c r="B63" s="2656"/>
      <c r="C63" s="2656"/>
      <c r="D63" s="1966">
        <v>2367</v>
      </c>
      <c r="E63" s="1976">
        <f>'Expenditures 15-22'!K325</f>
        <v>0</v>
      </c>
      <c r="F63" s="1971"/>
      <c r="G63" s="2030"/>
      <c r="H63" s="2031"/>
      <c r="I63" s="2031"/>
      <c r="J63" s="2031"/>
      <c r="K63" s="2031"/>
      <c r="L63" s="2031"/>
      <c r="M63" s="2031"/>
      <c r="N63" s="1974">
        <f t="shared" si="4"/>
        <v>0</v>
      </c>
    </row>
    <row r="64" spans="1:14" ht="24" customHeight="1" x14ac:dyDescent="0.2">
      <c r="A64" s="2649" t="s">
        <v>1023</v>
      </c>
      <c r="B64" s="2650"/>
      <c r="C64" s="2650"/>
      <c r="D64" s="1966">
        <v>2368</v>
      </c>
      <c r="E64" s="1976">
        <f>'Expenditures 15-22'!K326</f>
        <v>0</v>
      </c>
      <c r="F64" s="1971"/>
      <c r="G64" s="2030"/>
      <c r="H64" s="2031"/>
      <c r="I64" s="2031"/>
      <c r="J64" s="2031"/>
      <c r="K64" s="2031"/>
      <c r="L64" s="2031"/>
      <c r="M64" s="2031"/>
      <c r="N64" s="1974">
        <f t="shared" si="4"/>
        <v>0</v>
      </c>
    </row>
    <row r="65" spans="1:14" ht="24" customHeight="1" x14ac:dyDescent="0.2">
      <c r="A65" s="2649" t="s">
        <v>965</v>
      </c>
      <c r="B65" s="2650"/>
      <c r="C65" s="2650"/>
      <c r="D65" s="1966">
        <v>2369</v>
      </c>
      <c r="E65" s="1976">
        <f>'Expenditures 15-22'!K327</f>
        <v>0</v>
      </c>
      <c r="F65" s="1971"/>
      <c r="G65" s="2030"/>
      <c r="H65" s="2031"/>
      <c r="I65" s="2031"/>
      <c r="J65" s="2031"/>
      <c r="K65" s="2031"/>
      <c r="L65" s="2031"/>
      <c r="M65" s="2031"/>
      <c r="N65" s="1974">
        <f t="shared" si="4"/>
        <v>0</v>
      </c>
    </row>
    <row r="66" spans="1:14" ht="24" customHeight="1" x14ac:dyDescent="0.2">
      <c r="A66" s="2649" t="s">
        <v>469</v>
      </c>
      <c r="B66" s="2650"/>
      <c r="C66" s="2650"/>
      <c r="D66" s="1966">
        <v>2371</v>
      </c>
      <c r="E66" s="1976">
        <f>'Expenditures 15-22'!K328</f>
        <v>0</v>
      </c>
      <c r="F66" s="1971"/>
      <c r="G66" s="2030"/>
      <c r="H66" s="2031"/>
      <c r="I66" s="2031"/>
      <c r="J66" s="2031"/>
      <c r="K66" s="2031"/>
      <c r="L66" s="2031"/>
      <c r="M66" s="2031"/>
      <c r="N66" s="1974">
        <f t="shared" si="4"/>
        <v>0</v>
      </c>
    </row>
    <row r="67" spans="1:14" ht="24.75" customHeight="1" x14ac:dyDescent="0.2">
      <c r="A67" s="2651" t="s">
        <v>2044</v>
      </c>
      <c r="B67" s="2652"/>
      <c r="C67" s="2652"/>
      <c r="D67" s="1968">
        <v>2372</v>
      </c>
      <c r="E67" s="1977">
        <f>'Expenditures 15-22'!K329</f>
        <v>0</v>
      </c>
      <c r="F67" s="1971"/>
      <c r="G67" s="2032"/>
      <c r="H67" s="2033"/>
      <c r="I67" s="2033"/>
      <c r="J67" s="2033"/>
      <c r="K67" s="2033"/>
      <c r="L67" s="2033"/>
      <c r="M67" s="2033"/>
      <c r="N67" s="1974">
        <f t="shared" si="4"/>
        <v>0</v>
      </c>
    </row>
    <row r="68" spans="1:14" x14ac:dyDescent="0.2">
      <c r="A68" s="2653" t="s">
        <v>1153</v>
      </c>
      <c r="B68" s="2654"/>
      <c r="C68" s="2654"/>
      <c r="D68" s="1969"/>
      <c r="E68" s="1973">
        <f>SUM(E57:E67)</f>
        <v>0</v>
      </c>
      <c r="F68" s="1972"/>
      <c r="G68" s="1973">
        <f t="shared" ref="G68:N68" si="5">SUM(G57:G67)</f>
        <v>0</v>
      </c>
      <c r="H68" s="1973">
        <f t="shared" si="5"/>
        <v>0</v>
      </c>
      <c r="I68" s="1973">
        <f t="shared" si="5"/>
        <v>0</v>
      </c>
      <c r="J68" s="1973">
        <f t="shared" si="5"/>
        <v>0</v>
      </c>
      <c r="K68" s="1973">
        <f t="shared" si="5"/>
        <v>0</v>
      </c>
      <c r="L68" s="1973">
        <f t="shared" si="5"/>
        <v>0</v>
      </c>
      <c r="M68" s="1973">
        <f t="shared" si="5"/>
        <v>0</v>
      </c>
      <c r="N68" s="1987">
        <f t="shared" si="5"/>
        <v>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2045</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2" sqref="B1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2067</v>
      </c>
    </row>
    <row r="6" spans="1:2" x14ac:dyDescent="0.2">
      <c r="A6" s="847">
        <v>2</v>
      </c>
      <c r="B6" s="307" t="s">
        <v>2068</v>
      </c>
    </row>
    <row r="7" spans="1:2" x14ac:dyDescent="0.2">
      <c r="A7" s="847">
        <v>3</v>
      </c>
      <c r="B7" s="307" t="s">
        <v>2071</v>
      </c>
    </row>
    <row r="8" spans="1:2" x14ac:dyDescent="0.2">
      <c r="A8" s="847">
        <v>4</v>
      </c>
      <c r="B8" s="307" t="s">
        <v>2069</v>
      </c>
    </row>
    <row r="9" spans="1:2" x14ac:dyDescent="0.2">
      <c r="A9" s="847">
        <v>5</v>
      </c>
      <c r="B9" s="307" t="s">
        <v>2070</v>
      </c>
    </row>
    <row r="10" spans="1:2" x14ac:dyDescent="0.2">
      <c r="A10" s="847">
        <v>6</v>
      </c>
      <c r="B10" s="307" t="s">
        <v>2072</v>
      </c>
    </row>
    <row r="11" spans="1:2" x14ac:dyDescent="0.2">
      <c r="A11" s="847">
        <v>7</v>
      </c>
      <c r="B11" s="307" t="s">
        <v>2073</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Kirby SD 140</v>
      </c>
    </row>
    <row r="65" spans="2:2" x14ac:dyDescent="0.2">
      <c r="B65" s="849">
        <f>COVER!A13</f>
        <v>7016140002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1975</v>
      </c>
    </row>
    <row r="17" spans="1:2" ht="6" customHeight="1" x14ac:dyDescent="0.2"/>
    <row r="18" spans="1:2" ht="24.75" customHeight="1" x14ac:dyDescent="0.2">
      <c r="A18" s="2697" t="s">
        <v>1668</v>
      </c>
      <c r="B18" s="269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3009"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Document.2017"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98" t="s">
        <v>1672</v>
      </c>
      <c r="B1" s="2699"/>
      <c r="C1" s="2699"/>
      <c r="D1" s="2699"/>
      <c r="E1" s="2699"/>
      <c r="F1" s="2700"/>
    </row>
    <row r="2" spans="1:8" ht="45" customHeight="1" x14ac:dyDescent="0.2">
      <c r="A2" s="27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709"/>
      <c r="C2" s="2709"/>
      <c r="D2" s="2709"/>
      <c r="E2" s="2709"/>
      <c r="F2" s="2710"/>
      <c r="G2" s="853"/>
      <c r="H2" s="853"/>
    </row>
    <row r="3" spans="1:8" ht="57" customHeight="1" x14ac:dyDescent="0.2">
      <c r="A3" s="2711" t="s">
        <v>1974</v>
      </c>
      <c r="B3" s="2712"/>
      <c r="C3" s="2712"/>
      <c r="D3" s="2712"/>
      <c r="E3" s="2712"/>
      <c r="F3" s="2713"/>
      <c r="G3" s="853"/>
      <c r="H3" s="853"/>
    </row>
    <row r="4" spans="1:8" ht="14.25" customHeight="1" x14ac:dyDescent="0.2">
      <c r="A4" s="27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718"/>
      <c r="C4" s="2718"/>
      <c r="D4" s="2718"/>
      <c r="E4" s="2718"/>
      <c r="F4" s="2719"/>
      <c r="G4" s="853"/>
      <c r="H4" s="853"/>
    </row>
    <row r="5" spans="1:8" ht="14.25" customHeight="1" x14ac:dyDescent="0.2">
      <c r="A5" s="27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721"/>
      <c r="C5" s="2721"/>
      <c r="D5" s="2721"/>
      <c r="E5" s="2721"/>
      <c r="F5" s="2722"/>
      <c r="G5" s="853"/>
      <c r="H5" s="853"/>
    </row>
    <row r="6" spans="1:8" s="854" customFormat="1" ht="41.25" customHeight="1" x14ac:dyDescent="0.2">
      <c r="A6" s="2714" t="s">
        <v>1673</v>
      </c>
      <c r="B6" s="2715"/>
      <c r="C6" s="2715"/>
      <c r="D6" s="2715"/>
      <c r="E6" s="2715"/>
      <c r="F6" s="271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7-8'!C8</f>
        <v>41607423</v>
      </c>
      <c r="C8" s="1812">
        <f>'Acct Summary 7-8'!D8</f>
        <v>6231992</v>
      </c>
      <c r="D8" s="1812">
        <f>'Acct Summary 7-8'!F8</f>
        <v>2656228</v>
      </c>
      <c r="E8" s="1812">
        <f>'Acct Summary 7-8'!I8</f>
        <v>362351</v>
      </c>
      <c r="F8" s="1812">
        <f>SUM(B8:E8)</f>
        <v>50857994</v>
      </c>
    </row>
    <row r="9" spans="1:8" s="858" customFormat="1" ht="14.25" customHeight="1" thickBot="1" x14ac:dyDescent="0.25">
      <c r="A9" s="857" t="s">
        <v>1355</v>
      </c>
      <c r="B9" s="1813">
        <f>'Acct Summary 7-8'!C17</f>
        <v>39701208</v>
      </c>
      <c r="C9" s="1813">
        <f>'Acct Summary 7-8'!D17</f>
        <v>10218976</v>
      </c>
      <c r="D9" s="1813">
        <f>'Acct Summary 7-8'!F17</f>
        <v>1645812</v>
      </c>
      <c r="E9" s="1812"/>
      <c r="F9" s="1812">
        <f>SUM(B9:E9)</f>
        <v>51565996</v>
      </c>
    </row>
    <row r="10" spans="1:8" s="858" customFormat="1" ht="14.25" thickTop="1" thickBot="1" x14ac:dyDescent="0.25">
      <c r="A10" s="859" t="s">
        <v>1356</v>
      </c>
      <c r="B10" s="1814">
        <f>(B8-B9)</f>
        <v>1906215</v>
      </c>
      <c r="C10" s="1814">
        <f>(C8-C9)</f>
        <v>-3986984</v>
      </c>
      <c r="D10" s="1814">
        <f>(D8-D9)</f>
        <v>1010416</v>
      </c>
      <c r="E10" s="1813">
        <f>(E8-E9)</f>
        <v>362351</v>
      </c>
      <c r="F10" s="1815">
        <f>SUM(F8-F9)</f>
        <v>-708002</v>
      </c>
    </row>
    <row r="11" spans="1:8" s="858" customFormat="1" ht="14.25" thickTop="1" thickBot="1" x14ac:dyDescent="0.25">
      <c r="A11" s="860" t="s">
        <v>1905</v>
      </c>
      <c r="B11" s="1816">
        <f>'Acct Summary 7-8'!C81</f>
        <v>40726677</v>
      </c>
      <c r="C11" s="1816">
        <f>'Acct Summary 7-8'!D81</f>
        <v>-734168</v>
      </c>
      <c r="D11" s="1816">
        <f>'Acct Summary 7-8'!F81</f>
        <v>1616625</v>
      </c>
      <c r="E11" s="1816">
        <f>'Acct Summary 7-8'!I81</f>
        <v>4372399</v>
      </c>
      <c r="F11" s="1817">
        <f>SUM(B11:E11)</f>
        <v>45981533</v>
      </c>
    </row>
    <row r="12" spans="1:8" ht="16.5" customHeight="1" thickTop="1" x14ac:dyDescent="0.2">
      <c r="A12" s="861"/>
      <c r="B12" s="862"/>
      <c r="C12" s="2702" t="str">
        <f>IF(AND(F10&lt;0,F11&gt;=0,ABS(F10*3)&gt;ABS(F11)),A16,IF(AND(F10&lt;0,F11&gt;0,ABS(F10*3)&lt;=ABS(F11)),A17,IF(AND(F10&lt;0,F11&lt;0),A16,IF(F11=0,A19,A18))))</f>
        <v>Unbalanced -  however, a deficit reduction plan is not required at this time.</v>
      </c>
      <c r="D12" s="2703"/>
      <c r="E12" s="2703"/>
      <c r="F12" s="2704"/>
    </row>
    <row r="13" spans="1:8" ht="19.5" customHeight="1" x14ac:dyDescent="0.2">
      <c r="A13" s="863"/>
      <c r="B13" s="864"/>
      <c r="C13" s="2702"/>
      <c r="D13" s="2703"/>
      <c r="E13" s="2703"/>
      <c r="F13" s="2704"/>
      <c r="H13" s="853"/>
    </row>
    <row r="14" spans="1:8" ht="19.5" customHeight="1" x14ac:dyDescent="0.2">
      <c r="A14" s="863"/>
      <c r="B14" s="864"/>
      <c r="C14" s="2702"/>
      <c r="D14" s="2703"/>
      <c r="E14" s="2703"/>
      <c r="F14" s="2704"/>
      <c r="H14" s="853"/>
    </row>
    <row r="15" spans="1:8" ht="17.25" customHeight="1" x14ac:dyDescent="0.2">
      <c r="A15" s="863"/>
      <c r="B15" s="864"/>
      <c r="C15" s="2705"/>
      <c r="D15" s="2706"/>
      <c r="E15" s="2706"/>
      <c r="F15" s="2707"/>
      <c r="H15" s="853"/>
    </row>
    <row r="16" spans="1:8" s="288" customFormat="1" ht="51.75" hidden="1" customHeight="1" x14ac:dyDescent="0.2">
      <c r="A16" s="2701" t="s">
        <v>1669</v>
      </c>
      <c r="B16" s="2701"/>
      <c r="C16" s="2701"/>
      <c r="D16" s="2701"/>
      <c r="E16" s="270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723" t="s">
        <v>660</v>
      </c>
      <c r="B3" s="2724"/>
      <c r="C3" s="2724"/>
      <c r="D3" s="2725"/>
    </row>
    <row r="4" spans="1:4" x14ac:dyDescent="0.2">
      <c r="A4" s="931" t="s">
        <v>1674</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734" t="s">
        <v>1490</v>
      </c>
      <c r="D7" s="2735"/>
    </row>
    <row r="8" spans="1:4" s="542" customFormat="1" ht="12.75" x14ac:dyDescent="0.2">
      <c r="A8" s="917"/>
      <c r="B8" s="872"/>
      <c r="C8" s="875" t="s">
        <v>1489</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726" t="s">
        <v>1001</v>
      </c>
      <c r="B15" s="2727"/>
      <c r="C15" s="2727"/>
      <c r="D15" s="2728"/>
    </row>
    <row r="16" spans="1:4" s="542" customFormat="1" ht="24" customHeight="1" x14ac:dyDescent="0.2">
      <c r="A16" s="2729" t="s">
        <v>658</v>
      </c>
      <c r="B16" s="2730"/>
      <c r="C16" s="2730"/>
      <c r="D16" s="2731"/>
    </row>
    <row r="17" spans="1:10" s="542" customFormat="1" ht="12.75" customHeight="1" x14ac:dyDescent="0.2">
      <c r="A17" s="935" t="s">
        <v>1675</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738" t="s">
        <v>311</v>
      </c>
      <c r="D21" s="2739"/>
    </row>
    <row r="22" spans="1:10" ht="12.75" x14ac:dyDescent="0.2">
      <c r="A22" s="918"/>
      <c r="B22" s="919">
        <v>2</v>
      </c>
      <c r="C22" s="2736" t="s">
        <v>1510</v>
      </c>
      <c r="D22" s="2737"/>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740" t="s">
        <v>533</v>
      </c>
      <c r="D43" s="2741"/>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732" t="s">
        <v>779</v>
      </c>
      <c r="D56" s="2733"/>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1882</v>
      </c>
      <c r="D66" s="904"/>
    </row>
    <row r="67" spans="1:4" x14ac:dyDescent="0.2">
      <c r="A67" s="898"/>
      <c r="B67" s="919"/>
      <c r="C67" s="926" t="s">
        <v>1014</v>
      </c>
      <c r="D67" s="904"/>
    </row>
    <row r="68" spans="1:4" x14ac:dyDescent="0.2">
      <c r="A68" s="879"/>
      <c r="B68" s="889"/>
      <c r="C68" s="881" t="s">
        <v>1883</v>
      </c>
      <c r="D68" s="903" t="str">
        <f>IF('Short-Term Long-Term Debt 24'!F49=SUM(,'Acct Summary 7-8'!C33:K33),"OK","ERROR!")</f>
        <v>OK</v>
      </c>
    </row>
    <row r="69" spans="1:4" x14ac:dyDescent="0.2">
      <c r="A69" s="879"/>
      <c r="B69" s="889"/>
      <c r="C69" s="881" t="s">
        <v>1884</v>
      </c>
      <c r="D69" s="903" t="str">
        <f>IF('Expenditures 15-22'!H170&lt;&gt;'Short-Term Long-Term Debt 24'!H49,"ERROR!","OK")</f>
        <v>OK</v>
      </c>
    </row>
    <row r="70" spans="1:4" x14ac:dyDescent="0.2">
      <c r="A70" s="877"/>
      <c r="B70" s="899">
        <f>B66+1</f>
        <v>9</v>
      </c>
      <c r="C70" s="2732" t="s">
        <v>1677</v>
      </c>
      <c r="D70" s="2733"/>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1885</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1990</v>
      </c>
      <c r="D78" s="903" t="str">
        <f>IF(ISNUMBER('Acct Summary 7-8'!C9),"OK","ENTRY IS REQUIRED!")</f>
        <v>OK</v>
      </c>
    </row>
    <row r="79" spans="1:4" x14ac:dyDescent="0.2">
      <c r="A79" s="898"/>
      <c r="B79" s="899">
        <f>B74+1+1</f>
        <v>12</v>
      </c>
      <c r="C79" s="909" t="s">
        <v>1873</v>
      </c>
      <c r="D79" s="910" t="str">
        <f>IF(OR(COVER!$B$6="X",'PCTC-OEPP 27-28'!F79&gt;0),"OK","PLEASE ENTER 9 MO ADA.")</f>
        <v>OK</v>
      </c>
    </row>
    <row r="80" spans="1:4" x14ac:dyDescent="0.2">
      <c r="A80" s="877"/>
      <c r="B80" s="899">
        <v>13</v>
      </c>
      <c r="C80" s="909" t="s">
        <v>1978</v>
      </c>
      <c r="D80" s="910" t="str">
        <f>IF(OR(COVER!$B$6="X",ISNUMBER('PCTC-OEPP 27-28'!F172)),"OK","PLEASE ENTER AMOUNT or 0.")</f>
        <v>OK</v>
      </c>
    </row>
    <row r="81" spans="1:4" x14ac:dyDescent="0.2">
      <c r="A81" s="877"/>
      <c r="B81" s="899">
        <v>14</v>
      </c>
      <c r="C81" s="909" t="s">
        <v>1979</v>
      </c>
      <c r="D81" s="910" t="str">
        <f>IF(OR(COVER!$B$6="X",ISNUMBER('PCTC-OEPP 27-28'!F173)),"OK","PLEASE ENTER AMOUNT or 0.")</f>
        <v>OK</v>
      </c>
    </row>
    <row r="82" spans="1:4" x14ac:dyDescent="0.2">
      <c r="A82" s="877"/>
      <c r="B82" s="899">
        <v>15</v>
      </c>
      <c r="C82" s="909" t="s">
        <v>1886</v>
      </c>
      <c r="D82" s="1900" t="str">
        <f>IF('Contracts Paid in CY 29'!$D$142&gt;0,"OK","PLEASE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1969</v>
      </c>
      <c r="F1" s="1542" t="s">
        <v>1970</v>
      </c>
      <c r="G1" s="1899" t="s">
        <v>1980</v>
      </c>
    </row>
    <row r="2" spans="1:7" ht="15.75" x14ac:dyDescent="0.25">
      <c r="A2" t="s">
        <v>260</v>
      </c>
      <c r="B2" s="135">
        <f>COVER!A13</f>
        <v>7016140002</v>
      </c>
      <c r="E2" s="1541">
        <v>2020</v>
      </c>
      <c r="F2" s="1541">
        <v>1</v>
      </c>
      <c r="G2" s="1898">
        <v>101000300</v>
      </c>
    </row>
    <row r="3" spans="1:7" ht="15" x14ac:dyDescent="0.25">
      <c r="A3" t="s">
        <v>950</v>
      </c>
      <c r="B3" s="135" t="str">
        <f>COVER!A15</f>
        <v>COOK</v>
      </c>
      <c r="E3" s="1829" t="s">
        <v>1973</v>
      </c>
      <c r="F3" s="1829" t="s">
        <v>1972</v>
      </c>
      <c r="G3" s="1898">
        <v>101000400</v>
      </c>
    </row>
    <row r="4" spans="1:7" ht="15" x14ac:dyDescent="0.25">
      <c r="A4" t="s">
        <v>1000</v>
      </c>
      <c r="B4" s="135" t="str">
        <f>COVER!A17</f>
        <v xml:space="preserve"> Kirby SD 140</v>
      </c>
      <c r="E4" s="1827">
        <v>44119</v>
      </c>
      <c r="F4" s="1828">
        <v>44151</v>
      </c>
      <c r="G4" s="1898">
        <v>101000600</v>
      </c>
    </row>
    <row r="5" spans="1:7" ht="15" x14ac:dyDescent="0.25">
      <c r="A5" t="s">
        <v>699</v>
      </c>
      <c r="B5" s="135" t="str">
        <f>COVER!A38</f>
        <v>Dr. Shawn Olson</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 xml:space="preserve">ACCRUAL </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1529</v>
      </c>
      <c r="B12" s="135" t="str">
        <f>IF(COVER!J29="x","Yes",IF(COVER!L29="X","No",0))</f>
        <v>Yes</v>
      </c>
      <c r="G12" s="1898">
        <v>202100600</v>
      </c>
    </row>
    <row r="13" spans="1:7" ht="15" x14ac:dyDescent="0.25">
      <c r="A13" s="1" t="s">
        <v>1530</v>
      </c>
      <c r="B13" s="135" t="str">
        <f>IF(COVER!J30="x","Yes",IF(COVER!L30="x","No",0))</f>
        <v>Yes</v>
      </c>
      <c r="G13" s="1898">
        <v>202100800</v>
      </c>
    </row>
    <row r="14" spans="1:7" ht="15" x14ac:dyDescent="0.25">
      <c r="A14" t="s">
        <v>473</v>
      </c>
      <c r="B14" s="135" t="str">
        <f>IF(COVER!J31="x","Yes",IF(COVER!L31="x","No",0))</f>
        <v>Yes</v>
      </c>
      <c r="G14" s="1898">
        <v>402100300</v>
      </c>
    </row>
    <row r="15" spans="1:7" ht="15" x14ac:dyDescent="0.25">
      <c r="A15" t="s">
        <v>573</v>
      </c>
      <c r="B15" s="135" t="str">
        <f>COVER!T23</f>
        <v>066-003328</v>
      </c>
      <c r="G15" s="1898">
        <v>402100400</v>
      </c>
    </row>
    <row r="16" spans="1:7" ht="15" x14ac:dyDescent="0.25">
      <c r="A16" t="s">
        <v>419</v>
      </c>
      <c r="B16" s="135" t="str">
        <f>COVER!T13</f>
        <v>MUELLER &amp; CO., LLP</v>
      </c>
      <c r="G16" s="1898">
        <v>402100600</v>
      </c>
    </row>
    <row r="17" spans="1:7" ht="15" x14ac:dyDescent="0.25">
      <c r="A17" t="s">
        <v>878</v>
      </c>
      <c r="B17" s="135" t="str">
        <f>COVER!T15</f>
        <v>EDWARD MCCORMICK</v>
      </c>
      <c r="G17" s="1898">
        <v>402100800</v>
      </c>
    </row>
    <row r="18" spans="1:7" ht="15" x14ac:dyDescent="0.25">
      <c r="A18" t="s">
        <v>1142</v>
      </c>
      <c r="B18" s="135" t="str">
        <f>COVER!T17</f>
        <v>14300 S. RAVINIA AVE. STE. 200</v>
      </c>
      <c r="G18" s="1898">
        <v>102200300</v>
      </c>
    </row>
    <row r="19" spans="1:7" ht="15" x14ac:dyDescent="0.25">
      <c r="A19" t="s">
        <v>880</v>
      </c>
      <c r="B19" s="135" t="str">
        <f>COVER!T25</f>
        <v>EMCCORMICK@MUELLERCPA.COM</v>
      </c>
      <c r="G19" s="1898">
        <v>102200400</v>
      </c>
    </row>
    <row r="20" spans="1:7" ht="15" x14ac:dyDescent="0.25">
      <c r="A20" t="s">
        <v>881</v>
      </c>
      <c r="B20" s="135" t="str">
        <f>COVER!T19</f>
        <v>ORLAND PARK</v>
      </c>
      <c r="G20" s="1898">
        <v>102200600</v>
      </c>
    </row>
    <row r="21" spans="1:7" ht="15" x14ac:dyDescent="0.25">
      <c r="A21" t="s">
        <v>476</v>
      </c>
      <c r="B21" s="135" t="str">
        <f>COVER!X19</f>
        <v>IL</v>
      </c>
      <c r="G21" s="1898">
        <v>102200800</v>
      </c>
    </row>
    <row r="22" spans="1:7" ht="15" x14ac:dyDescent="0.25">
      <c r="A22" t="s">
        <v>882</v>
      </c>
      <c r="B22" s="135">
        <f>COVER!Z19</f>
        <v>60477</v>
      </c>
      <c r="G22" s="1898">
        <v>102300300</v>
      </c>
    </row>
    <row r="23" spans="1:7" ht="15" x14ac:dyDescent="0.25">
      <c r="A23" t="s">
        <v>1144</v>
      </c>
      <c r="B23" s="135" t="str">
        <f>COVER!T21</f>
        <v>708-428-5305</v>
      </c>
      <c r="G23" s="1898">
        <v>102300400</v>
      </c>
    </row>
    <row r="24" spans="1:7" ht="15" x14ac:dyDescent="0.25">
      <c r="A24" t="s">
        <v>1143</v>
      </c>
      <c r="B24" s="135">
        <f>COVER!Y21</f>
        <v>0</v>
      </c>
      <c r="G24" s="1898">
        <v>102300600</v>
      </c>
    </row>
    <row r="25" spans="1:7" ht="15" x14ac:dyDescent="0.25">
      <c r="A25" t="s">
        <v>756</v>
      </c>
      <c r="B25" s="135">
        <f>COVER!B34</f>
        <v>0</v>
      </c>
      <c r="G25" s="1898">
        <v>102300800</v>
      </c>
    </row>
    <row r="26" spans="1:7" ht="15" x14ac:dyDescent="0.25">
      <c r="A26" t="s">
        <v>1145</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1467</v>
      </c>
      <c r="B49" s="135" t="str">
        <f>IF('Aud Quest 2'!B53="x","Yes",IF('Aud Quest 2'!B53&lt;&gt;"x","0"))</f>
        <v>Yes</v>
      </c>
      <c r="G49" s="1898">
        <v>102540800</v>
      </c>
    </row>
    <row r="50" spans="1:7" ht="15" x14ac:dyDescent="0.25">
      <c r="A50" s="1" t="s">
        <v>1466</v>
      </c>
      <c r="B50" s="146">
        <f>'Aud Quest 2'!H53</f>
        <v>0</v>
      </c>
      <c r="G50" s="1898">
        <v>202540300</v>
      </c>
    </row>
    <row r="51" spans="1:7" ht="15" x14ac:dyDescent="0.25">
      <c r="A51" s="1" t="s">
        <v>1468</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15415728</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559779</v>
      </c>
      <c r="D76" s="2" t="str">
        <f t="shared" si="0"/>
        <v>Error?</v>
      </c>
      <c r="G76" s="1898">
        <v>102570600</v>
      </c>
    </row>
    <row r="77" spans="1:7" ht="15" x14ac:dyDescent="0.25">
      <c r="A77" s="5">
        <v>16</v>
      </c>
      <c r="B77" s="1831">
        <f>'Assets-Liab 5-6'!C13</f>
        <v>59243714</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16677494</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18517037</v>
      </c>
      <c r="C91" s="2" t="s">
        <v>569</v>
      </c>
      <c r="D91" s="2" t="str">
        <f t="shared" si="0"/>
        <v>Error?</v>
      </c>
      <c r="G91" s="1898">
        <v>102640400</v>
      </c>
    </row>
    <row r="92" spans="1:7" ht="15" x14ac:dyDescent="0.25">
      <c r="A92" s="5">
        <v>31</v>
      </c>
      <c r="B92" s="1831">
        <f>'Assets-Liab 5-6'!C39</f>
        <v>40392376</v>
      </c>
      <c r="D92" s="2" t="str">
        <f t="shared" si="0"/>
        <v>Error?</v>
      </c>
      <c r="G92" s="1898">
        <v>102640600</v>
      </c>
    </row>
    <row r="93" spans="1:7" ht="15" x14ac:dyDescent="0.25">
      <c r="A93" s="5">
        <v>32</v>
      </c>
      <c r="B93" s="1831">
        <f>'Assets-Liab 5-6'!C41</f>
        <v>59243714</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1903883</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3622864</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2059714</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4357032</v>
      </c>
      <c r="C122" s="2" t="s">
        <v>569</v>
      </c>
      <c r="D122" s="2" t="str">
        <f t="shared" si="0"/>
        <v>Error?</v>
      </c>
      <c r="G122" s="1898">
        <v>203000300</v>
      </c>
    </row>
    <row r="123" spans="1:7" ht="15" x14ac:dyDescent="0.25">
      <c r="A123" s="5">
        <v>62</v>
      </c>
      <c r="B123" s="1831">
        <f>'Assets-Liab 5-6'!D39</f>
        <v>-734168</v>
      </c>
      <c r="D123" s="2" t="str">
        <f t="shared" si="0"/>
        <v>Error?</v>
      </c>
      <c r="G123" s="1898">
        <v>203000400</v>
      </c>
    </row>
    <row r="124" spans="1:7" ht="15" x14ac:dyDescent="0.25">
      <c r="A124" s="5">
        <v>63</v>
      </c>
      <c r="B124" s="1831">
        <f>'Assets-Liab 5-6'!D41</f>
        <v>3622864</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0</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0</v>
      </c>
      <c r="D140" s="2" t="str">
        <f t="shared" si="1"/>
        <v>Error?</v>
      </c>
    </row>
    <row r="141" spans="1:7" x14ac:dyDescent="0.2">
      <c r="A141" s="5">
        <v>80</v>
      </c>
      <c r="B141" s="1831">
        <f>'Assets-Liab 5-6'!E41</f>
        <v>0</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698361</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2574596</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755519</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957971</v>
      </c>
      <c r="C169" s="2" t="s">
        <v>569</v>
      </c>
      <c r="D169" s="2" t="str">
        <f t="shared" si="1"/>
        <v>Error?</v>
      </c>
    </row>
    <row r="170" spans="1:4" x14ac:dyDescent="0.2">
      <c r="A170" s="5">
        <v>109</v>
      </c>
      <c r="B170" s="1831">
        <f>'Assets-Liab 5-6'!F39</f>
        <v>1350124</v>
      </c>
      <c r="D170" s="2" t="str">
        <f t="shared" si="1"/>
        <v>Error?</v>
      </c>
    </row>
    <row r="171" spans="1:4" x14ac:dyDescent="0.2">
      <c r="A171" s="5">
        <v>110</v>
      </c>
      <c r="B171" s="1831">
        <f>'Assets-Liab 5-6'!F41</f>
        <v>2574596</v>
      </c>
      <c r="C171" s="2" t="s">
        <v>569</v>
      </c>
      <c r="D171" s="2" t="str">
        <f t="shared" si="1"/>
        <v>Error?</v>
      </c>
    </row>
    <row r="172" spans="1:4" x14ac:dyDescent="0.2">
      <c r="A172" s="10">
        <v>111</v>
      </c>
      <c r="B172" s="1831"/>
      <c r="D172" s="2" t="str">
        <f t="shared" si="1"/>
        <v>OK</v>
      </c>
    </row>
    <row r="173" spans="1:4" x14ac:dyDescent="0.2">
      <c r="A173" s="5">
        <v>112</v>
      </c>
      <c r="B173" s="1831">
        <f>'Assets-Liab 5-6'!G6</f>
        <v>572816</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2592205</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619700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721474</v>
      </c>
      <c r="C188" s="2" t="s">
        <v>569</v>
      </c>
      <c r="D188" s="2" t="str">
        <f t="shared" si="1"/>
        <v>Error?</v>
      </c>
    </row>
    <row r="189" spans="1:4" x14ac:dyDescent="0.2">
      <c r="A189" s="5">
        <v>128</v>
      </c>
      <c r="B189" s="1831">
        <f>'Assets-Liab 5-6'!G39</f>
        <v>674370</v>
      </c>
      <c r="D189" s="2" t="str">
        <f t="shared" si="1"/>
        <v>Error?</v>
      </c>
    </row>
    <row r="190" spans="1:4" x14ac:dyDescent="0.2">
      <c r="A190" s="5">
        <v>129</v>
      </c>
      <c r="B190" s="1831">
        <f>'Assets-Liab 5-6'!G41</f>
        <v>2592205</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1096591</v>
      </c>
      <c r="D273" s="2" t="str">
        <f t="shared" si="3"/>
        <v>Error?</v>
      </c>
    </row>
    <row r="274" spans="1:4" x14ac:dyDescent="0.2">
      <c r="A274" s="5">
        <v>213</v>
      </c>
      <c r="B274" s="1831">
        <f>'Assets-Liab 5-6'!M17</f>
        <v>52728915</v>
      </c>
      <c r="D274" s="2" t="str">
        <f t="shared" si="3"/>
        <v>Error?</v>
      </c>
    </row>
    <row r="275" spans="1:4" x14ac:dyDescent="0.2">
      <c r="A275" s="5">
        <v>214</v>
      </c>
      <c r="B275" s="1831">
        <f>'Assets-Liab 5-6'!M18</f>
        <v>31909265</v>
      </c>
      <c r="D275" s="2" t="str">
        <f t="shared" si="3"/>
        <v>Error?</v>
      </c>
    </row>
    <row r="276" spans="1:4" x14ac:dyDescent="0.2">
      <c r="A276" s="5">
        <v>215</v>
      </c>
      <c r="B276" s="1831">
        <f>'Assets-Liab 5-6'!M19</f>
        <v>29104059</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124574918</v>
      </c>
      <c r="C279" s="2" t="s">
        <v>569</v>
      </c>
      <c r="D279" s="2" t="str">
        <f t="shared" si="3"/>
        <v>Error?</v>
      </c>
    </row>
    <row r="280" spans="1:4" x14ac:dyDescent="0.2">
      <c r="A280" s="5">
        <v>219</v>
      </c>
      <c r="B280" s="1831">
        <f>'Assets-Liab 5-6'!M40</f>
        <v>124574918</v>
      </c>
      <c r="D280" s="2" t="str">
        <f t="shared" si="3"/>
        <v>Error?</v>
      </c>
    </row>
    <row r="281" spans="1:4" x14ac:dyDescent="0.2">
      <c r="A281" s="5">
        <v>220</v>
      </c>
      <c r="B281" s="1831">
        <f>'Assets-Liab 5-6'!M41</f>
        <v>124574918</v>
      </c>
      <c r="C281" s="2" t="s">
        <v>569</v>
      </c>
      <c r="D281" s="2" t="str">
        <f t="shared" si="3"/>
        <v>Error?</v>
      </c>
    </row>
    <row r="282" spans="1:4" x14ac:dyDescent="0.2">
      <c r="A282" s="5">
        <v>221</v>
      </c>
      <c r="B282" s="1831">
        <f>'Assets-Liab 5-6'!N21</f>
        <v>0</v>
      </c>
      <c r="D282" s="2" t="str">
        <f t="shared" si="3"/>
        <v>Error?</v>
      </c>
    </row>
    <row r="283" spans="1:4" x14ac:dyDescent="0.2">
      <c r="A283" s="5">
        <v>222</v>
      </c>
      <c r="B283" s="1831">
        <f>'Assets-Liab 5-6'!N22</f>
        <v>0</v>
      </c>
      <c r="D283" s="2" t="str">
        <f t="shared" si="3"/>
        <v>Error?</v>
      </c>
    </row>
    <row r="284" spans="1:4" x14ac:dyDescent="0.2">
      <c r="A284" s="5">
        <v>223</v>
      </c>
      <c r="B284" s="1831">
        <f>'Assets-Liab 5-6'!N23</f>
        <v>0</v>
      </c>
      <c r="C284" s="2" t="s">
        <v>569</v>
      </c>
      <c r="D284" s="2" t="str">
        <f t="shared" si="3"/>
        <v>Error?</v>
      </c>
    </row>
    <row r="285" spans="1:4" x14ac:dyDescent="0.2">
      <c r="A285" s="5">
        <v>224</v>
      </c>
      <c r="B285" s="1831">
        <f>'Assets-Liab 5-6'!N36</f>
        <v>0</v>
      </c>
      <c r="D285" s="2" t="str">
        <f t="shared" si="3"/>
        <v>Error?</v>
      </c>
    </row>
    <row r="286" spans="1:4" x14ac:dyDescent="0.2">
      <c r="A286" s="10">
        <v>225</v>
      </c>
      <c r="B286" s="1831"/>
      <c r="D286" s="2" t="str">
        <f t="shared" si="3"/>
        <v>OK</v>
      </c>
    </row>
    <row r="287" spans="1:4" x14ac:dyDescent="0.2">
      <c r="A287" s="5">
        <v>226</v>
      </c>
      <c r="B287" s="1831">
        <f>'Assets-Liab 5-6'!N37</f>
        <v>0</v>
      </c>
      <c r="C287" s="2" t="s">
        <v>569</v>
      </c>
      <c r="D287" s="2" t="str">
        <f t="shared" si="3"/>
        <v>Error?</v>
      </c>
    </row>
    <row r="288" spans="1:4" x14ac:dyDescent="0.2">
      <c r="A288" s="5">
        <v>227</v>
      </c>
      <c r="B288" s="1831">
        <f>'Assets-Liab 5-6'!N41</f>
        <v>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14953718</v>
      </c>
      <c r="D705" s="2" t="str">
        <f t="shared" si="10"/>
        <v>Error?</v>
      </c>
    </row>
    <row r="706" spans="1:4" x14ac:dyDescent="0.2">
      <c r="A706" s="5">
        <v>645</v>
      </c>
      <c r="B706" s="1831">
        <f>'Expenditures 15-22'!C16</f>
        <v>327311</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352882</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409697</v>
      </c>
      <c r="D718" s="2" t="str">
        <f t="shared" si="10"/>
        <v>Error?</v>
      </c>
    </row>
    <row r="719" spans="1:4" x14ac:dyDescent="0.2">
      <c r="A719" s="5">
        <v>658</v>
      </c>
      <c r="B719" s="1831">
        <f>'Expenditures 15-22'!C15</f>
        <v>118356</v>
      </c>
      <c r="D719" s="2" t="str">
        <f t="shared" si="10"/>
        <v>Error?</v>
      </c>
    </row>
    <row r="720" spans="1:4" x14ac:dyDescent="0.2">
      <c r="A720" s="5">
        <v>659</v>
      </c>
      <c r="B720" s="1831">
        <f>'Expenditures 15-22'!C33</f>
        <v>21519281</v>
      </c>
      <c r="C720" s="2" t="s">
        <v>569</v>
      </c>
      <c r="D720" s="2" t="str">
        <f t="shared" si="10"/>
        <v>Error?</v>
      </c>
    </row>
    <row r="721" spans="1:4" x14ac:dyDescent="0.2">
      <c r="A721" s="5">
        <v>660</v>
      </c>
      <c r="B721" s="1831">
        <f>'Expenditures 15-22'!C36</f>
        <v>516648</v>
      </c>
      <c r="D721" s="2" t="str">
        <f t="shared" si="10"/>
        <v>Error?</v>
      </c>
    </row>
    <row r="722" spans="1:4" x14ac:dyDescent="0.2">
      <c r="A722" s="5">
        <v>661</v>
      </c>
      <c r="B722" s="1831">
        <f>'Expenditures 15-22'!C37</f>
        <v>450488</v>
      </c>
      <c r="D722" s="2" t="str">
        <f t="shared" si="10"/>
        <v>Error?</v>
      </c>
    </row>
    <row r="723" spans="1:4" x14ac:dyDescent="0.2">
      <c r="A723" s="5">
        <v>662</v>
      </c>
      <c r="B723" s="1831">
        <f>'Expenditures 15-22'!C38</f>
        <v>327563</v>
      </c>
      <c r="D723" s="2" t="str">
        <f t="shared" si="10"/>
        <v>Error?</v>
      </c>
    </row>
    <row r="724" spans="1:4" x14ac:dyDescent="0.2">
      <c r="A724" s="5">
        <v>663</v>
      </c>
      <c r="B724" s="1831">
        <f>'Expenditures 15-22'!C39</f>
        <v>375985</v>
      </c>
      <c r="D724" s="2" t="str">
        <f t="shared" si="10"/>
        <v>Error?</v>
      </c>
    </row>
    <row r="725" spans="1:4" x14ac:dyDescent="0.2">
      <c r="A725" s="5">
        <v>664</v>
      </c>
      <c r="B725" s="1831">
        <f>'Expenditures 15-22'!C40</f>
        <v>1019361</v>
      </c>
      <c r="D725" s="2" t="str">
        <f t="shared" si="10"/>
        <v>Error?</v>
      </c>
    </row>
    <row r="726" spans="1:4" x14ac:dyDescent="0.2">
      <c r="A726" s="5">
        <v>665</v>
      </c>
      <c r="B726" s="1831">
        <f>'Expenditures 15-22'!C41</f>
        <v>472215</v>
      </c>
      <c r="D726" s="2" t="str">
        <f t="shared" si="10"/>
        <v>Error?</v>
      </c>
    </row>
    <row r="727" spans="1:4" x14ac:dyDescent="0.2">
      <c r="A727" s="5">
        <v>666</v>
      </c>
      <c r="B727" s="1831">
        <f>'Expenditures 15-22'!C42</f>
        <v>3162260</v>
      </c>
      <c r="C727" s="2" t="s">
        <v>569</v>
      </c>
      <c r="D727" s="2" t="str">
        <f t="shared" si="10"/>
        <v>Error?</v>
      </c>
    </row>
    <row r="728" spans="1:4" x14ac:dyDescent="0.2">
      <c r="A728" s="5">
        <v>667</v>
      </c>
      <c r="B728" s="1831">
        <f>'Expenditures 15-22'!C44</f>
        <v>514232</v>
      </c>
      <c r="D728" s="2" t="str">
        <f t="shared" si="10"/>
        <v>Error?</v>
      </c>
    </row>
    <row r="729" spans="1:4" x14ac:dyDescent="0.2">
      <c r="A729" s="5">
        <v>668</v>
      </c>
      <c r="B729" s="1831">
        <f>'Expenditures 15-22'!C45</f>
        <v>1080833</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1595065</v>
      </c>
      <c r="C731" s="2" t="s">
        <v>569</v>
      </c>
      <c r="D731" s="2" t="str">
        <f t="shared" si="10"/>
        <v>Error?</v>
      </c>
    </row>
    <row r="732" spans="1:4" x14ac:dyDescent="0.2">
      <c r="A732" s="5">
        <v>671</v>
      </c>
      <c r="B732" s="1831">
        <f>'Expenditures 15-22'!C49</f>
        <v>6461</v>
      </c>
      <c r="D732" s="2" t="str">
        <f t="shared" si="10"/>
        <v>Error?</v>
      </c>
    </row>
    <row r="733" spans="1:4" x14ac:dyDescent="0.2">
      <c r="A733" s="5">
        <v>672</v>
      </c>
      <c r="B733" s="1831">
        <f>'Expenditures 15-22'!C50</f>
        <v>312276</v>
      </c>
      <c r="D733" s="2" t="str">
        <f t="shared" si="10"/>
        <v>Error?</v>
      </c>
    </row>
    <row r="734" spans="1:4" x14ac:dyDescent="0.2">
      <c r="A734" s="5">
        <v>673</v>
      </c>
      <c r="B734" s="1831">
        <f>'Expenditures 15-22'!C53</f>
        <v>800092</v>
      </c>
      <c r="C734" s="2" t="s">
        <v>569</v>
      </c>
      <c r="D734" s="2" t="str">
        <f t="shared" si="10"/>
        <v>Error?</v>
      </c>
    </row>
    <row r="735" spans="1:4" x14ac:dyDescent="0.2">
      <c r="A735" s="5">
        <v>674</v>
      </c>
      <c r="B735" s="1831">
        <f>'Expenditures 15-22'!C55</f>
        <v>1440916</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1440916</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351707</v>
      </c>
      <c r="D739" s="2" t="str">
        <f t="shared" si="10"/>
        <v>Error?</v>
      </c>
    </row>
    <row r="740" spans="1:4" x14ac:dyDescent="0.2">
      <c r="A740" s="5">
        <v>679</v>
      </c>
      <c r="B740" s="1831">
        <f>'Expenditures 15-22'!C61</f>
        <v>7204</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358911</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7357244</v>
      </c>
      <c r="C755" s="2" t="s">
        <v>569</v>
      </c>
      <c r="D755" s="2" t="str">
        <f t="shared" si="10"/>
        <v>Error?</v>
      </c>
    </row>
    <row r="756" spans="1:4" x14ac:dyDescent="0.2">
      <c r="A756" s="5">
        <v>695</v>
      </c>
      <c r="B756" s="1831">
        <f>'Expenditures 15-22'!C75</f>
        <v>74084</v>
      </c>
      <c r="D756" s="2" t="str">
        <f t="shared" si="10"/>
        <v>Error?</v>
      </c>
    </row>
    <row r="757" spans="1:4" x14ac:dyDescent="0.2">
      <c r="A757" s="5">
        <v>696</v>
      </c>
      <c r="B757" s="1831">
        <f>'Expenditures 15-22'!C114</f>
        <v>28950609</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3066496</v>
      </c>
      <c r="D763" s="2" t="str">
        <f t="shared" si="10"/>
        <v>Error?</v>
      </c>
    </row>
    <row r="764" spans="1:4" x14ac:dyDescent="0.2">
      <c r="A764" s="5">
        <v>703</v>
      </c>
      <c r="B764" s="1831">
        <f>'Expenditures 15-22'!D16</f>
        <v>20590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32165</v>
      </c>
      <c r="D776" s="2" t="str">
        <f t="shared" si="11"/>
        <v>Error?</v>
      </c>
    </row>
    <row r="777" spans="1:4" x14ac:dyDescent="0.2">
      <c r="A777" s="5">
        <v>716</v>
      </c>
      <c r="B777" s="1831">
        <f>'Expenditures 15-22'!D15</f>
        <v>812</v>
      </c>
      <c r="D777" s="2" t="str">
        <f t="shared" si="11"/>
        <v>Error?</v>
      </c>
    </row>
    <row r="778" spans="1:4" x14ac:dyDescent="0.2">
      <c r="A778" s="5">
        <v>717</v>
      </c>
      <c r="B778" s="1831">
        <f>'Expenditures 15-22'!D33</f>
        <v>3755901</v>
      </c>
      <c r="C778" s="2" t="s">
        <v>569</v>
      </c>
      <c r="D778" s="2" t="str">
        <f t="shared" si="11"/>
        <v>Error?</v>
      </c>
    </row>
    <row r="779" spans="1:4" x14ac:dyDescent="0.2">
      <c r="A779" s="5">
        <v>718</v>
      </c>
      <c r="B779" s="1831">
        <f>'Expenditures 15-22'!D36</f>
        <v>77846</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48098</v>
      </c>
      <c r="D781" s="2" t="str">
        <f t="shared" si="11"/>
        <v>Error?</v>
      </c>
    </row>
    <row r="782" spans="1:4" x14ac:dyDescent="0.2">
      <c r="A782" s="5">
        <v>721</v>
      </c>
      <c r="B782" s="1831">
        <f>'Expenditures 15-22'!D39</f>
        <v>40613</v>
      </c>
      <c r="D782" s="2" t="str">
        <f t="shared" si="11"/>
        <v>Error?</v>
      </c>
    </row>
    <row r="783" spans="1:4" x14ac:dyDescent="0.2">
      <c r="A783" s="5">
        <v>722</v>
      </c>
      <c r="B783" s="1831">
        <f>'Expenditures 15-22'!D40</f>
        <v>99745</v>
      </c>
      <c r="D783" s="2" t="str">
        <f t="shared" si="11"/>
        <v>Error?</v>
      </c>
    </row>
    <row r="784" spans="1:4" x14ac:dyDescent="0.2">
      <c r="A784" s="5">
        <v>723</v>
      </c>
      <c r="B784" s="1831">
        <f>'Expenditures 15-22'!D41</f>
        <v>11201</v>
      </c>
      <c r="D784" s="2" t="str">
        <f t="shared" si="11"/>
        <v>Error?</v>
      </c>
    </row>
    <row r="785" spans="1:4" x14ac:dyDescent="0.2">
      <c r="A785" s="5">
        <v>724</v>
      </c>
      <c r="B785" s="1831">
        <f>'Expenditures 15-22'!D42</f>
        <v>277503</v>
      </c>
      <c r="C785" s="2" t="s">
        <v>569</v>
      </c>
      <c r="D785" s="2" t="str">
        <f t="shared" si="11"/>
        <v>Error?</v>
      </c>
    </row>
    <row r="786" spans="1:4" x14ac:dyDescent="0.2">
      <c r="A786" s="5">
        <v>725</v>
      </c>
      <c r="B786" s="1831">
        <f>'Expenditures 15-22'!D44</f>
        <v>3852</v>
      </c>
      <c r="D786" s="2" t="str">
        <f t="shared" si="11"/>
        <v>Error?</v>
      </c>
    </row>
    <row r="787" spans="1:4" x14ac:dyDescent="0.2">
      <c r="A787" s="5">
        <v>726</v>
      </c>
      <c r="B787" s="1831">
        <f>'Expenditures 15-22'!D45</f>
        <v>151473</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155325</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40433</v>
      </c>
      <c r="D791" s="2" t="str">
        <f t="shared" si="11"/>
        <v>Error?</v>
      </c>
    </row>
    <row r="792" spans="1:4" x14ac:dyDescent="0.2">
      <c r="A792" s="5">
        <v>731</v>
      </c>
      <c r="B792" s="1831">
        <f>'Expenditures 15-22'!D53</f>
        <v>70553</v>
      </c>
      <c r="C792" s="2" t="s">
        <v>569</v>
      </c>
      <c r="D792" s="2" t="str">
        <f t="shared" si="11"/>
        <v>Error?</v>
      </c>
    </row>
    <row r="793" spans="1:4" x14ac:dyDescent="0.2">
      <c r="A793" s="5">
        <v>732</v>
      </c>
      <c r="B793" s="1831">
        <f>'Expenditures 15-22'!D55</f>
        <v>327811</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327811</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61931</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61931</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893123</v>
      </c>
      <c r="C813" s="2" t="s">
        <v>569</v>
      </c>
      <c r="D813" s="2" t="str">
        <f t="shared" si="11"/>
        <v>Error?</v>
      </c>
    </row>
    <row r="814" spans="1:4" x14ac:dyDescent="0.2">
      <c r="A814" s="5">
        <v>753</v>
      </c>
      <c r="B814" s="1831">
        <f>'Expenditures 15-22'!D75</f>
        <v>6683</v>
      </c>
      <c r="D814" s="2" t="str">
        <f t="shared" si="11"/>
        <v>Error?</v>
      </c>
    </row>
    <row r="815" spans="1:4" x14ac:dyDescent="0.2">
      <c r="A815" s="5">
        <v>754</v>
      </c>
      <c r="B815" s="1831">
        <f>'Expenditures 15-22'!D114</f>
        <v>4655707</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609467</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8932</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625243</v>
      </c>
      <c r="C836" s="2" t="s">
        <v>569</v>
      </c>
      <c r="D836" s="2" t="str">
        <f t="shared" si="12"/>
        <v>Error?</v>
      </c>
    </row>
    <row r="837" spans="1:4" x14ac:dyDescent="0.2">
      <c r="A837" s="5">
        <v>776</v>
      </c>
      <c r="B837" s="1831">
        <f>'Expenditures 15-22'!E36</f>
        <v>65</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82179</v>
      </c>
      <c r="D839" s="2" t="str">
        <f t="shared" si="12"/>
        <v>Error?</v>
      </c>
    </row>
    <row r="840" spans="1:4" x14ac:dyDescent="0.2">
      <c r="A840" s="5">
        <v>779</v>
      </c>
      <c r="B840" s="1831">
        <f>'Expenditures 15-22'!E39</f>
        <v>56364</v>
      </c>
      <c r="D840" s="2" t="str">
        <f t="shared" si="12"/>
        <v>Error?</v>
      </c>
    </row>
    <row r="841" spans="1:4" x14ac:dyDescent="0.2">
      <c r="A841" s="5">
        <v>780</v>
      </c>
      <c r="B841" s="1831">
        <f>'Expenditures 15-22'!E40</f>
        <v>7947</v>
      </c>
      <c r="D841" s="2" t="str">
        <f t="shared" si="12"/>
        <v>Error?</v>
      </c>
    </row>
    <row r="842" spans="1:4" x14ac:dyDescent="0.2">
      <c r="A842" s="5">
        <v>781</v>
      </c>
      <c r="B842" s="1831">
        <f>'Expenditures 15-22'!E41</f>
        <v>-13</v>
      </c>
      <c r="D842" s="2" t="str">
        <f t="shared" si="12"/>
        <v>Error?</v>
      </c>
    </row>
    <row r="843" spans="1:4" x14ac:dyDescent="0.2">
      <c r="A843" s="5">
        <v>782</v>
      </c>
      <c r="B843" s="1831">
        <f>'Expenditures 15-22'!E42</f>
        <v>146542</v>
      </c>
      <c r="C843" s="2" t="s">
        <v>569</v>
      </c>
      <c r="D843" s="2" t="str">
        <f t="shared" si="12"/>
        <v>Error?</v>
      </c>
    </row>
    <row r="844" spans="1:4" x14ac:dyDescent="0.2">
      <c r="A844" s="5">
        <v>783</v>
      </c>
      <c r="B844" s="1831">
        <f>'Expenditures 15-22'!E44</f>
        <v>446844</v>
      </c>
      <c r="D844" s="2" t="str">
        <f t="shared" si="12"/>
        <v>Error?</v>
      </c>
    </row>
    <row r="845" spans="1:4" x14ac:dyDescent="0.2">
      <c r="A845" s="5">
        <v>784</v>
      </c>
      <c r="B845" s="1831">
        <f>'Expenditures 15-22'!E45</f>
        <v>425118</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871962</v>
      </c>
      <c r="C847" s="2" t="s">
        <v>569</v>
      </c>
      <c r="D847" s="2" t="str">
        <f t="shared" si="12"/>
        <v>Error?</v>
      </c>
    </row>
    <row r="848" spans="1:4" x14ac:dyDescent="0.2">
      <c r="A848" s="5">
        <v>787</v>
      </c>
      <c r="B848" s="1831">
        <f>'Expenditures 15-22'!E49</f>
        <v>125296</v>
      </c>
      <c r="D848" s="2" t="str">
        <f t="shared" si="12"/>
        <v>Error?</v>
      </c>
    </row>
    <row r="849" spans="1:4" x14ac:dyDescent="0.2">
      <c r="A849" s="5">
        <v>788</v>
      </c>
      <c r="B849" s="1831">
        <f>'Expenditures 15-22'!E50</f>
        <v>2677</v>
      </c>
      <c r="D849" s="2" t="str">
        <f t="shared" si="12"/>
        <v>Error?</v>
      </c>
    </row>
    <row r="850" spans="1:4" x14ac:dyDescent="0.2">
      <c r="A850" s="5">
        <v>789</v>
      </c>
      <c r="B850" s="1831">
        <f>'Expenditures 15-22'!E53</f>
        <v>128302</v>
      </c>
      <c r="C850" s="2" t="s">
        <v>569</v>
      </c>
      <c r="D850" s="2" t="str">
        <f t="shared" si="12"/>
        <v>Error?</v>
      </c>
    </row>
    <row r="851" spans="1:4" x14ac:dyDescent="0.2">
      <c r="A851" s="5">
        <v>790</v>
      </c>
      <c r="B851" s="1831">
        <f>'Expenditures 15-22'!E55</f>
        <v>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0</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24354</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0</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24354</v>
      </c>
      <c r="C861" s="2" t="s">
        <v>569</v>
      </c>
      <c r="D861" s="2" t="str">
        <f t="shared" si="12"/>
        <v>Error?</v>
      </c>
    </row>
    <row r="862" spans="1:4" x14ac:dyDescent="0.2">
      <c r="A862" s="5">
        <v>801</v>
      </c>
      <c r="B862" s="1831">
        <f>'Expenditures 15-22'!E67</f>
        <v>6000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6000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1177160</v>
      </c>
      <c r="C871" s="2" t="s">
        <v>569</v>
      </c>
      <c r="D871" s="2" t="str">
        <f t="shared" si="12"/>
        <v>Error?</v>
      </c>
    </row>
    <row r="872" spans="1:4" x14ac:dyDescent="0.2">
      <c r="A872" s="5">
        <v>811</v>
      </c>
      <c r="B872" s="1831">
        <f>'Expenditures 15-22'!E75</f>
        <v>21874</v>
      </c>
      <c r="D872" s="2" t="str">
        <f t="shared" si="12"/>
        <v>Error?</v>
      </c>
    </row>
    <row r="873" spans="1:4" x14ac:dyDescent="0.2">
      <c r="A873" s="5">
        <v>812</v>
      </c>
      <c r="B873" s="1831">
        <f>'Expenditures 15-22'!E114</f>
        <v>1825630</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910299</v>
      </c>
      <c r="D879" s="2" t="str">
        <f t="shared" si="12"/>
        <v>Error?</v>
      </c>
    </row>
    <row r="880" spans="1:4" x14ac:dyDescent="0.2">
      <c r="A880" s="5">
        <v>819</v>
      </c>
      <c r="B880" s="1831">
        <f>'Expenditures 15-22'!F16</f>
        <v>3053</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4523</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16739</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1009791</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36378</v>
      </c>
      <c r="D897" s="2" t="str">
        <f t="shared" si="13"/>
        <v>Error?</v>
      </c>
    </row>
    <row r="898" spans="1:4" x14ac:dyDescent="0.2">
      <c r="A898" s="5">
        <v>837</v>
      </c>
      <c r="B898" s="1831">
        <f>'Expenditures 15-22'!F39</f>
        <v>4518</v>
      </c>
      <c r="D898" s="2" t="str">
        <f t="shared" si="13"/>
        <v>Error?</v>
      </c>
    </row>
    <row r="899" spans="1:4" x14ac:dyDescent="0.2">
      <c r="A899" s="5">
        <v>838</v>
      </c>
      <c r="B899" s="1831">
        <f>'Expenditures 15-22'!F40</f>
        <v>6556</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47452</v>
      </c>
      <c r="C901" s="2" t="s">
        <v>569</v>
      </c>
      <c r="D901" s="2" t="str">
        <f t="shared" si="13"/>
        <v>Error?</v>
      </c>
    </row>
    <row r="902" spans="1:4" x14ac:dyDescent="0.2">
      <c r="A902" s="5">
        <v>841</v>
      </c>
      <c r="B902" s="1831">
        <f>'Expenditures 15-22'!F44</f>
        <v>3410</v>
      </c>
      <c r="D902" s="2" t="str">
        <f t="shared" si="13"/>
        <v>Error?</v>
      </c>
    </row>
    <row r="903" spans="1:4" x14ac:dyDescent="0.2">
      <c r="A903" s="5">
        <v>842</v>
      </c>
      <c r="B903" s="1831">
        <f>'Expenditures 15-22'!F45</f>
        <v>101004</v>
      </c>
      <c r="D903" s="2" t="str">
        <f t="shared" si="13"/>
        <v>Error?</v>
      </c>
    </row>
    <row r="904" spans="1:4" x14ac:dyDescent="0.2">
      <c r="A904" s="5">
        <v>843</v>
      </c>
      <c r="B904" s="1831">
        <f>'Expenditures 15-22'!F46</f>
        <v>1865</v>
      </c>
      <c r="D904" s="2" t="str">
        <f t="shared" si="13"/>
        <v>Error?</v>
      </c>
    </row>
    <row r="905" spans="1:4" x14ac:dyDescent="0.2">
      <c r="A905" s="5">
        <v>844</v>
      </c>
      <c r="B905" s="1831">
        <f>'Expenditures 15-22'!F47</f>
        <v>106279</v>
      </c>
      <c r="C905" s="2" t="s">
        <v>569</v>
      </c>
      <c r="D905" s="2" t="str">
        <f t="shared" si="13"/>
        <v>Error?</v>
      </c>
    </row>
    <row r="906" spans="1:4" x14ac:dyDescent="0.2">
      <c r="A906" s="5">
        <v>845</v>
      </c>
      <c r="B906" s="1831">
        <f>'Expenditures 15-22'!F49</f>
        <v>1310</v>
      </c>
      <c r="D906" s="2" t="str">
        <f t="shared" si="13"/>
        <v>Error?</v>
      </c>
    </row>
    <row r="907" spans="1:4" x14ac:dyDescent="0.2">
      <c r="A907" s="5">
        <v>846</v>
      </c>
      <c r="B907" s="1831">
        <f>'Expenditures 15-22'!F50</f>
        <v>3368</v>
      </c>
      <c r="D907" s="2" t="str">
        <f t="shared" si="13"/>
        <v>Error?</v>
      </c>
    </row>
    <row r="908" spans="1:4" x14ac:dyDescent="0.2">
      <c r="A908" s="5">
        <v>847</v>
      </c>
      <c r="B908" s="1831">
        <f>'Expenditures 15-22'!F53</f>
        <v>7223</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6796</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94123</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100919</v>
      </c>
      <c r="C919" s="2" t="s">
        <v>569</v>
      </c>
      <c r="D919" s="2" t="str">
        <f t="shared" si="13"/>
        <v>Error?</v>
      </c>
    </row>
    <row r="920" spans="1:4" x14ac:dyDescent="0.2">
      <c r="A920" s="5">
        <v>859</v>
      </c>
      <c r="B920" s="1831">
        <f>'Expenditures 15-22'!F67</f>
        <v>1444</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1444</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263317</v>
      </c>
      <c r="C929" s="2" t="s">
        <v>569</v>
      </c>
      <c r="D929" s="2" t="str">
        <f t="shared" si="13"/>
        <v>Error?</v>
      </c>
    </row>
    <row r="930" spans="1:4" x14ac:dyDescent="0.2">
      <c r="A930" s="5">
        <v>869</v>
      </c>
      <c r="B930" s="1831">
        <f>'Expenditures 15-22'!F75</f>
        <v>8696</v>
      </c>
      <c r="D930" s="2" t="str">
        <f t="shared" si="13"/>
        <v>Error?</v>
      </c>
    </row>
    <row r="931" spans="1:4" x14ac:dyDescent="0.2">
      <c r="A931" s="5">
        <v>870</v>
      </c>
      <c r="B931" s="1831">
        <f>'Expenditures 15-22'!F114</f>
        <v>1281804</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38544</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42522</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4252</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4252</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2244431</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2244431</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2248683</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2291205</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200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3900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4100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688</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688</v>
      </c>
      <c r="C1021" s="2" t="s">
        <v>569</v>
      </c>
      <c r="D1021" s="2" t="str">
        <f t="shared" si="14"/>
        <v>Error?</v>
      </c>
    </row>
    <row r="1022" spans="1:4" x14ac:dyDescent="0.2">
      <c r="A1022" s="5">
        <v>961</v>
      </c>
      <c r="B1022" s="1831">
        <f>'Expenditures 15-22'!H49</f>
        <v>2120</v>
      </c>
      <c r="D1022" s="2" t="str">
        <f t="shared" si="14"/>
        <v>Error?</v>
      </c>
    </row>
    <row r="1023" spans="1:4" x14ac:dyDescent="0.2">
      <c r="A1023" s="5">
        <v>962</v>
      </c>
      <c r="B1023" s="1831">
        <f>'Expenditures 15-22'!H50</f>
        <v>1977</v>
      </c>
      <c r="D1023" s="2" t="str">
        <f t="shared" ref="D1023:D1086" si="15">IF(ISBLANK(B1023),"OK",IF(A1023-B1023=0,"OK","Error?"))</f>
        <v>Error?</v>
      </c>
    </row>
    <row r="1024" spans="1:4" x14ac:dyDescent="0.2">
      <c r="A1024" s="5">
        <v>963</v>
      </c>
      <c r="B1024" s="1831">
        <f>'Expenditures 15-22'!H53</f>
        <v>4507</v>
      </c>
      <c r="C1024" s="2" t="s">
        <v>569</v>
      </c>
      <c r="D1024" s="2" t="str">
        <f t="shared" si="15"/>
        <v>Error?</v>
      </c>
    </row>
    <row r="1025" spans="1:4" x14ac:dyDescent="0.2">
      <c r="A1025" s="5">
        <v>964</v>
      </c>
      <c r="B1025" s="1831">
        <f>'Expenditures 15-22'!H55</f>
        <v>1970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1970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500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500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7665</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684488</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696253</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1999</v>
      </c>
      <c r="E1056" s="4" t="s">
        <v>1998</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19578524</v>
      </c>
      <c r="C1093" s="2" t="s">
        <v>569</v>
      </c>
      <c r="D1093" s="2" t="str">
        <f t="shared" si="16"/>
        <v>Error?</v>
      </c>
    </row>
    <row r="1094" spans="1:4" x14ac:dyDescent="0.2">
      <c r="A1094" s="5">
        <v>1033</v>
      </c>
      <c r="B1094" s="1831">
        <f>'Expenditures 15-22'!K16</f>
        <v>351154</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357405</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471433</v>
      </c>
      <c r="C1106" s="2" t="s">
        <v>569</v>
      </c>
      <c r="D1106" s="2" t="str">
        <f t="shared" si="16"/>
        <v>Error?</v>
      </c>
    </row>
    <row r="1107" spans="1:4" x14ac:dyDescent="0.2">
      <c r="A1107" s="5">
        <v>1046</v>
      </c>
      <c r="B1107" s="1831">
        <f>'Expenditures 15-22'!K15</f>
        <v>119168</v>
      </c>
      <c r="C1107" s="2" t="s">
        <v>569</v>
      </c>
      <c r="D1107" s="2" t="str">
        <f t="shared" si="16"/>
        <v>Error?</v>
      </c>
    </row>
    <row r="1108" spans="1:4" x14ac:dyDescent="0.2">
      <c r="A1108" s="5">
        <v>1047</v>
      </c>
      <c r="B1108" s="1831">
        <f>'Expenditures 15-22'!K33</f>
        <v>26956838</v>
      </c>
      <c r="C1108" s="2" t="s">
        <v>569</v>
      </c>
      <c r="D1108" s="2" t="str">
        <f t="shared" si="16"/>
        <v>Error?</v>
      </c>
    </row>
    <row r="1109" spans="1:4" x14ac:dyDescent="0.2">
      <c r="A1109" s="5">
        <v>1048</v>
      </c>
      <c r="B1109" s="1831">
        <f>'Expenditures 15-22'!K36</f>
        <v>594559</v>
      </c>
      <c r="C1109" s="2" t="s">
        <v>569</v>
      </c>
      <c r="D1109" s="2" t="str">
        <f t="shared" si="16"/>
        <v>Error?</v>
      </c>
    </row>
    <row r="1110" spans="1:4" x14ac:dyDescent="0.2">
      <c r="A1110" s="5">
        <v>1049</v>
      </c>
      <c r="B1110" s="1831">
        <f>'Expenditures 15-22'!K37</f>
        <v>450488</v>
      </c>
      <c r="C1110" s="2" t="s">
        <v>569</v>
      </c>
      <c r="D1110" s="2" t="str">
        <f t="shared" si="16"/>
        <v>Error?</v>
      </c>
    </row>
    <row r="1111" spans="1:4" x14ac:dyDescent="0.2">
      <c r="A1111" s="5">
        <v>1050</v>
      </c>
      <c r="B1111" s="1831">
        <f>'Expenditures 15-22'!K38</f>
        <v>498470</v>
      </c>
      <c r="C1111" s="2" t="s">
        <v>569</v>
      </c>
      <c r="D1111" s="2" t="str">
        <f t="shared" si="16"/>
        <v>Error?</v>
      </c>
    </row>
    <row r="1112" spans="1:4" x14ac:dyDescent="0.2">
      <c r="A1112" s="5">
        <v>1051</v>
      </c>
      <c r="B1112" s="1831">
        <f>'Expenditures 15-22'!K39</f>
        <v>477480</v>
      </c>
      <c r="C1112" s="2" t="s">
        <v>569</v>
      </c>
      <c r="D1112" s="2" t="str">
        <f t="shared" si="16"/>
        <v>Error?</v>
      </c>
    </row>
    <row r="1113" spans="1:4" x14ac:dyDescent="0.2">
      <c r="A1113" s="5">
        <v>1052</v>
      </c>
      <c r="B1113" s="1831">
        <f>'Expenditures 15-22'!K40</f>
        <v>1133609</v>
      </c>
      <c r="C1113" s="2" t="s">
        <v>569</v>
      </c>
      <c r="D1113" s="2" t="str">
        <f t="shared" si="16"/>
        <v>Error?</v>
      </c>
    </row>
    <row r="1114" spans="1:4" x14ac:dyDescent="0.2">
      <c r="A1114" s="5">
        <v>1053</v>
      </c>
      <c r="B1114" s="1831">
        <f>'Expenditures 15-22'!K41</f>
        <v>483403</v>
      </c>
      <c r="C1114" s="2" t="s">
        <v>569</v>
      </c>
      <c r="D1114" s="2" t="str">
        <f t="shared" si="16"/>
        <v>Error?</v>
      </c>
    </row>
    <row r="1115" spans="1:4" x14ac:dyDescent="0.2">
      <c r="A1115" s="5">
        <v>1054</v>
      </c>
      <c r="B1115" s="1831">
        <f>'Expenditures 15-22'!K42</f>
        <v>3638009</v>
      </c>
      <c r="C1115" s="2" t="s">
        <v>569</v>
      </c>
      <c r="D1115" s="2" t="str">
        <f t="shared" si="16"/>
        <v>Error?</v>
      </c>
    </row>
    <row r="1116" spans="1:4" x14ac:dyDescent="0.2">
      <c r="A1116" s="5">
        <v>1055</v>
      </c>
      <c r="B1116" s="1831">
        <f>'Expenditures 15-22'!K44</f>
        <v>969026</v>
      </c>
      <c r="C1116" s="2" t="s">
        <v>569</v>
      </c>
      <c r="D1116" s="2" t="str">
        <f t="shared" si="16"/>
        <v>Error?</v>
      </c>
    </row>
    <row r="1117" spans="1:4" x14ac:dyDescent="0.2">
      <c r="A1117" s="5">
        <v>1056</v>
      </c>
      <c r="B1117" s="1831">
        <f>'Expenditures 15-22'!K45</f>
        <v>4002859</v>
      </c>
      <c r="C1117" s="2" t="s">
        <v>569</v>
      </c>
      <c r="D1117" s="2" t="str">
        <f t="shared" si="16"/>
        <v>Error?</v>
      </c>
    </row>
    <row r="1118" spans="1:4" x14ac:dyDescent="0.2">
      <c r="A1118" s="5">
        <v>1057</v>
      </c>
      <c r="B1118" s="1831">
        <f>'Expenditures 15-22'!K46</f>
        <v>1865</v>
      </c>
      <c r="C1118" s="2" t="s">
        <v>569</v>
      </c>
      <c r="D1118" s="2" t="str">
        <f t="shared" si="16"/>
        <v>Error?</v>
      </c>
    </row>
    <row r="1119" spans="1:4" x14ac:dyDescent="0.2">
      <c r="A1119" s="5">
        <v>1058</v>
      </c>
      <c r="B1119" s="1831">
        <f>'Expenditures 15-22'!K47</f>
        <v>4973750</v>
      </c>
      <c r="C1119" s="2" t="s">
        <v>569</v>
      </c>
      <c r="D1119" s="2" t="str">
        <f t="shared" si="16"/>
        <v>Error?</v>
      </c>
    </row>
    <row r="1120" spans="1:4" x14ac:dyDescent="0.2">
      <c r="A1120" s="5">
        <v>1059</v>
      </c>
      <c r="B1120" s="1831">
        <f>'Expenditures 15-22'!K49</f>
        <v>135187</v>
      </c>
      <c r="C1120" s="2" t="s">
        <v>569</v>
      </c>
      <c r="D1120" s="2" t="str">
        <f t="shared" si="16"/>
        <v>Error?</v>
      </c>
    </row>
    <row r="1121" spans="1:4" x14ac:dyDescent="0.2">
      <c r="A1121" s="5">
        <v>1060</v>
      </c>
      <c r="B1121" s="1831">
        <f>'Expenditures 15-22'!K50</f>
        <v>360731</v>
      </c>
      <c r="C1121" s="2" t="s">
        <v>569</v>
      </c>
      <c r="D1121" s="2" t="str">
        <f t="shared" si="16"/>
        <v>Error?</v>
      </c>
    </row>
    <row r="1122" spans="1:4" x14ac:dyDescent="0.2">
      <c r="A1122" s="5">
        <v>1061</v>
      </c>
      <c r="B1122" s="1831">
        <f>'Expenditures 15-22'!K53</f>
        <v>1010677</v>
      </c>
      <c r="C1122" s="2" t="s">
        <v>569</v>
      </c>
      <c r="D1122" s="2" t="str">
        <f t="shared" si="16"/>
        <v>Error?</v>
      </c>
    </row>
    <row r="1123" spans="1:4" x14ac:dyDescent="0.2">
      <c r="A1123" s="5">
        <v>1062</v>
      </c>
      <c r="B1123" s="1831">
        <f>'Expenditures 15-22'!K55</f>
        <v>1770697</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1770697</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445288</v>
      </c>
      <c r="C1127" s="2" t="s">
        <v>569</v>
      </c>
      <c r="D1127" s="2" t="str">
        <f t="shared" si="16"/>
        <v>Error?</v>
      </c>
    </row>
    <row r="1128" spans="1:4" x14ac:dyDescent="0.2">
      <c r="A1128" s="5">
        <v>1067</v>
      </c>
      <c r="B1128" s="1831">
        <f>'Expenditures 15-22'!K61</f>
        <v>7204</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94123</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546615</v>
      </c>
      <c r="C1133" s="2" t="s">
        <v>569</v>
      </c>
      <c r="D1133" s="2" t="str">
        <f t="shared" si="16"/>
        <v>Error?</v>
      </c>
    </row>
    <row r="1134" spans="1:4" x14ac:dyDescent="0.2">
      <c r="A1134" s="5">
        <v>1073</v>
      </c>
      <c r="B1134" s="1831">
        <f>'Expenditures 15-22'!K67</f>
        <v>7444</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7444</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11947192</v>
      </c>
      <c r="C1143" s="2" t="s">
        <v>569</v>
      </c>
      <c r="D1143" s="2" t="str">
        <f t="shared" si="16"/>
        <v>Error?</v>
      </c>
    </row>
    <row r="1144" spans="1:4" x14ac:dyDescent="0.2">
      <c r="A1144" s="5">
        <v>1083</v>
      </c>
      <c r="B1144" s="1831">
        <f>'Expenditures 15-22'!K75</f>
        <v>111337</v>
      </c>
      <c r="C1144" s="2" t="s">
        <v>569</v>
      </c>
      <c r="D1144" s="2" t="str">
        <f t="shared" si="16"/>
        <v>Error?</v>
      </c>
    </row>
    <row r="1145" spans="1:4" x14ac:dyDescent="0.2">
      <c r="A1145" s="5">
        <v>1084</v>
      </c>
      <c r="B1145" s="1831">
        <f>'Expenditures 15-22'!K102</f>
        <v>685841</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39701208</v>
      </c>
      <c r="C1152" s="2" t="s">
        <v>569</v>
      </c>
      <c r="D1152" s="2" t="str">
        <f t="shared" si="17"/>
        <v>Error?</v>
      </c>
    </row>
    <row r="1153" spans="1:4" x14ac:dyDescent="0.2">
      <c r="A1153" s="5">
        <v>1092</v>
      </c>
      <c r="B1153" s="1831">
        <f>'Expenditures 15-22'!K115</f>
        <v>1906215</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1233328</v>
      </c>
      <c r="D1221" s="2" t="str">
        <f t="shared" si="18"/>
        <v>Error?</v>
      </c>
    </row>
    <row r="1222" spans="1:4" x14ac:dyDescent="0.2">
      <c r="A1222" s="10">
        <v>1161</v>
      </c>
      <c r="B1222" s="1831"/>
      <c r="D1222" s="2" t="str">
        <f t="shared" si="18"/>
        <v>OK</v>
      </c>
    </row>
    <row r="1223" spans="1:4" x14ac:dyDescent="0.2">
      <c r="A1223" s="5">
        <v>1162</v>
      </c>
      <c r="B1223" s="1831">
        <f>'Expenditures 15-22'!C127</f>
        <v>1233328</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1233328</v>
      </c>
      <c r="C1225" s="2" t="s">
        <v>569</v>
      </c>
      <c r="D1225" s="2" t="str">
        <f t="shared" si="18"/>
        <v>Error?</v>
      </c>
    </row>
    <row r="1226" spans="1:4" x14ac:dyDescent="0.2">
      <c r="A1226" s="5">
        <v>1165</v>
      </c>
      <c r="B1226" s="1831">
        <f>'Expenditures 15-22'!C151</f>
        <v>1233328</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200953</v>
      </c>
      <c r="D1229" s="2" t="str">
        <f t="shared" si="18"/>
        <v>Error?</v>
      </c>
    </row>
    <row r="1230" spans="1:4" x14ac:dyDescent="0.2">
      <c r="A1230" s="10">
        <v>1169</v>
      </c>
      <c r="B1230" s="1831"/>
      <c r="D1230" s="2" t="str">
        <f t="shared" si="18"/>
        <v>OK</v>
      </c>
    </row>
    <row r="1231" spans="1:4" x14ac:dyDescent="0.2">
      <c r="A1231" s="5">
        <v>1170</v>
      </c>
      <c r="B1231" s="1831">
        <f>'Expenditures 15-22'!D127</f>
        <v>200953</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200953</v>
      </c>
      <c r="C1233" s="2" t="s">
        <v>569</v>
      </c>
      <c r="D1233" s="2" t="str">
        <f t="shared" si="18"/>
        <v>Error?</v>
      </c>
    </row>
    <row r="1234" spans="1:4" x14ac:dyDescent="0.2">
      <c r="A1234" s="5">
        <v>1173</v>
      </c>
      <c r="B1234" s="1831">
        <f>'Expenditures 15-22'!D151</f>
        <v>200953</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767330</v>
      </c>
      <c r="D1237" s="2" t="str">
        <f t="shared" si="18"/>
        <v>Error?</v>
      </c>
    </row>
    <row r="1238" spans="1:4" x14ac:dyDescent="0.2">
      <c r="A1238" s="10">
        <v>1177</v>
      </c>
      <c r="B1238" s="1831"/>
      <c r="D1238" s="2" t="str">
        <f t="shared" si="18"/>
        <v>OK</v>
      </c>
    </row>
    <row r="1239" spans="1:4" x14ac:dyDescent="0.2">
      <c r="A1239" s="5">
        <v>1178</v>
      </c>
      <c r="B1239" s="1831">
        <f>'Expenditures 15-22'!E127</f>
        <v>767330</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767330</v>
      </c>
      <c r="C1241" s="2" t="s">
        <v>569</v>
      </c>
      <c r="D1241" s="2" t="str">
        <f t="shared" si="18"/>
        <v>Error?</v>
      </c>
    </row>
    <row r="1242" spans="1:4" x14ac:dyDescent="0.2">
      <c r="A1242" s="5">
        <v>1181</v>
      </c>
      <c r="B1242" s="1831">
        <f>'Expenditures 15-22'!E151</f>
        <v>767330</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515760</v>
      </c>
      <c r="D1245" s="2" t="str">
        <f t="shared" si="18"/>
        <v>Error?</v>
      </c>
    </row>
    <row r="1246" spans="1:4" x14ac:dyDescent="0.2">
      <c r="A1246" s="10">
        <v>1185</v>
      </c>
      <c r="B1246" s="1831"/>
      <c r="D1246" s="2" t="str">
        <f t="shared" si="18"/>
        <v>OK</v>
      </c>
    </row>
    <row r="1247" spans="1:4" x14ac:dyDescent="0.2">
      <c r="A1247" s="5">
        <v>1186</v>
      </c>
      <c r="B1247" s="1831">
        <f>'Expenditures 15-22'!F127</f>
        <v>515760</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515760</v>
      </c>
      <c r="C1249" s="2" t="s">
        <v>569</v>
      </c>
      <c r="D1249" s="2" t="str">
        <f t="shared" si="18"/>
        <v>Error?</v>
      </c>
    </row>
    <row r="1250" spans="1:4" x14ac:dyDescent="0.2">
      <c r="A1250" s="5">
        <v>1189</v>
      </c>
      <c r="B1250" s="1831">
        <f>'Expenditures 15-22'!F151</f>
        <v>515760</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7501395</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7501395</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7501395</v>
      </c>
      <c r="C1258" s="2" t="s">
        <v>569</v>
      </c>
      <c r="D1258" s="2" t="str">
        <f t="shared" si="18"/>
        <v>Error?</v>
      </c>
    </row>
    <row r="1259" spans="1:4" x14ac:dyDescent="0.2">
      <c r="A1259" s="5">
        <v>1198</v>
      </c>
      <c r="B1259" s="1831">
        <f>'Expenditures 15-22'!G151</f>
        <v>7501395</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210</v>
      </c>
      <c r="D1262" s="2" t="str">
        <f t="shared" si="18"/>
        <v>Error?</v>
      </c>
    </row>
    <row r="1263" spans="1:4" x14ac:dyDescent="0.2">
      <c r="A1263" s="10">
        <v>1202</v>
      </c>
      <c r="B1263" s="1831"/>
      <c r="D1263" s="2" t="str">
        <f t="shared" si="18"/>
        <v>OK</v>
      </c>
    </row>
    <row r="1264" spans="1:4" x14ac:dyDescent="0.2">
      <c r="A1264" s="5">
        <v>1203</v>
      </c>
      <c r="B1264" s="1831">
        <f>'Expenditures 15-22'!H127</f>
        <v>210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210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210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10218976</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10218976</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10218976</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10218976</v>
      </c>
      <c r="C1288" s="2" t="s">
        <v>569</v>
      </c>
      <c r="D1288" s="2" t="str">
        <f t="shared" si="19"/>
        <v>Error?</v>
      </c>
    </row>
    <row r="1289" spans="1:4" x14ac:dyDescent="0.2">
      <c r="A1289" s="5">
        <v>1228</v>
      </c>
      <c r="B1289" s="1831">
        <f>'Expenditures 15-22'!K152</f>
        <v>-3986984</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0</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0</v>
      </c>
      <c r="C1317" s="2" t="s">
        <v>569</v>
      </c>
      <c r="D1317" s="2" t="str">
        <f t="shared" si="19"/>
        <v>Error?</v>
      </c>
    </row>
    <row r="1318" spans="1:4" x14ac:dyDescent="0.2">
      <c r="A1318" s="5">
        <v>1257</v>
      </c>
      <c r="B1318" s="1831">
        <f>'Expenditures 15-22'!H174</f>
        <v>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0</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0</v>
      </c>
      <c r="C1331" s="2" t="s">
        <v>569</v>
      </c>
      <c r="D1331" s="2" t="str">
        <f t="shared" si="19"/>
        <v>Error?</v>
      </c>
    </row>
    <row r="1332" spans="1:4" x14ac:dyDescent="0.2">
      <c r="A1332" s="5">
        <v>1271</v>
      </c>
      <c r="B1332" s="1831">
        <f>'Expenditures 15-22'!K174</f>
        <v>0</v>
      </c>
      <c r="C1332" s="2" t="s">
        <v>569</v>
      </c>
      <c r="D1332" s="2" t="str">
        <f t="shared" si="19"/>
        <v>Error?</v>
      </c>
    </row>
    <row r="1333" spans="1:4" x14ac:dyDescent="0.2">
      <c r="A1333" s="5">
        <v>1272</v>
      </c>
      <c r="B1333" s="1831">
        <f>'Expenditures 15-22'!K175</f>
        <v>0</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605565</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605565</v>
      </c>
      <c r="C1339" s="2" t="s">
        <v>569</v>
      </c>
      <c r="D1339" s="2" t="str">
        <f t="shared" si="19"/>
        <v>Error?</v>
      </c>
    </row>
    <row r="1340" spans="1:4" x14ac:dyDescent="0.2">
      <c r="A1340" s="5">
        <v>1279</v>
      </c>
      <c r="B1340" s="1831">
        <f>'Expenditures 15-22'!C210</f>
        <v>605565</v>
      </c>
      <c r="C1340" s="2" t="s">
        <v>569</v>
      </c>
      <c r="D1340" s="2" t="str">
        <f t="shared" si="19"/>
        <v>Error?</v>
      </c>
    </row>
    <row r="1341" spans="1:4" x14ac:dyDescent="0.2">
      <c r="A1341" s="5">
        <v>1280</v>
      </c>
      <c r="B1341" s="1831">
        <f>'Expenditures 15-22'!D182</f>
        <v>123839</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123839</v>
      </c>
      <c r="C1345" s="2" t="s">
        <v>569</v>
      </c>
      <c r="D1345" s="2" t="str">
        <f t="shared" si="20"/>
        <v>Error?</v>
      </c>
    </row>
    <row r="1346" spans="1:4" x14ac:dyDescent="0.2">
      <c r="A1346" s="5">
        <v>1285</v>
      </c>
      <c r="B1346" s="1831">
        <f>'Expenditures 15-22'!D210</f>
        <v>123839</v>
      </c>
      <c r="C1346" s="2" t="s">
        <v>569</v>
      </c>
      <c r="D1346" s="2" t="str">
        <f t="shared" si="20"/>
        <v>Error?</v>
      </c>
    </row>
    <row r="1347" spans="1:4" x14ac:dyDescent="0.2">
      <c r="A1347" s="5">
        <v>1286</v>
      </c>
      <c r="B1347" s="1831">
        <f>'Expenditures 15-22'!E182</f>
        <v>530423</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530423</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530423</v>
      </c>
      <c r="C1353" s="2" t="s">
        <v>569</v>
      </c>
      <c r="D1353" s="2" t="str">
        <f t="shared" si="20"/>
        <v>Error?</v>
      </c>
    </row>
    <row r="1354" spans="1:4" x14ac:dyDescent="0.2">
      <c r="A1354" s="5">
        <v>1293</v>
      </c>
      <c r="B1354" s="1831">
        <f>'Expenditures 15-22'!F182</f>
        <v>106380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106380</v>
      </c>
      <c r="C1358" s="2" t="s">
        <v>569</v>
      </c>
      <c r="D1358" s="2" t="str">
        <f t="shared" si="20"/>
        <v>Error?</v>
      </c>
    </row>
    <row r="1359" spans="1:4" x14ac:dyDescent="0.2">
      <c r="A1359" s="5">
        <v>1298</v>
      </c>
      <c r="B1359" s="1831">
        <f>'Expenditures 15-22'!F210</f>
        <v>106380</v>
      </c>
      <c r="C1359" s="2" t="s">
        <v>569</v>
      </c>
      <c r="D1359" s="2" t="str">
        <f t="shared" si="20"/>
        <v>Error?</v>
      </c>
    </row>
    <row r="1360" spans="1:4" x14ac:dyDescent="0.2">
      <c r="A1360" s="5">
        <v>1299</v>
      </c>
      <c r="B1360" s="1831">
        <f>'Expenditures 15-22'!G182</f>
        <v>279540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279540</v>
      </c>
      <c r="C1364" s="2" t="s">
        <v>569</v>
      </c>
      <c r="D1364" s="2" t="str">
        <f t="shared" si="20"/>
        <v>Error?</v>
      </c>
    </row>
    <row r="1365" spans="1:4" x14ac:dyDescent="0.2">
      <c r="A1365" s="5">
        <v>1304</v>
      </c>
      <c r="B1365" s="1831">
        <f>'Expenditures 15-22'!G210</f>
        <v>279540</v>
      </c>
      <c r="C1365" s="2" t="s">
        <v>569</v>
      </c>
      <c r="D1365" s="2" t="str">
        <f t="shared" si="20"/>
        <v>Error?</v>
      </c>
    </row>
    <row r="1366" spans="1:4" x14ac:dyDescent="0.2">
      <c r="A1366" s="5">
        <v>1305</v>
      </c>
      <c r="B1366" s="1831">
        <f>'Expenditures 15-22'!H182</f>
        <v>65</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65</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65</v>
      </c>
      <c r="C1376" s="2" t="s">
        <v>569</v>
      </c>
      <c r="D1376" s="2" t="str">
        <f t="shared" si="20"/>
        <v>Error?</v>
      </c>
    </row>
    <row r="1377" spans="1:4" x14ac:dyDescent="0.2">
      <c r="A1377" s="5">
        <v>1316</v>
      </c>
      <c r="B1377" s="1831">
        <f>'Expenditures 15-22'!K182</f>
        <v>1645812</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1645812</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1645812</v>
      </c>
      <c r="C1388" s="2" t="s">
        <v>569</v>
      </c>
      <c r="D1388" s="2" t="str">
        <f t="shared" si="20"/>
        <v>Error?</v>
      </c>
    </row>
    <row r="1389" spans="1:4" x14ac:dyDescent="0.2">
      <c r="A1389" s="5">
        <v>1328</v>
      </c>
      <c r="B1389" s="1831">
        <f>'Expenditures 15-22'!K211</f>
        <v>1010416</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2691</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5462</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7357</v>
      </c>
      <c r="D1408" s="2" t="str">
        <f t="shared" si="21"/>
        <v>Error?</v>
      </c>
    </row>
    <row r="1409" spans="1:4" x14ac:dyDescent="0.2">
      <c r="A1409" s="5">
        <v>1348</v>
      </c>
      <c r="B1409" s="1831">
        <f>'Expenditures 15-22'!D224</f>
        <v>10478</v>
      </c>
      <c r="D1409" s="2" t="str">
        <f t="shared" si="21"/>
        <v>Error?</v>
      </c>
    </row>
    <row r="1410" spans="1:4" x14ac:dyDescent="0.2">
      <c r="A1410" s="5">
        <v>1349</v>
      </c>
      <c r="B1410" s="1831">
        <f>'Expenditures 15-22'!D229</f>
        <v>745802</v>
      </c>
      <c r="C1410" s="2" t="s">
        <v>569</v>
      </c>
      <c r="D1410" s="2" t="str">
        <f t="shared" si="21"/>
        <v>Error?</v>
      </c>
    </row>
    <row r="1411" spans="1:4" x14ac:dyDescent="0.2">
      <c r="A1411" s="5">
        <v>1350</v>
      </c>
      <c r="B1411" s="1831">
        <f>'Expenditures 15-22'!D232</f>
        <v>10235</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41960</v>
      </c>
      <c r="D1413" s="2" t="str">
        <f t="shared" si="21"/>
        <v>Error?</v>
      </c>
    </row>
    <row r="1414" spans="1:4" x14ac:dyDescent="0.2">
      <c r="A1414" s="5">
        <v>1353</v>
      </c>
      <c r="B1414" s="1831">
        <f>'Expenditures 15-22'!D235</f>
        <v>5477</v>
      </c>
      <c r="D1414" s="2" t="str">
        <f t="shared" si="21"/>
        <v>Error?</v>
      </c>
    </row>
    <row r="1415" spans="1:4" x14ac:dyDescent="0.2">
      <c r="A1415" s="5">
        <v>1354</v>
      </c>
      <c r="B1415" s="1831">
        <f>'Expenditures 15-22'!D236</f>
        <v>16940</v>
      </c>
      <c r="D1415" s="2" t="str">
        <f t="shared" si="21"/>
        <v>Error?</v>
      </c>
    </row>
    <row r="1416" spans="1:4" x14ac:dyDescent="0.2">
      <c r="A1416" s="5">
        <v>1355</v>
      </c>
      <c r="B1416" s="1831">
        <f>'Expenditures 15-22'!D237</f>
        <v>53028</v>
      </c>
      <c r="D1416" s="2" t="str">
        <f t="shared" si="21"/>
        <v>Error?</v>
      </c>
    </row>
    <row r="1417" spans="1:4" x14ac:dyDescent="0.2">
      <c r="A1417" s="5">
        <v>1356</v>
      </c>
      <c r="B1417" s="1831">
        <f>'Expenditures 15-22'!D238</f>
        <v>127640</v>
      </c>
      <c r="C1417" s="2" t="s">
        <v>569</v>
      </c>
      <c r="D1417" s="2" t="str">
        <f t="shared" si="21"/>
        <v>Error?</v>
      </c>
    </row>
    <row r="1418" spans="1:4" x14ac:dyDescent="0.2">
      <c r="A1418" s="5">
        <v>1357</v>
      </c>
      <c r="B1418" s="1831">
        <f>'Expenditures 15-22'!D240</f>
        <v>15679</v>
      </c>
      <c r="D1418" s="2" t="str">
        <f t="shared" si="21"/>
        <v>Error?</v>
      </c>
    </row>
    <row r="1419" spans="1:4" x14ac:dyDescent="0.2">
      <c r="A1419" s="5">
        <v>1358</v>
      </c>
      <c r="B1419" s="1831">
        <f>'Expenditures 15-22'!D241</f>
        <v>133712</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149391</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31319</v>
      </c>
      <c r="D1423" s="2" t="str">
        <f t="shared" si="21"/>
        <v>Error?</v>
      </c>
    </row>
    <row r="1424" spans="1:4" x14ac:dyDescent="0.2">
      <c r="A1424" s="5">
        <v>1363</v>
      </c>
      <c r="B1424" s="1831">
        <f>'Expenditures 15-22'!D257</f>
        <v>62569</v>
      </c>
      <c r="C1424" s="2" t="s">
        <v>569</v>
      </c>
      <c r="D1424" s="2" t="str">
        <f t="shared" si="21"/>
        <v>Error?</v>
      </c>
    </row>
    <row r="1425" spans="1:4" x14ac:dyDescent="0.2">
      <c r="A1425" s="5">
        <v>1364</v>
      </c>
      <c r="B1425" s="1831">
        <f>'Expenditures 15-22'!D259</f>
        <v>106642</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106642</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42642</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229873</v>
      </c>
      <c r="D1431" s="2" t="str">
        <f t="shared" si="21"/>
        <v>Error?</v>
      </c>
    </row>
    <row r="1432" spans="1:4" x14ac:dyDescent="0.2">
      <c r="A1432" s="5">
        <v>1371</v>
      </c>
      <c r="B1432" s="1831">
        <f>'Expenditures 15-22'!D267</f>
        <v>64640</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337155</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783397</v>
      </c>
      <c r="C1446" s="2" t="s">
        <v>569</v>
      </c>
      <c r="D1446" s="2" t="str">
        <f t="shared" si="21"/>
        <v>Error?</v>
      </c>
    </row>
    <row r="1447" spans="1:4" x14ac:dyDescent="0.2">
      <c r="A1447" s="5">
        <v>1386</v>
      </c>
      <c r="B1447" s="1831">
        <f>'Expenditures 15-22'!D280</f>
        <v>246</v>
      </c>
      <c r="D1447" s="2" t="str">
        <f t="shared" si="21"/>
        <v>Error?</v>
      </c>
    </row>
    <row r="1448" spans="1:4" x14ac:dyDescent="0.2">
      <c r="A1448" s="5">
        <v>1387</v>
      </c>
      <c r="B1448" s="1831">
        <f>'Expenditures 15-22'!D295</f>
        <v>1529445</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2691</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5462</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7357</v>
      </c>
      <c r="C1472" s="2" t="s">
        <v>569</v>
      </c>
      <c r="D1472" s="2" t="str">
        <f t="shared" si="22"/>
        <v>Error?</v>
      </c>
    </row>
    <row r="1473" spans="1:4" x14ac:dyDescent="0.2">
      <c r="A1473" s="5">
        <v>1412</v>
      </c>
      <c r="B1473" s="1831">
        <f>'Expenditures 15-22'!K224</f>
        <v>10478</v>
      </c>
      <c r="C1473" s="2" t="s">
        <v>569</v>
      </c>
      <c r="D1473" s="2" t="str">
        <f t="shared" si="22"/>
        <v>Error?</v>
      </c>
    </row>
    <row r="1474" spans="1:4" x14ac:dyDescent="0.2">
      <c r="A1474" s="5">
        <v>1413</v>
      </c>
      <c r="B1474" s="1831">
        <f>'Expenditures 15-22'!K229</f>
        <v>745802</v>
      </c>
      <c r="C1474" s="2" t="s">
        <v>569</v>
      </c>
      <c r="D1474" s="2" t="str">
        <f t="shared" si="22"/>
        <v>Error?</v>
      </c>
    </row>
    <row r="1475" spans="1:4" x14ac:dyDescent="0.2">
      <c r="A1475" s="5">
        <v>1414</v>
      </c>
      <c r="B1475" s="1831">
        <f>'Expenditures 15-22'!K232</f>
        <v>10235</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41960</v>
      </c>
      <c r="C1477" s="2" t="s">
        <v>569</v>
      </c>
      <c r="D1477" s="2" t="str">
        <f t="shared" si="22"/>
        <v>Error?</v>
      </c>
    </row>
    <row r="1478" spans="1:4" x14ac:dyDescent="0.2">
      <c r="A1478" s="5">
        <v>1417</v>
      </c>
      <c r="B1478" s="1831">
        <f>'Expenditures 15-22'!K235</f>
        <v>5477</v>
      </c>
      <c r="C1478" s="2" t="s">
        <v>569</v>
      </c>
      <c r="D1478" s="2" t="str">
        <f t="shared" si="22"/>
        <v>Error?</v>
      </c>
    </row>
    <row r="1479" spans="1:4" x14ac:dyDescent="0.2">
      <c r="A1479" s="5">
        <v>1418</v>
      </c>
      <c r="B1479" s="1831">
        <f>'Expenditures 15-22'!K236</f>
        <v>16940</v>
      </c>
      <c r="C1479" s="2" t="s">
        <v>569</v>
      </c>
      <c r="D1479" s="2" t="str">
        <f t="shared" si="22"/>
        <v>Error?</v>
      </c>
    </row>
    <row r="1480" spans="1:4" x14ac:dyDescent="0.2">
      <c r="A1480" s="5">
        <v>1419</v>
      </c>
      <c r="B1480" s="1831">
        <f>'Expenditures 15-22'!K237</f>
        <v>53028</v>
      </c>
      <c r="C1480" s="2" t="s">
        <v>569</v>
      </c>
      <c r="D1480" s="2" t="str">
        <f t="shared" si="22"/>
        <v>Error?</v>
      </c>
    </row>
    <row r="1481" spans="1:4" x14ac:dyDescent="0.2">
      <c r="A1481" s="5">
        <v>1420</v>
      </c>
      <c r="B1481" s="1831">
        <f>'Expenditures 15-22'!K238</f>
        <v>127640</v>
      </c>
      <c r="C1481" s="2" t="s">
        <v>569</v>
      </c>
      <c r="D1481" s="2" t="str">
        <f t="shared" si="22"/>
        <v>Error?</v>
      </c>
    </row>
    <row r="1482" spans="1:4" x14ac:dyDescent="0.2">
      <c r="A1482" s="5">
        <v>1421</v>
      </c>
      <c r="B1482" s="1831">
        <f>'Expenditures 15-22'!K240</f>
        <v>15679</v>
      </c>
      <c r="C1482" s="2" t="s">
        <v>569</v>
      </c>
      <c r="D1482" s="2" t="str">
        <f t="shared" si="22"/>
        <v>Error?</v>
      </c>
    </row>
    <row r="1483" spans="1:4" x14ac:dyDescent="0.2">
      <c r="A1483" s="5">
        <v>1422</v>
      </c>
      <c r="B1483" s="1831">
        <f>'Expenditures 15-22'!K241</f>
        <v>133712</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149391</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31319</v>
      </c>
      <c r="C1487" s="2" t="s">
        <v>569</v>
      </c>
      <c r="D1487" s="2" t="str">
        <f t="shared" si="22"/>
        <v>Error?</v>
      </c>
    </row>
    <row r="1488" spans="1:4" x14ac:dyDescent="0.2">
      <c r="A1488" s="5">
        <v>1427</v>
      </c>
      <c r="B1488" s="1831">
        <f>'Expenditures 15-22'!K257</f>
        <v>62569</v>
      </c>
      <c r="C1488" s="2" t="s">
        <v>569</v>
      </c>
      <c r="D1488" s="2" t="str">
        <f t="shared" si="22"/>
        <v>Error?</v>
      </c>
    </row>
    <row r="1489" spans="1:4" x14ac:dyDescent="0.2">
      <c r="A1489" s="5">
        <v>1428</v>
      </c>
      <c r="B1489" s="1831">
        <f>'Expenditures 15-22'!K259</f>
        <v>106642</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106642</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42642</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229873</v>
      </c>
      <c r="C1495" s="2" t="s">
        <v>569</v>
      </c>
      <c r="D1495" s="2" t="str">
        <f t="shared" si="22"/>
        <v>Error?</v>
      </c>
    </row>
    <row r="1496" spans="1:4" x14ac:dyDescent="0.2">
      <c r="A1496" s="5">
        <v>1435</v>
      </c>
      <c r="B1496" s="1831">
        <f>'Expenditures 15-22'!K267</f>
        <v>64640</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337155</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783397</v>
      </c>
      <c r="C1510" s="2" t="s">
        <v>569</v>
      </c>
      <c r="D1510" s="2" t="str">
        <f t="shared" si="22"/>
        <v>Error?</v>
      </c>
    </row>
    <row r="1511" spans="1:4" x14ac:dyDescent="0.2">
      <c r="A1511" s="5">
        <v>1450</v>
      </c>
      <c r="B1511" s="1831">
        <f>'Expenditures 15-22'!K280</f>
        <v>246</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1529445</v>
      </c>
      <c r="C1517" s="2" t="s">
        <v>569</v>
      </c>
      <c r="D1517" s="2" t="str">
        <f t="shared" si="22"/>
        <v>Error?</v>
      </c>
    </row>
    <row r="1518" spans="1:4" x14ac:dyDescent="0.2">
      <c r="A1518" s="5">
        <v>1457</v>
      </c>
      <c r="B1518" s="1831">
        <f>'Expenditures 15-22'!K296</f>
        <v>-739515</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38820462</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40726677</v>
      </c>
      <c r="C1630" s="2" t="s">
        <v>569</v>
      </c>
      <c r="D1630" s="2" t="str">
        <f t="shared" si="24"/>
        <v>Error?</v>
      </c>
    </row>
    <row r="1631" spans="1:4" x14ac:dyDescent="0.2">
      <c r="A1631" s="5">
        <v>1570</v>
      </c>
      <c r="B1631" s="1831">
        <f>'Acct Summary 7-8'!D79</f>
        <v>3252816</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-734168</v>
      </c>
      <c r="C1644" s="2" t="s">
        <v>569</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0</v>
      </c>
      <c r="C1658" s="2" t="s">
        <v>569</v>
      </c>
      <c r="D1658" s="2" t="str">
        <f t="shared" si="24"/>
        <v>Error?</v>
      </c>
    </row>
    <row r="1659" spans="1:4" x14ac:dyDescent="0.2">
      <c r="A1659" s="5">
        <v>1598</v>
      </c>
      <c r="B1659" s="1831">
        <f>'Acct Summary 7-8'!F79</f>
        <v>606209</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1616625</v>
      </c>
      <c r="C1672" s="2" t="s">
        <v>569</v>
      </c>
      <c r="D1672" s="2" t="str">
        <f t="shared" si="25"/>
        <v>Error?</v>
      </c>
    </row>
    <row r="1673" spans="1:4" x14ac:dyDescent="0.2">
      <c r="A1673" s="5">
        <v>1612</v>
      </c>
      <c r="B1673" s="1831">
        <f>'Acct Summary 7-8'!G79</f>
        <v>2610246</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1870731</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33688728</v>
      </c>
      <c r="C1744" s="2" t="s">
        <v>569</v>
      </c>
      <c r="D1744" s="2" t="str">
        <f t="shared" si="26"/>
        <v>Error?</v>
      </c>
    </row>
    <row r="1745" spans="1:5" x14ac:dyDescent="0.2">
      <c r="A1745" s="5">
        <v>1684</v>
      </c>
      <c r="B1745" s="1831">
        <f>'Tax Sched 23'!B5</f>
        <v>4135790</v>
      </c>
      <c r="C1745" s="2" t="s">
        <v>569</v>
      </c>
      <c r="D1745" s="2" t="str">
        <f t="shared" si="26"/>
        <v>Error?</v>
      </c>
    </row>
    <row r="1746" spans="1:5" x14ac:dyDescent="0.2">
      <c r="A1746" s="5">
        <v>1685</v>
      </c>
      <c r="B1746" s="1831">
        <f>'Tax Sched 23'!B6</f>
        <v>0</v>
      </c>
      <c r="C1746" s="2" t="s">
        <v>569</v>
      </c>
      <c r="D1746" s="2" t="str">
        <f t="shared" si="26"/>
        <v>Error?</v>
      </c>
    </row>
    <row r="1747" spans="1:5" x14ac:dyDescent="0.2">
      <c r="A1747" s="5">
        <v>1686</v>
      </c>
      <c r="B1747" s="1831">
        <f>'Tax Sched 23'!B7</f>
        <v>1516719</v>
      </c>
      <c r="C1747" s="2" t="s">
        <v>569</v>
      </c>
      <c r="D1747" s="2" t="str">
        <f t="shared" si="26"/>
        <v>Error?</v>
      </c>
    </row>
    <row r="1748" spans="1:5" x14ac:dyDescent="0.2">
      <c r="A1748" s="5">
        <v>1687</v>
      </c>
      <c r="B1748" s="1831">
        <f>'Tax Sched 23'!B8</f>
        <v>429105</v>
      </c>
      <c r="C1748" s="2" t="s">
        <v>569</v>
      </c>
      <c r="D1748" s="2" t="str">
        <f t="shared" si="26"/>
        <v>Error?</v>
      </c>
    </row>
    <row r="1749" spans="1:5" x14ac:dyDescent="0.2">
      <c r="A1749" s="5">
        <v>1688</v>
      </c>
      <c r="B1749" s="1831">
        <f>'Tax Sched 23'!B10</f>
        <v>285125</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0</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256737</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40667934</v>
      </c>
      <c r="C1759" s="2" t="s">
        <v>569</v>
      </c>
      <c r="D1759" s="2" t="str">
        <f t="shared" si="26"/>
        <v>Error?</v>
      </c>
    </row>
    <row r="1760" spans="1:5" x14ac:dyDescent="0.2">
      <c r="A1760" s="5">
        <v>1699</v>
      </c>
      <c r="B1760" s="1831">
        <f>'Tax Sched 23'!D4</f>
        <v>15887076</v>
      </c>
      <c r="C1760" s="2" t="s">
        <v>569</v>
      </c>
      <c r="D1760" s="2" t="str">
        <f t="shared" si="26"/>
        <v>Error?</v>
      </c>
    </row>
    <row r="1761" spans="1:7" x14ac:dyDescent="0.2">
      <c r="A1761" s="5">
        <v>1700</v>
      </c>
      <c r="B1761" s="1831">
        <f>'Tax Sched 23'!D5</f>
        <v>1920245</v>
      </c>
      <c r="C1761" s="2" t="s">
        <v>569</v>
      </c>
      <c r="D1761" s="2" t="str">
        <f t="shared" si="26"/>
        <v>Error?</v>
      </c>
    </row>
    <row r="1762" spans="1:7" s="8" customFormat="1" x14ac:dyDescent="0.2">
      <c r="A1762" s="5">
        <v>1701</v>
      </c>
      <c r="B1762" s="1831">
        <f>'Tax Sched 23'!D6</f>
        <v>0</v>
      </c>
      <c r="C1762" s="2" t="s">
        <v>569</v>
      </c>
      <c r="D1762" s="2" t="str">
        <f t="shared" si="26"/>
        <v>Error?</v>
      </c>
      <c r="E1762" s="9"/>
      <c r="G1762"/>
    </row>
    <row r="1763" spans="1:7" x14ac:dyDescent="0.2">
      <c r="A1763" s="5">
        <v>1702</v>
      </c>
      <c r="B1763" s="1831">
        <f>'Tax Sched 23'!D7</f>
        <v>704040</v>
      </c>
      <c r="C1763" s="2" t="s">
        <v>569</v>
      </c>
      <c r="D1763" s="2" t="str">
        <f t="shared" si="26"/>
        <v>Error?</v>
      </c>
    </row>
    <row r="1764" spans="1:7" x14ac:dyDescent="0.2">
      <c r="A1764" s="5">
        <v>1703</v>
      </c>
      <c r="B1764" s="1831">
        <f>'Tax Sched 23'!D8</f>
        <v>73023</v>
      </c>
      <c r="C1764" s="2" t="s">
        <v>569</v>
      </c>
      <c r="D1764" s="2" t="str">
        <f t="shared" si="26"/>
        <v>Error?</v>
      </c>
    </row>
    <row r="1765" spans="1:7" x14ac:dyDescent="0.2">
      <c r="A1765" s="5">
        <v>1704</v>
      </c>
      <c r="B1765" s="1831">
        <f>'Tax Sched 23'!D10</f>
        <v>132329</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0</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119131</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18881071</v>
      </c>
      <c r="C1775" s="2" t="s">
        <v>569</v>
      </c>
      <c r="D1775" s="2" t="str">
        <f t="shared" si="26"/>
        <v>Error?</v>
      </c>
    </row>
    <row r="1776" spans="1:7" x14ac:dyDescent="0.2">
      <c r="A1776" s="5">
        <v>1715</v>
      </c>
      <c r="B1776" s="1831">
        <f>'Tax Sched 23'!C4</f>
        <v>17801652</v>
      </c>
      <c r="D1776" s="2" t="str">
        <f t="shared" si="26"/>
        <v>Error?</v>
      </c>
    </row>
    <row r="1777" spans="1:4" x14ac:dyDescent="0.2">
      <c r="A1777" s="5">
        <v>1716</v>
      </c>
      <c r="B1777" s="1831">
        <f>'Tax Sched 23'!C5</f>
        <v>2215545</v>
      </c>
      <c r="D1777" s="2" t="str">
        <f t="shared" si="26"/>
        <v>Error?</v>
      </c>
    </row>
    <row r="1778" spans="1:4" x14ac:dyDescent="0.2">
      <c r="A1778" s="5">
        <v>1717</v>
      </c>
      <c r="B1778" s="1831">
        <f>'Tax Sched 23'!C6</f>
        <v>0</v>
      </c>
      <c r="D1778" s="2" t="str">
        <f t="shared" si="26"/>
        <v>Error?</v>
      </c>
    </row>
    <row r="1779" spans="1:4" x14ac:dyDescent="0.2">
      <c r="A1779" s="5">
        <v>1718</v>
      </c>
      <c r="B1779" s="1831">
        <f>'Tax Sched 23'!C7</f>
        <v>812679</v>
      </c>
      <c r="D1779" s="2" t="str">
        <f t="shared" si="26"/>
        <v>Error?</v>
      </c>
    </row>
    <row r="1780" spans="1:4" x14ac:dyDescent="0.2">
      <c r="A1780" s="5">
        <v>1719</v>
      </c>
      <c r="B1780" s="1831">
        <f>'Tax Sched 23'!C8</f>
        <v>356082</v>
      </c>
      <c r="D1780" s="2" t="str">
        <f t="shared" si="26"/>
        <v>Error?</v>
      </c>
    </row>
    <row r="1781" spans="1:4" x14ac:dyDescent="0.2">
      <c r="A1781" s="5">
        <v>1720</v>
      </c>
      <c r="B1781" s="1831">
        <f>'Tax Sched 23'!C10</f>
        <v>152796</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137606</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21786863</v>
      </c>
      <c r="C1791" s="2" t="s">
        <v>569</v>
      </c>
      <c r="D1791" s="2" t="str">
        <f t="shared" ref="D1791:D1854" si="27">IF(ISBLANK(B1791),"OK",IF(A1791-B1791=0,"OK","Error?"))</f>
        <v>Error?</v>
      </c>
    </row>
    <row r="1792" spans="1:4" x14ac:dyDescent="0.2">
      <c r="A1792" s="5">
        <v>1731</v>
      </c>
      <c r="B1792" s="1831">
        <f>'Tax Sched 23'!F4</f>
        <v>16321165</v>
      </c>
      <c r="C1792" s="2" t="s">
        <v>569</v>
      </c>
      <c r="D1792" s="2" t="str">
        <f t="shared" si="27"/>
        <v>Error?</v>
      </c>
    </row>
    <row r="1793" spans="1:4" x14ac:dyDescent="0.2">
      <c r="A1793" s="5">
        <v>1732</v>
      </c>
      <c r="B1793" s="1831">
        <f>'Tax Sched 23'!F5</f>
        <v>2031287</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745092</v>
      </c>
      <c r="C1795" s="2" t="s">
        <v>569</v>
      </c>
      <c r="D1795" s="2" t="str">
        <f t="shared" si="27"/>
        <v>Error?</v>
      </c>
    </row>
    <row r="1796" spans="1:4" x14ac:dyDescent="0.2">
      <c r="A1796" s="5">
        <v>1735</v>
      </c>
      <c r="B1796" s="1831">
        <f>'Tax Sched 23'!F8</f>
        <v>319608</v>
      </c>
      <c r="C1796" s="2" t="s">
        <v>569</v>
      </c>
      <c r="D1796" s="2" t="str">
        <f t="shared" si="27"/>
        <v>Error?</v>
      </c>
    </row>
    <row r="1797" spans="1:4" x14ac:dyDescent="0.2">
      <c r="A1797" s="5">
        <v>1736</v>
      </c>
      <c r="B1797" s="1831">
        <f>'Tax Sched 23'!F10</f>
        <v>140089</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0</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126161</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19974940</v>
      </c>
      <c r="C1807" s="2" t="s">
        <v>569</v>
      </c>
      <c r="D1807" s="2" t="str">
        <f t="shared" si="27"/>
        <v>Error?</v>
      </c>
    </row>
    <row r="1808" spans="1:4" x14ac:dyDescent="0.2">
      <c r="A1808" s="5">
        <v>1747</v>
      </c>
      <c r="B1808" s="1831">
        <f>'Tax Sched 23'!E4</f>
        <v>34122817</v>
      </c>
      <c r="D1808" s="2" t="str">
        <f t="shared" si="27"/>
        <v>Error?</v>
      </c>
    </row>
    <row r="1809" spans="1:4" x14ac:dyDescent="0.2">
      <c r="A1809" s="5">
        <v>1748</v>
      </c>
      <c r="B1809" s="1831">
        <f>'Tax Sched 23'!E5</f>
        <v>4246832</v>
      </c>
      <c r="D1809" s="2" t="str">
        <f t="shared" si="27"/>
        <v>Error?</v>
      </c>
    </row>
    <row r="1810" spans="1:4" x14ac:dyDescent="0.2">
      <c r="A1810" s="5">
        <v>1749</v>
      </c>
      <c r="B1810" s="1831">
        <f>'Tax Sched 23'!E6</f>
        <v>0</v>
      </c>
      <c r="D1810" s="2" t="str">
        <f t="shared" si="27"/>
        <v>Error?</v>
      </c>
    </row>
    <row r="1811" spans="1:4" x14ac:dyDescent="0.2">
      <c r="A1811" s="5">
        <v>1750</v>
      </c>
      <c r="B1811" s="1831">
        <f>'Tax Sched 23'!E7</f>
        <v>1557771</v>
      </c>
      <c r="D1811" s="2" t="str">
        <f t="shared" si="27"/>
        <v>Error?</v>
      </c>
    </row>
    <row r="1812" spans="1:4" x14ac:dyDescent="0.2">
      <c r="A1812" s="5">
        <v>1751</v>
      </c>
      <c r="B1812" s="1831">
        <f>'Tax Sched 23'!E8</f>
        <v>675690</v>
      </c>
      <c r="D1812" s="2" t="str">
        <f t="shared" si="27"/>
        <v>Error?</v>
      </c>
    </row>
    <row r="1813" spans="1:4" x14ac:dyDescent="0.2">
      <c r="A1813" s="5">
        <v>1752</v>
      </c>
      <c r="B1813" s="1831">
        <f>'Tax Sched 23'!E10</f>
        <v>292885</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263767</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41761803</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256818</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256818</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256818</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256818</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1096591</v>
      </c>
      <c r="D2008" s="2" t="str">
        <f t="shared" si="30"/>
        <v>Error?</v>
      </c>
    </row>
    <row r="2009" spans="1:4" x14ac:dyDescent="0.2">
      <c r="A2009" s="5">
        <v>1948</v>
      </c>
      <c r="B2009" s="1831">
        <f>'Cap Outlay Deprec 26'!C8</f>
        <v>52728915</v>
      </c>
      <c r="D2009" s="2" t="str">
        <f t="shared" si="30"/>
        <v>Error?</v>
      </c>
    </row>
    <row r="2010" spans="1:4" x14ac:dyDescent="0.2">
      <c r="A2010" s="5">
        <v>1949</v>
      </c>
      <c r="B2010" s="1831">
        <f>'Cap Outlay Deprec 26'!C10</f>
        <v>31909265</v>
      </c>
      <c r="D2010" s="2" t="str">
        <f t="shared" si="30"/>
        <v>Error?</v>
      </c>
    </row>
    <row r="2011" spans="1:4" x14ac:dyDescent="0.2">
      <c r="A2011" s="5">
        <v>1950</v>
      </c>
      <c r="B2011" s="1831">
        <f>'Cap Outlay Deprec 26'!C12</f>
        <v>23054823</v>
      </c>
      <c r="D2011" s="2" t="str">
        <f t="shared" si="30"/>
        <v>Error?</v>
      </c>
    </row>
    <row r="2012" spans="1:4" x14ac:dyDescent="0.2">
      <c r="A2012" s="5">
        <v>1951</v>
      </c>
      <c r="B2012" s="1831">
        <f>'Cap Outlay Deprec 26'!C13</f>
        <v>5896760</v>
      </c>
      <c r="D2012" s="2" t="str">
        <f t="shared" si="30"/>
        <v>Error?</v>
      </c>
    </row>
    <row r="2013" spans="1:4" x14ac:dyDescent="0.2">
      <c r="A2013" s="5">
        <v>1952</v>
      </c>
      <c r="B2013" s="1831">
        <f>'Cap Outlay Deprec 26'!C16</f>
        <v>117037981</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152476</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7536937</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1096591</v>
      </c>
      <c r="C2026" s="2" t="s">
        <v>569</v>
      </c>
      <c r="D2026" s="2" t="str">
        <f t="shared" si="30"/>
        <v>Error?</v>
      </c>
    </row>
    <row r="2027" spans="1:4" x14ac:dyDescent="0.2">
      <c r="A2027" s="5">
        <v>1966</v>
      </c>
      <c r="B2027" s="1831">
        <f>'Cap Outlay Deprec 26'!F8</f>
        <v>52728915</v>
      </c>
      <c r="C2027" s="2" t="s">
        <v>569</v>
      </c>
      <c r="D2027" s="2" t="str">
        <f t="shared" si="30"/>
        <v>Error?</v>
      </c>
    </row>
    <row r="2028" spans="1:4" x14ac:dyDescent="0.2">
      <c r="A2028" s="5">
        <v>1967</v>
      </c>
      <c r="B2028" s="1831">
        <f>'Cap Outlay Deprec 26'!F10</f>
        <v>31909265</v>
      </c>
      <c r="C2028" s="2" t="s">
        <v>569</v>
      </c>
      <c r="D2028" s="2" t="str">
        <f t="shared" si="30"/>
        <v>Error?</v>
      </c>
    </row>
    <row r="2029" spans="1:4" x14ac:dyDescent="0.2">
      <c r="A2029" s="5">
        <v>1968</v>
      </c>
      <c r="B2029" s="1831">
        <f>'Cap Outlay Deprec 26'!F12</f>
        <v>23207299</v>
      </c>
      <c r="C2029" s="2" t="s">
        <v>569</v>
      </c>
      <c r="D2029" s="2" t="str">
        <f t="shared" si="30"/>
        <v>Error?</v>
      </c>
    </row>
    <row r="2030" spans="1:4" x14ac:dyDescent="0.2">
      <c r="A2030" s="5">
        <v>1969</v>
      </c>
      <c r="B2030" s="1831">
        <f>'Cap Outlay Deprec 26'!F13</f>
        <v>5896760</v>
      </c>
      <c r="C2030" s="2" t="s">
        <v>569</v>
      </c>
      <c r="D2030" s="2" t="str">
        <f t="shared" si="30"/>
        <v>Error?</v>
      </c>
    </row>
    <row r="2031" spans="1:4" x14ac:dyDescent="0.2">
      <c r="A2031" s="5">
        <v>1970</v>
      </c>
      <c r="B2031" s="1831">
        <f>'Cap Outlay Deprec 26'!F16</f>
        <v>124574918</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22058259</v>
      </c>
      <c r="D2033" s="2" t="str">
        <f t="shared" si="30"/>
        <v>Error?</v>
      </c>
    </row>
    <row r="2034" spans="1:4" x14ac:dyDescent="0.2">
      <c r="A2034" s="5">
        <v>1973</v>
      </c>
      <c r="B2034" s="1831">
        <f>'Cap Outlay Deprec 26'!H10</f>
        <v>5011681</v>
      </c>
      <c r="D2034" s="2" t="str">
        <f t="shared" si="30"/>
        <v>Error?</v>
      </c>
    </row>
    <row r="2035" spans="1:4" x14ac:dyDescent="0.2">
      <c r="A2035" s="5">
        <v>1974</v>
      </c>
      <c r="B2035" s="1831">
        <f>'Cap Outlay Deprec 26'!H12</f>
        <v>20606357</v>
      </c>
      <c r="D2035" s="2" t="str">
        <f t="shared" si="30"/>
        <v>Error?</v>
      </c>
    </row>
    <row r="2036" spans="1:4" x14ac:dyDescent="0.2">
      <c r="A2036" s="5">
        <v>1975</v>
      </c>
      <c r="B2036" s="1831">
        <f>'Cap Outlay Deprec 26'!H13</f>
        <v>3828431</v>
      </c>
      <c r="D2036" s="2" t="str">
        <f t="shared" si="30"/>
        <v>Error?</v>
      </c>
    </row>
    <row r="2037" spans="1:4" x14ac:dyDescent="0.2">
      <c r="A2037" s="5">
        <v>1976</v>
      </c>
      <c r="B2037" s="1831">
        <f>'Cap Outlay Deprec 26'!H16</f>
        <v>51504728</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1112993</v>
      </c>
      <c r="D2039" s="2" t="str">
        <f t="shared" si="30"/>
        <v>Error?</v>
      </c>
    </row>
    <row r="2040" spans="1:4" x14ac:dyDescent="0.2">
      <c r="A2040" s="5">
        <v>1979</v>
      </c>
      <c r="B2040" s="1831">
        <f>'Cap Outlay Deprec 26'!I10</f>
        <v>1443717</v>
      </c>
      <c r="D2040" s="2" t="str">
        <f t="shared" si="30"/>
        <v>Error?</v>
      </c>
    </row>
    <row r="2041" spans="1:4" x14ac:dyDescent="0.2">
      <c r="A2041" s="5">
        <v>1980</v>
      </c>
      <c r="B2041" s="1831">
        <f>'Cap Outlay Deprec 26'!I12</f>
        <v>677473</v>
      </c>
      <c r="D2041" s="2" t="str">
        <f t="shared" si="30"/>
        <v>Error?</v>
      </c>
    </row>
    <row r="2042" spans="1:4" x14ac:dyDescent="0.2">
      <c r="A2042" s="5">
        <v>1981</v>
      </c>
      <c r="B2042" s="1831">
        <f>'Cap Outlay Deprec 26'!I13</f>
        <v>668025</v>
      </c>
      <c r="D2042" s="2" t="str">
        <f t="shared" si="30"/>
        <v>Error?</v>
      </c>
    </row>
    <row r="2043" spans="1:4" x14ac:dyDescent="0.2">
      <c r="A2043" s="5">
        <v>1982</v>
      </c>
      <c r="B2043" s="1831">
        <f>'Cap Outlay Deprec 26'!I16</f>
        <v>3902208</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23171252</v>
      </c>
      <c r="C2051" s="2" t="s">
        <v>569</v>
      </c>
      <c r="D2051" s="2" t="str">
        <f t="shared" si="31"/>
        <v>Error?</v>
      </c>
    </row>
    <row r="2052" spans="1:4" x14ac:dyDescent="0.2">
      <c r="A2052" s="5">
        <v>1991</v>
      </c>
      <c r="B2052" s="1831">
        <f>'Cap Outlay Deprec 26'!K10</f>
        <v>6455398</v>
      </c>
      <c r="C2052" s="2" t="s">
        <v>569</v>
      </c>
      <c r="D2052" s="2" t="str">
        <f t="shared" si="31"/>
        <v>Error?</v>
      </c>
    </row>
    <row r="2053" spans="1:4" x14ac:dyDescent="0.2">
      <c r="A2053" s="5">
        <v>1992</v>
      </c>
      <c r="B2053" s="1831">
        <f>'Cap Outlay Deprec 26'!K12</f>
        <v>21283830</v>
      </c>
      <c r="C2053" s="2" t="s">
        <v>569</v>
      </c>
      <c r="D2053" s="2" t="str">
        <f t="shared" si="31"/>
        <v>Error?</v>
      </c>
    </row>
    <row r="2054" spans="1:4" x14ac:dyDescent="0.2">
      <c r="A2054" s="5">
        <v>1993</v>
      </c>
      <c r="B2054" s="1831">
        <f>'Cap Outlay Deprec 26'!K13</f>
        <v>4496456</v>
      </c>
      <c r="C2054" s="2" t="s">
        <v>569</v>
      </c>
      <c r="D2054" s="2" t="str">
        <f t="shared" si="31"/>
        <v>Error?</v>
      </c>
    </row>
    <row r="2055" spans="1:4" x14ac:dyDescent="0.2">
      <c r="A2055" s="5">
        <v>1994</v>
      </c>
      <c r="B2055" s="1831">
        <f>'Cap Outlay Deprec 26'!K16</f>
        <v>55406936</v>
      </c>
      <c r="C2055" s="2" t="s">
        <v>569</v>
      </c>
      <c r="D2055" s="2" t="str">
        <f t="shared" si="31"/>
        <v>Error?</v>
      </c>
    </row>
    <row r="2056" spans="1:4" x14ac:dyDescent="0.2">
      <c r="A2056" s="5">
        <v>1995</v>
      </c>
      <c r="B2056" s="1831">
        <f>'Cap Outlay Deprec 26'!L5</f>
        <v>1096591</v>
      </c>
      <c r="C2056" s="2" t="s">
        <v>569</v>
      </c>
      <c r="D2056" s="2" t="str">
        <f t="shared" si="31"/>
        <v>Error?</v>
      </c>
    </row>
    <row r="2057" spans="1:4" x14ac:dyDescent="0.2">
      <c r="A2057" s="5">
        <v>1996</v>
      </c>
      <c r="B2057" s="1831">
        <f>'Cap Outlay Deprec 26'!L8</f>
        <v>29557663</v>
      </c>
      <c r="C2057" s="2" t="s">
        <v>569</v>
      </c>
      <c r="D2057" s="2" t="str">
        <f t="shared" si="31"/>
        <v>Error?</v>
      </c>
    </row>
    <row r="2058" spans="1:4" x14ac:dyDescent="0.2">
      <c r="A2058" s="5">
        <v>1997</v>
      </c>
      <c r="B2058" s="1831">
        <f>'Cap Outlay Deprec 26'!L10</f>
        <v>25453867</v>
      </c>
      <c r="C2058" s="2" t="s">
        <v>569</v>
      </c>
      <c r="D2058" s="2" t="str">
        <f t="shared" si="31"/>
        <v>Error?</v>
      </c>
    </row>
    <row r="2059" spans="1:4" x14ac:dyDescent="0.2">
      <c r="A2059" s="5">
        <v>1998</v>
      </c>
      <c r="B2059" s="1831">
        <f>'Cap Outlay Deprec 26'!L12</f>
        <v>1923469</v>
      </c>
      <c r="C2059" s="2" t="s">
        <v>569</v>
      </c>
      <c r="D2059" s="2" t="str">
        <f t="shared" si="31"/>
        <v>Error?</v>
      </c>
    </row>
    <row r="2060" spans="1:4" x14ac:dyDescent="0.2">
      <c r="A2060" s="5">
        <v>1999</v>
      </c>
      <c r="B2060" s="1831">
        <f>'Cap Outlay Deprec 26'!L13</f>
        <v>1400304</v>
      </c>
      <c r="C2060" s="2" t="s">
        <v>569</v>
      </c>
      <c r="D2060" s="2" t="str">
        <f t="shared" si="31"/>
        <v>Error?</v>
      </c>
    </row>
    <row r="2061" spans="1:4" x14ac:dyDescent="0.2">
      <c r="A2061" s="5">
        <v>2000</v>
      </c>
      <c r="B2061" s="1831">
        <f>'Cap Outlay Deprec 26'!L16</f>
        <v>69167982</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684488</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685841</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334301</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266501</v>
      </c>
      <c r="D2475" s="2" t="str">
        <f t="shared" si="37"/>
        <v>Error?</v>
      </c>
    </row>
    <row r="2476" spans="1:4" x14ac:dyDescent="0.2">
      <c r="A2476" s="10">
        <v>2415</v>
      </c>
      <c r="B2476" s="1831"/>
      <c r="D2476" s="2" t="str">
        <f t="shared" si="37"/>
        <v>OK</v>
      </c>
    </row>
    <row r="2477" spans="1:4" x14ac:dyDescent="0.2">
      <c r="A2477" s="5">
        <v>2416</v>
      </c>
      <c r="B2477" s="1831">
        <f>'Assets-Liab 5-6'!G38</f>
        <v>1196361</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35347225</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3968802</v>
      </c>
      <c r="C2553" s="2" t="s">
        <v>569</v>
      </c>
      <c r="D2553" s="2" t="str">
        <f t="shared" si="38"/>
        <v>Error?</v>
      </c>
    </row>
    <row r="2554" spans="1:4" x14ac:dyDescent="0.2">
      <c r="A2554" s="5">
        <v>2493</v>
      </c>
      <c r="B2554" s="1831">
        <f>'Acct Summary 7-8'!C7</f>
        <v>2291396</v>
      </c>
      <c r="C2554" s="2" t="s">
        <v>569</v>
      </c>
      <c r="D2554" s="2" t="str">
        <f t="shared" si="38"/>
        <v>Error?</v>
      </c>
    </row>
    <row r="2555" spans="1:4" x14ac:dyDescent="0.2">
      <c r="A2555" s="5">
        <v>2494</v>
      </c>
      <c r="B2555" s="1831">
        <f>'Acct Summary 7-8'!C8</f>
        <v>41607423</v>
      </c>
      <c r="C2555" s="2" t="s">
        <v>569</v>
      </c>
      <c r="D2555" s="2" t="str">
        <f t="shared" si="38"/>
        <v>Error?</v>
      </c>
    </row>
    <row r="2556" spans="1:4" x14ac:dyDescent="0.2">
      <c r="A2556" s="5">
        <v>2495</v>
      </c>
      <c r="B2556" s="1831">
        <f>'Acct Summary 7-8'!C12</f>
        <v>26956838</v>
      </c>
      <c r="C2556" s="2" t="s">
        <v>569</v>
      </c>
      <c r="D2556" s="2" t="str">
        <f t="shared" si="38"/>
        <v>Error?</v>
      </c>
    </row>
    <row r="2557" spans="1:4" x14ac:dyDescent="0.2">
      <c r="A2557" s="5">
        <v>2496</v>
      </c>
      <c r="B2557" s="1831">
        <f>'Acct Summary 7-8'!C13</f>
        <v>11947192</v>
      </c>
      <c r="C2557" s="2" t="s">
        <v>569</v>
      </c>
      <c r="D2557" s="2" t="str">
        <f t="shared" si="38"/>
        <v>Error?</v>
      </c>
    </row>
    <row r="2558" spans="1:4" x14ac:dyDescent="0.2">
      <c r="A2558" s="5">
        <v>2497</v>
      </c>
      <c r="B2558" s="1831">
        <f>'Acct Summary 7-8'!C14</f>
        <v>111337</v>
      </c>
      <c r="C2558" s="2" t="s">
        <v>569</v>
      </c>
      <c r="D2558" s="2" t="str">
        <f t="shared" si="38"/>
        <v>Error?</v>
      </c>
    </row>
    <row r="2559" spans="1:4" x14ac:dyDescent="0.2">
      <c r="A2559" s="5">
        <v>2498</v>
      </c>
      <c r="B2559" s="1831">
        <f>'Acct Summary 7-8'!C15</f>
        <v>685841</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39701208</v>
      </c>
      <c r="C2561" s="2" t="s">
        <v>569</v>
      </c>
      <c r="D2561" s="2" t="str">
        <f t="shared" si="39"/>
        <v>Error?</v>
      </c>
    </row>
    <row r="2562" spans="1:4" x14ac:dyDescent="0.2">
      <c r="A2562" s="5">
        <v>2501</v>
      </c>
      <c r="B2562" s="1831">
        <f>'Acct Summary 7-8'!C20</f>
        <v>1906215</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4164108</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2067884</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6231992</v>
      </c>
      <c r="C2568" s="2" t="s">
        <v>569</v>
      </c>
      <c r="D2568" s="2" t="str">
        <f t="shared" si="39"/>
        <v>Error?</v>
      </c>
    </row>
    <row r="2569" spans="1:4" x14ac:dyDescent="0.2">
      <c r="A2569" s="5">
        <v>2508</v>
      </c>
      <c r="B2569" s="1831">
        <f>'Acct Summary 7-8'!D13</f>
        <v>10218976</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10218976</v>
      </c>
      <c r="C2573" s="2" t="s">
        <v>569</v>
      </c>
      <c r="D2573" s="2" t="str">
        <f t="shared" si="39"/>
        <v>Error?</v>
      </c>
    </row>
    <row r="2574" spans="1:4" x14ac:dyDescent="0.2">
      <c r="A2574" s="5">
        <v>2513</v>
      </c>
      <c r="B2574" s="1831">
        <f>'Acct Summary 7-8'!D20</f>
        <v>-3986984</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1555930</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1100298</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2656228</v>
      </c>
      <c r="C2595" s="2" t="s">
        <v>569</v>
      </c>
      <c r="D2595" s="2" t="str">
        <f t="shared" si="39"/>
        <v>Error?</v>
      </c>
    </row>
    <row r="2596" spans="1:4" x14ac:dyDescent="0.2">
      <c r="A2596" s="5">
        <v>2535</v>
      </c>
      <c r="B2596" s="1831">
        <f>'Acct Summary 7-8'!F13</f>
        <v>1645812</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1645812</v>
      </c>
      <c r="C2600" s="2" t="s">
        <v>569</v>
      </c>
      <c r="D2600" s="2" t="str">
        <f t="shared" si="39"/>
        <v>Error?</v>
      </c>
    </row>
    <row r="2601" spans="1:4" x14ac:dyDescent="0.2">
      <c r="A2601" s="5">
        <v>2540</v>
      </c>
      <c r="B2601" s="1831">
        <f>'Acct Summary 7-8'!F20</f>
        <v>1010416</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789930</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789930</v>
      </c>
      <c r="C2606" s="2" t="s">
        <v>569</v>
      </c>
      <c r="D2606" s="2" t="str">
        <f t="shared" si="39"/>
        <v>Error?</v>
      </c>
    </row>
    <row r="2607" spans="1:4" x14ac:dyDescent="0.2">
      <c r="A2607" s="5">
        <v>2546</v>
      </c>
      <c r="B2607" s="1831">
        <f>'Acct Summary 7-8'!G12</f>
        <v>745802</v>
      </c>
      <c r="C2607" s="2" t="s">
        <v>569</v>
      </c>
      <c r="D2607" s="2" t="str">
        <f t="shared" si="39"/>
        <v>Error?</v>
      </c>
    </row>
    <row r="2608" spans="1:4" x14ac:dyDescent="0.2">
      <c r="A2608" s="5">
        <v>2547</v>
      </c>
      <c r="B2608" s="1831">
        <f>'Acct Summary 7-8'!G13</f>
        <v>783397</v>
      </c>
      <c r="C2608" s="2" t="s">
        <v>569</v>
      </c>
      <c r="D2608" s="2" t="str">
        <f t="shared" si="39"/>
        <v>Error?</v>
      </c>
    </row>
    <row r="2609" spans="1:4" x14ac:dyDescent="0.2">
      <c r="A2609" s="5">
        <v>2548</v>
      </c>
      <c r="B2609" s="1831">
        <f>'Acct Summary 7-8'!G14</f>
        <v>246</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1529445</v>
      </c>
      <c r="C2612" s="2" t="s">
        <v>569</v>
      </c>
      <c r="D2612" s="2" t="str">
        <f t="shared" si="39"/>
        <v>Error?</v>
      </c>
    </row>
    <row r="2613" spans="1:4" x14ac:dyDescent="0.2">
      <c r="A2613" s="5">
        <v>2552</v>
      </c>
      <c r="B2613" s="1831">
        <f>'Acct Summary 7-8'!G20</f>
        <v>-739515</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0</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0</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0</v>
      </c>
      <c r="C2634" s="2" t="s">
        <v>569</v>
      </c>
      <c r="D2634" s="2" t="str">
        <f t="shared" si="40"/>
        <v>Error?</v>
      </c>
    </row>
    <row r="2635" spans="1:4" x14ac:dyDescent="0.2">
      <c r="A2635" s="5">
        <v>2574</v>
      </c>
      <c r="B2635" s="1831">
        <f>'Acct Summary 7-8'!E17</f>
        <v>0</v>
      </c>
      <c r="C2635" s="2" t="s">
        <v>569</v>
      </c>
      <c r="D2635" s="2" t="str">
        <f t="shared" si="40"/>
        <v>Error?</v>
      </c>
    </row>
    <row r="2636" spans="1:4" x14ac:dyDescent="0.2">
      <c r="A2636" s="5">
        <v>2575</v>
      </c>
      <c r="B2636" s="1831">
        <f>'Acct Summary 7-8'!E20</f>
        <v>0</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481355</v>
      </c>
      <c r="D2718" s="2" t="str">
        <f t="shared" si="41"/>
        <v>Error?</v>
      </c>
    </row>
    <row r="2719" spans="1:4" x14ac:dyDescent="0.2">
      <c r="A2719" s="5">
        <v>2658</v>
      </c>
      <c r="B2719" s="1831">
        <f>'Expenditures 15-22'!D51</f>
        <v>30120</v>
      </c>
      <c r="D2719" s="2" t="str">
        <f t="shared" si="41"/>
        <v>Error?</v>
      </c>
    </row>
    <row r="2720" spans="1:4" x14ac:dyDescent="0.2">
      <c r="A2720" s="5">
        <v>2659</v>
      </c>
      <c r="B2720" s="1831">
        <f>'Expenditures 15-22'!E51</f>
        <v>329</v>
      </c>
      <c r="D2720" s="2" t="str">
        <f t="shared" si="41"/>
        <v>Error?</v>
      </c>
    </row>
    <row r="2721" spans="1:4" x14ac:dyDescent="0.2">
      <c r="A2721" s="5">
        <v>2660</v>
      </c>
      <c r="B2721" s="1831">
        <f>'Expenditures 15-22'!F51</f>
        <v>2545</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410</v>
      </c>
      <c r="D2723" s="2" t="str">
        <f t="shared" si="41"/>
        <v>Error?</v>
      </c>
    </row>
    <row r="2724" spans="1:4" x14ac:dyDescent="0.2">
      <c r="A2724" s="5">
        <v>2663</v>
      </c>
      <c r="B2724" s="1831">
        <f>'Expenditures 15-22'!K51</f>
        <v>514759</v>
      </c>
      <c r="C2724" s="2" t="s">
        <v>569</v>
      </c>
      <c r="D2724" s="2" t="str">
        <f t="shared" si="41"/>
        <v>Error?</v>
      </c>
    </row>
    <row r="2725" spans="1:4" x14ac:dyDescent="0.2">
      <c r="A2725" s="5">
        <v>2664</v>
      </c>
      <c r="B2725" s="1831">
        <f>'Expenditures 15-22'!D247</f>
        <v>31250</v>
      </c>
      <c r="D2725" s="2" t="str">
        <f t="shared" si="41"/>
        <v>Error?</v>
      </c>
    </row>
    <row r="2726" spans="1:4" x14ac:dyDescent="0.2">
      <c r="A2726" s="5">
        <v>2665</v>
      </c>
      <c r="B2726" s="1831">
        <f>'Expenditures 15-22'!K247</f>
        <v>31250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1999</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1353</v>
      </c>
      <c r="C2789" s="2" t="s">
        <v>569</v>
      </c>
      <c r="D2789" s="2" t="str">
        <f t="shared" si="42"/>
        <v>Error?</v>
      </c>
    </row>
    <row r="2790" spans="1:4" x14ac:dyDescent="0.2">
      <c r="A2790" s="5">
        <v>2729</v>
      </c>
      <c r="B2790" s="1831">
        <f>'Expenditures 15-22'!E102</f>
        <v>1353</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9736088</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131303</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4514448</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175114</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142049</v>
      </c>
      <c r="D2908" s="2" t="str">
        <f t="shared" si="44"/>
        <v>Error?</v>
      </c>
    </row>
    <row r="2909" spans="1:4" x14ac:dyDescent="0.2">
      <c r="A2909" s="10">
        <v>2848</v>
      </c>
      <c r="B2909" s="1831"/>
      <c r="D2909" s="2" t="str">
        <f t="shared" si="44"/>
        <v>OK</v>
      </c>
    </row>
    <row r="2910" spans="1:4" x14ac:dyDescent="0.2">
      <c r="A2910" s="5">
        <v>2849</v>
      </c>
      <c r="B2910" s="1831">
        <f>'Assets-Liab 5-6'!I34</f>
        <v>142049</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4372399</v>
      </c>
      <c r="D2912" s="2" t="str">
        <f t="shared" si="44"/>
        <v>Error?</v>
      </c>
    </row>
    <row r="2913" spans="1:4" x14ac:dyDescent="0.2">
      <c r="A2913" s="5">
        <v>2852</v>
      </c>
      <c r="B2913" s="1831">
        <f>'Assets-Liab 5-6'!I41</f>
        <v>4514448</v>
      </c>
      <c r="C2913" s="2" t="s">
        <v>569</v>
      </c>
      <c r="D2913" s="2" t="str">
        <f t="shared" si="44"/>
        <v>Error?</v>
      </c>
    </row>
    <row r="2914" spans="1:4" x14ac:dyDescent="0.2">
      <c r="A2914" s="5">
        <v>2853</v>
      </c>
      <c r="B2914" s="1831">
        <f>'Assets-Liab 5-6'!L33</f>
        <v>175114</v>
      </c>
      <c r="D2914" s="2" t="str">
        <f t="shared" si="44"/>
        <v>Error?</v>
      </c>
    </row>
    <row r="2915" spans="1:4" x14ac:dyDescent="0.2">
      <c r="A2915" s="10">
        <v>2854</v>
      </c>
      <c r="B2915" s="1831"/>
      <c r="D2915" s="2" t="str">
        <f t="shared" si="44"/>
        <v>OK</v>
      </c>
    </row>
    <row r="2916" spans="1:4" x14ac:dyDescent="0.2">
      <c r="A2916" s="5">
        <v>2855</v>
      </c>
      <c r="B2916" s="1831">
        <f>'Assets-Liab 5-6'!L34</f>
        <v>175114</v>
      </c>
      <c r="C2916" s="2" t="s">
        <v>569</v>
      </c>
      <c r="D2916" s="2" t="str">
        <f t="shared" si="44"/>
        <v>Error?</v>
      </c>
    </row>
    <row r="2917" spans="1:4" x14ac:dyDescent="0.2">
      <c r="A2917" s="5">
        <v>2856</v>
      </c>
      <c r="B2917" s="1831">
        <f>'Assets-Liab 5-6'!L41</f>
        <v>175114</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1353</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684488</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685841</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1999</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590484</v>
      </c>
      <c r="D3055" s="2" t="str">
        <f t="shared" si="46"/>
        <v>Error?</v>
      </c>
    </row>
    <row r="3056" spans="1:4" x14ac:dyDescent="0.2">
      <c r="A3056" s="5">
        <v>2995</v>
      </c>
      <c r="B3056" s="1831">
        <f>'Expenditures 15-22'!D10</f>
        <v>50062</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640546</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7328</v>
      </c>
      <c r="D3064" s="2" t="str">
        <f t="shared" si="46"/>
        <v>Error?</v>
      </c>
    </row>
    <row r="3065" spans="1:4" x14ac:dyDescent="0.2">
      <c r="A3065" s="5">
        <v>3004</v>
      </c>
      <c r="B3065" s="1831">
        <f>'Expenditures 15-22'!K219</f>
        <v>7328</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362351</v>
      </c>
      <c r="C3225" s="2" t="s">
        <v>569</v>
      </c>
      <c r="D3225" s="2" t="str">
        <f t="shared" si="49"/>
        <v>Error?</v>
      </c>
    </row>
    <row r="3226" spans="1:4" x14ac:dyDescent="0.2">
      <c r="A3226" s="5">
        <v>3165</v>
      </c>
      <c r="B3226" s="1831">
        <f>'Acct Summary 7-8'!I8</f>
        <v>362351</v>
      </c>
      <c r="C3226" s="2" t="s">
        <v>569</v>
      </c>
      <c r="D3226" s="2" t="str">
        <f t="shared" si="49"/>
        <v>Error?</v>
      </c>
    </row>
    <row r="3227" spans="1:4" x14ac:dyDescent="0.2">
      <c r="A3227" s="5">
        <v>3166</v>
      </c>
      <c r="B3227" s="1831">
        <f>'Acct Summary 7-8'!I20</f>
        <v>362351</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1906215</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-3986984</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1010416</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-739515</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0</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362351</v>
      </c>
      <c r="C3320" s="2" t="s">
        <v>569</v>
      </c>
      <c r="D3320" s="2" t="str">
        <f t="shared" si="50"/>
        <v>Error?</v>
      </c>
    </row>
    <row r="3321" spans="1:4" x14ac:dyDescent="0.2">
      <c r="A3321" s="5">
        <v>3260</v>
      </c>
      <c r="B3321" s="1831">
        <f>'Acct Summary 7-8'!I79</f>
        <v>4010048</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4372399</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4674124</v>
      </c>
      <c r="D3366" s="2" t="str">
        <f t="shared" si="51"/>
        <v>Error?</v>
      </c>
    </row>
    <row r="3367" spans="1:4" x14ac:dyDescent="0.2">
      <c r="A3367" s="5">
        <v>3306</v>
      </c>
      <c r="B3367" s="1831">
        <f>'Expenditures 15-22'!C19</f>
        <v>92709</v>
      </c>
      <c r="D3367" s="2" t="str">
        <f t="shared" si="51"/>
        <v>Error?</v>
      </c>
    </row>
    <row r="3368" spans="1:4" x14ac:dyDescent="0.2">
      <c r="A3368" s="5">
        <v>3307</v>
      </c>
      <c r="B3368" s="1831">
        <f>'Expenditures 15-22'!D8</f>
        <v>553616</v>
      </c>
      <c r="D3368" s="2" t="str">
        <f t="shared" si="51"/>
        <v>Error?</v>
      </c>
    </row>
    <row r="3369" spans="1:4" x14ac:dyDescent="0.2">
      <c r="A3369" s="5">
        <v>3308</v>
      </c>
      <c r="B3369" s="1831">
        <f>'Expenditures 15-22'!D19</f>
        <v>32160</v>
      </c>
      <c r="D3369" s="2" t="str">
        <f t="shared" si="51"/>
        <v>Error?</v>
      </c>
    </row>
    <row r="3370" spans="1:4" x14ac:dyDescent="0.2">
      <c r="A3370" s="5">
        <v>3309</v>
      </c>
      <c r="B3370" s="1831">
        <f>'Expenditures 15-22'!E8</f>
        <v>6844</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75177</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3978</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5313739</v>
      </c>
      <c r="C3380" s="2" t="s">
        <v>569</v>
      </c>
      <c r="D3380" s="2" t="str">
        <f t="shared" si="51"/>
        <v>Error?</v>
      </c>
    </row>
    <row r="3381" spans="1:4" x14ac:dyDescent="0.2">
      <c r="A3381" s="5">
        <v>3320</v>
      </c>
      <c r="B3381" s="1831">
        <f>'Expenditures 15-22'!K19</f>
        <v>124869</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468144</v>
      </c>
      <c r="D3387" s="2" t="str">
        <f t="shared" si="51"/>
        <v>Error?</v>
      </c>
    </row>
    <row r="3388" spans="1:4" x14ac:dyDescent="0.2">
      <c r="A3388" s="5">
        <v>3327</v>
      </c>
      <c r="B3388" s="1831">
        <f>'Expenditures 15-22'!D217</f>
        <v>231681</v>
      </c>
      <c r="D3388" s="2" t="str">
        <f t="shared" si="51"/>
        <v>Error?</v>
      </c>
    </row>
    <row r="3389" spans="1:4" x14ac:dyDescent="0.2">
      <c r="A3389" s="5">
        <v>3328</v>
      </c>
      <c r="B3389" s="1831">
        <f>'Expenditures 15-22'!D228</f>
        <v>12661</v>
      </c>
      <c r="D3389" s="2" t="str">
        <f t="shared" si="51"/>
        <v>Error?</v>
      </c>
    </row>
    <row r="3390" spans="1:4" x14ac:dyDescent="0.2">
      <c r="A3390" s="5">
        <v>3329</v>
      </c>
      <c r="B3390" s="1831">
        <f>'Expenditures 15-22'!K215</f>
        <v>468144</v>
      </c>
      <c r="C3390" s="2" t="s">
        <v>569</v>
      </c>
      <c r="D3390" s="2" t="str">
        <f t="shared" si="51"/>
        <v>Error?</v>
      </c>
    </row>
    <row r="3391" spans="1:4" x14ac:dyDescent="0.2">
      <c r="A3391" s="5">
        <v>3330</v>
      </c>
      <c r="B3391" s="1831">
        <f>'Expenditures 15-22'!K217</f>
        <v>231681</v>
      </c>
      <c r="C3391" s="2" t="s">
        <v>569</v>
      </c>
      <c r="D3391" s="2" t="str">
        <f t="shared" ref="D3391:D3454" si="52">IF(ISBLANK(B3391),"OK",IF(A3391-B3391=0,"OK","Error?"))</f>
        <v>Error?</v>
      </c>
    </row>
    <row r="3392" spans="1:4" x14ac:dyDescent="0.2">
      <c r="A3392" s="5">
        <v>3331</v>
      </c>
      <c r="B3392" s="1831">
        <f>'Expenditures 15-22'!K228</f>
        <v>12661</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42491769</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1718981</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0</v>
      </c>
      <c r="D3417" s="2" t="str">
        <f t="shared" si="52"/>
        <v>Error?</v>
      </c>
    </row>
    <row r="3418" spans="1:4" x14ac:dyDescent="0.2">
      <c r="A3418" s="10">
        <v>3357</v>
      </c>
      <c r="B3418" s="1831"/>
      <c r="D3418" s="2" t="str">
        <f t="shared" si="52"/>
        <v>OK</v>
      </c>
    </row>
    <row r="3419" spans="1:4" x14ac:dyDescent="0.2">
      <c r="A3419" s="5">
        <v>3358</v>
      </c>
      <c r="B3419" s="1831">
        <f>'Assets-Liab 5-6'!F4</f>
        <v>1337657</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2019389</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4383145</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175114</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355730</v>
      </c>
      <c r="C3446" s="2" t="s">
        <v>569</v>
      </c>
      <c r="D3446" s="2" t="str">
        <f t="shared" si="52"/>
        <v>Error?</v>
      </c>
    </row>
    <row r="3447" spans="1:4" x14ac:dyDescent="0.2">
      <c r="A3447" s="5">
        <v>3386</v>
      </c>
      <c r="B3447" s="1831">
        <f>'Tax Sched 23'!D16</f>
        <v>45227</v>
      </c>
      <c r="C3447" s="2" t="s">
        <v>569</v>
      </c>
      <c r="D3447" s="2" t="str">
        <f t="shared" si="52"/>
        <v>Error?</v>
      </c>
    </row>
    <row r="3448" spans="1:4" x14ac:dyDescent="0.2">
      <c r="A3448" s="5">
        <v>3387</v>
      </c>
      <c r="B3448" s="1831">
        <f>'Tax Sched 23'!C16</f>
        <v>310503</v>
      </c>
      <c r="D3448" s="2" t="str">
        <f t="shared" si="52"/>
        <v>Error?</v>
      </c>
    </row>
    <row r="3449" spans="1:4" x14ac:dyDescent="0.2">
      <c r="A3449" s="5">
        <v>3388</v>
      </c>
      <c r="B3449" s="1831">
        <f>'Tax Sched 23'!F16</f>
        <v>291538</v>
      </c>
      <c r="C3449" s="2" t="s">
        <v>569</v>
      </c>
      <c r="D3449" s="2" t="str">
        <f t="shared" si="52"/>
        <v>Error?</v>
      </c>
    </row>
    <row r="3450" spans="1:4" x14ac:dyDescent="0.2">
      <c r="A3450" s="5">
        <v>3389</v>
      </c>
      <c r="B3450" s="1831">
        <f>'Tax Sched 23'!E16</f>
        <v>602041</v>
      </c>
      <c r="D3450" s="2" t="str">
        <f t="shared" si="52"/>
        <v>Error?</v>
      </c>
    </row>
    <row r="3451" spans="1:4" x14ac:dyDescent="0.2">
      <c r="A3451" s="5">
        <v>3390</v>
      </c>
      <c r="B3451" s="1831">
        <f>'Cap Outlay Deprec 26'!C15</f>
        <v>2351627</v>
      </c>
      <c r="D3451" s="2" t="str">
        <f t="shared" si="52"/>
        <v>Error?</v>
      </c>
    </row>
    <row r="3452" spans="1:4" x14ac:dyDescent="0.2">
      <c r="A3452" s="5">
        <v>3391</v>
      </c>
      <c r="B3452" s="1831">
        <f>'Cap Outlay Deprec 26'!D15</f>
        <v>7384461</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9736088</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9736088</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1999</v>
      </c>
      <c r="E3521" s="4" t="s">
        <v>134</v>
      </c>
    </row>
    <row r="3522" spans="1:5" x14ac:dyDescent="0.2">
      <c r="A3522" s="10">
        <v>3461</v>
      </c>
      <c r="B3522" s="1831"/>
      <c r="D3522" s="4" t="s">
        <v>1999</v>
      </c>
      <c r="E3522" s="4" t="s">
        <v>134</v>
      </c>
    </row>
    <row r="3523" spans="1:5" x14ac:dyDescent="0.2">
      <c r="A3523" s="10">
        <v>3462</v>
      </c>
      <c r="B3523" s="1831"/>
      <c r="D3523" s="4" t="s">
        <v>1999</v>
      </c>
      <c r="E3523" s="4" t="s">
        <v>134</v>
      </c>
    </row>
    <row r="3524" spans="1:5" x14ac:dyDescent="0.2">
      <c r="A3524" s="10">
        <v>3463</v>
      </c>
      <c r="B3524" s="1831"/>
      <c r="D3524" s="4" t="s">
        <v>1999</v>
      </c>
      <c r="E3524" s="4" t="s">
        <v>134</v>
      </c>
    </row>
    <row r="3525" spans="1:5" x14ac:dyDescent="0.2">
      <c r="A3525" s="10">
        <v>3464</v>
      </c>
      <c r="B3525" s="1831"/>
      <c r="D3525" s="4" t="s">
        <v>1999</v>
      </c>
      <c r="E3525" s="4" t="s">
        <v>134</v>
      </c>
    </row>
    <row r="3526" spans="1:5" x14ac:dyDescent="0.2">
      <c r="A3526" s="10">
        <v>3465</v>
      </c>
      <c r="B3526" s="1831"/>
      <c r="D3526" s="4" t="s">
        <v>1999</v>
      </c>
      <c r="E3526" s="4" t="s">
        <v>134</v>
      </c>
    </row>
    <row r="3527" spans="1:5" x14ac:dyDescent="0.2">
      <c r="A3527" s="10">
        <v>3466</v>
      </c>
      <c r="B3527" s="1831"/>
      <c r="D3527" s="4" t="s">
        <v>1999</v>
      </c>
      <c r="E3527" s="4" t="s">
        <v>134</v>
      </c>
    </row>
    <row r="3528" spans="1:5" x14ac:dyDescent="0.2">
      <c r="A3528" s="10">
        <v>3467</v>
      </c>
      <c r="B3528" s="1831"/>
      <c r="D3528" s="4" t="s">
        <v>1999</v>
      </c>
      <c r="E3528" s="4" t="s">
        <v>134</v>
      </c>
    </row>
    <row r="3529" spans="1:5" x14ac:dyDescent="0.2">
      <c r="A3529" s="10">
        <v>3468</v>
      </c>
      <c r="B3529" s="1831"/>
      <c r="D3529" s="4" t="s">
        <v>1999</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0</v>
      </c>
      <c r="C3568" s="2" t="s">
        <v>569</v>
      </c>
      <c r="D3568" s="2" t="str">
        <f t="shared" si="54"/>
        <v>Error?</v>
      </c>
    </row>
    <row r="3569" spans="1:4" x14ac:dyDescent="0.2">
      <c r="A3569" s="5">
        <v>3508</v>
      </c>
      <c r="B3569" s="1831">
        <f>'Acct Summary 7-8'!K4</f>
        <v>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0</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0</v>
      </c>
      <c r="C3588" s="2" t="s">
        <v>569</v>
      </c>
      <c r="D3588" s="2" t="str">
        <f t="shared" si="55"/>
        <v>Error?</v>
      </c>
    </row>
    <row r="3589" spans="1:4" x14ac:dyDescent="0.2">
      <c r="A3589" s="5">
        <v>3528</v>
      </c>
      <c r="B3589" s="1831">
        <f>'Acct Summary 7-8'!K79</f>
        <v>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94123</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18162679</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59770102</v>
      </c>
      <c r="C4122" s="2" t="s">
        <v>569</v>
      </c>
      <c r="D4122" s="2" t="str">
        <f t="shared" si="63"/>
        <v>Error?</v>
      </c>
    </row>
    <row r="4123" spans="1:4" x14ac:dyDescent="0.2">
      <c r="A4123" s="5">
        <v>4062</v>
      </c>
      <c r="B4123" s="1831">
        <f>'Acct Summary 7-8'!D10</f>
        <v>6231992</v>
      </c>
      <c r="C4123" s="2" t="s">
        <v>569</v>
      </c>
      <c r="D4123" s="2" t="str">
        <f t="shared" si="63"/>
        <v>Error?</v>
      </c>
    </row>
    <row r="4124" spans="1:4" x14ac:dyDescent="0.2">
      <c r="A4124" s="5">
        <v>4063</v>
      </c>
      <c r="B4124" s="1831">
        <f>'Acct Summary 7-8'!E10</f>
        <v>0</v>
      </c>
      <c r="C4124" s="2" t="s">
        <v>569</v>
      </c>
      <c r="D4124" s="2" t="str">
        <f t="shared" si="63"/>
        <v>Error?</v>
      </c>
    </row>
    <row r="4125" spans="1:4" x14ac:dyDescent="0.2">
      <c r="A4125" s="5">
        <v>4064</v>
      </c>
      <c r="B4125" s="1831">
        <f>'Acct Summary 7-8'!F10</f>
        <v>2656228</v>
      </c>
      <c r="C4125" s="2" t="s">
        <v>569</v>
      </c>
      <c r="D4125" s="2" t="str">
        <f t="shared" si="63"/>
        <v>Error?</v>
      </c>
    </row>
    <row r="4126" spans="1:4" x14ac:dyDescent="0.2">
      <c r="A4126" s="5">
        <v>4065</v>
      </c>
      <c r="B4126" s="1831">
        <f>'Acct Summary 7-8'!G10</f>
        <v>789930</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362351</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0</v>
      </c>
      <c r="C4130" s="2" t="s">
        <v>569</v>
      </c>
      <c r="D4130" s="2" t="str">
        <f t="shared" si="63"/>
        <v>Error?</v>
      </c>
    </row>
    <row r="4131" spans="1:4" x14ac:dyDescent="0.2">
      <c r="A4131" s="5">
        <v>4070</v>
      </c>
      <c r="B4131" s="1831">
        <f>'Acct Summary 7-8'!C18</f>
        <v>18162679</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57863887</v>
      </c>
      <c r="C4136" s="2" t="s">
        <v>569</v>
      </c>
      <c r="D4136" s="2" t="str">
        <f t="shared" si="63"/>
        <v>Error?</v>
      </c>
    </row>
    <row r="4137" spans="1:4" x14ac:dyDescent="0.2">
      <c r="A4137" s="5">
        <v>4076</v>
      </c>
      <c r="B4137" s="1831">
        <f>'Acct Summary 7-8'!D19</f>
        <v>10218976</v>
      </c>
      <c r="C4137" s="2" t="s">
        <v>569</v>
      </c>
      <c r="D4137" s="2" t="str">
        <f t="shared" si="63"/>
        <v>Error?</v>
      </c>
    </row>
    <row r="4138" spans="1:4" x14ac:dyDescent="0.2">
      <c r="A4138" s="5">
        <v>4077</v>
      </c>
      <c r="B4138" s="1831">
        <f>'Acct Summary 7-8'!E19</f>
        <v>0</v>
      </c>
      <c r="C4138" s="2" t="s">
        <v>569</v>
      </c>
      <c r="D4138" s="2" t="str">
        <f t="shared" si="63"/>
        <v>Error?</v>
      </c>
    </row>
    <row r="4139" spans="1:4" x14ac:dyDescent="0.2">
      <c r="A4139" s="5">
        <v>4078</v>
      </c>
      <c r="B4139" s="1831">
        <f>'Acct Summary 7-8'!F19</f>
        <v>1645812</v>
      </c>
      <c r="C4139" s="2" t="s">
        <v>569</v>
      </c>
      <c r="D4139" s="2" t="str">
        <f t="shared" si="63"/>
        <v>Error?</v>
      </c>
    </row>
    <row r="4140" spans="1:4" x14ac:dyDescent="0.2">
      <c r="A4140" s="5">
        <v>4079</v>
      </c>
      <c r="B4140" s="1831">
        <f>'Acct Summary 7-8'!G19</f>
        <v>1529445</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0</v>
      </c>
      <c r="C4171" s="2" t="s">
        <v>569</v>
      </c>
      <c r="D4171" s="2" t="str">
        <f t="shared" si="64"/>
        <v>Error?</v>
      </c>
    </row>
    <row r="4172" spans="1:4" x14ac:dyDescent="0.2">
      <c r="A4172" s="5">
        <v>4111</v>
      </c>
      <c r="B4172" s="1831">
        <f>'Short-Term Long-Term Debt 24'!J49</f>
        <v>0</v>
      </c>
      <c r="C4172" s="2" t="s">
        <v>569</v>
      </c>
      <c r="D4172" s="2" t="str">
        <f t="shared" si="64"/>
        <v>Error?</v>
      </c>
    </row>
    <row r="4173" spans="1:4" x14ac:dyDescent="0.2">
      <c r="A4173" s="5">
        <v>4112</v>
      </c>
      <c r="B4173" s="1831">
        <f>'Short-Term Long-Term Debt 24'!H49</f>
        <v>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1901</v>
      </c>
    </row>
    <row r="4236" spans="1:5" x14ac:dyDescent="0.2">
      <c r="A4236" s="10">
        <v>4175</v>
      </c>
      <c r="B4236" s="1831"/>
      <c r="D4236" s="2" t="str">
        <f t="shared" si="65"/>
        <v>OK</v>
      </c>
      <c r="E4236" s="4" t="s">
        <v>1901</v>
      </c>
    </row>
    <row r="4237" spans="1:5" x14ac:dyDescent="0.2">
      <c r="A4237" s="10">
        <v>4176</v>
      </c>
      <c r="B4237" s="1831"/>
      <c r="D4237" s="2" t="str">
        <f t="shared" si="65"/>
        <v>OK</v>
      </c>
      <c r="E4237" s="4" t="s">
        <v>1901</v>
      </c>
    </row>
    <row r="4238" spans="1:5" x14ac:dyDescent="0.2">
      <c r="A4238" s="10">
        <v>4177</v>
      </c>
      <c r="B4238" s="1831"/>
      <c r="D4238" s="2" t="str">
        <f t="shared" si="65"/>
        <v>OK</v>
      </c>
      <c r="E4238" s="4" t="s">
        <v>1901</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3984.5</v>
      </c>
      <c r="C4265" s="2" t="s">
        <v>569</v>
      </c>
      <c r="D4265" s="2" t="str">
        <f t="shared" si="65"/>
        <v>Error?</v>
      </c>
      <c r="E4265" s="125"/>
    </row>
    <row r="4266" spans="1:5" x14ac:dyDescent="0.2">
      <c r="A4266" s="12">
        <v>4205</v>
      </c>
      <c r="B4266" s="1831">
        <f>('FP Info 3'!F10)*100000</f>
        <v>495.9</v>
      </c>
      <c r="C4266" s="2" t="s">
        <v>569</v>
      </c>
      <c r="D4266" s="2" t="str">
        <f t="shared" si="65"/>
        <v>Error?</v>
      </c>
      <c r="E4266" s="125"/>
    </row>
    <row r="4267" spans="1:5" x14ac:dyDescent="0.2">
      <c r="A4267" s="12">
        <v>4206</v>
      </c>
      <c r="B4267" s="1831">
        <f>('FP Info 3'!H10)*100000</f>
        <v>181.9</v>
      </c>
      <c r="C4267" s="2" t="s">
        <v>569</v>
      </c>
      <c r="D4267" s="2" t="str">
        <f t="shared" si="65"/>
        <v>Error?</v>
      </c>
      <c r="E4267" s="125"/>
    </row>
    <row r="4268" spans="1:5" x14ac:dyDescent="0.2">
      <c r="A4268" s="12">
        <v>4207</v>
      </c>
      <c r="B4268" s="1831">
        <f>('FP Info 3'!J10)*100000</f>
        <v>4662</v>
      </c>
      <c r="C4268" s="2" t="s">
        <v>569</v>
      </c>
      <c r="D4268" s="2" t="str">
        <f t="shared" si="65"/>
        <v>Error?</v>
      </c>
    </row>
    <row r="4269" spans="1:5" x14ac:dyDescent="0.2">
      <c r="A4269" s="12">
        <v>4208</v>
      </c>
      <c r="B4269" s="1831">
        <f>'FP Info 3'!J16</f>
        <v>45981533</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158993</v>
      </c>
      <c r="D4300" s="2" t="str">
        <f t="shared" si="66"/>
        <v>Error?</v>
      </c>
    </row>
    <row r="4301" spans="1:4" x14ac:dyDescent="0.2">
      <c r="A4301" s="5">
        <v>4240</v>
      </c>
      <c r="B4301" s="1831">
        <f>'Rest Tax Levies-Tort Im 25'!G37</f>
        <v>2194</v>
      </c>
      <c r="D4301" s="2" t="str">
        <f t="shared" si="66"/>
        <v>Error?</v>
      </c>
    </row>
    <row r="4302" spans="1:4" x14ac:dyDescent="0.2">
      <c r="A4302" s="5">
        <v>4241</v>
      </c>
      <c r="B4302" s="1831">
        <f>'Rest Tax Levies-Tort Im 25'!G38</f>
        <v>85040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73887</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73924</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177205</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1901</v>
      </c>
    </row>
    <row r="4400" spans="1:5" x14ac:dyDescent="0.2">
      <c r="A4400" s="10">
        <v>4339</v>
      </c>
      <c r="B4400" s="1831"/>
      <c r="D4400" s="2" t="str">
        <f t="shared" si="67"/>
        <v>OK</v>
      </c>
      <c r="E4400" s="4" t="s">
        <v>1901</v>
      </c>
    </row>
    <row r="4401" spans="1:5" x14ac:dyDescent="0.2">
      <c r="A4401" s="10">
        <v>4340</v>
      </c>
      <c r="B4401" s="1831"/>
      <c r="D4401" s="2" t="str">
        <f t="shared" si="67"/>
        <v>OK</v>
      </c>
      <c r="E4401" s="4" t="s">
        <v>1901</v>
      </c>
    </row>
    <row r="4402" spans="1:5" x14ac:dyDescent="0.2">
      <c r="A4402" s="10">
        <v>4341</v>
      </c>
      <c r="B4402" s="1831"/>
      <c r="D4402" s="2" t="str">
        <f t="shared" si="67"/>
        <v>OK</v>
      </c>
      <c r="E4402" s="4" t="s">
        <v>1901</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39955</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20659</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0</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34.200000000000003</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276734</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856388943</v>
      </c>
      <c r="D4995" s="2" t="str">
        <f t="shared" si="77"/>
        <v>Error?</v>
      </c>
    </row>
    <row r="4996" spans="1:4" x14ac:dyDescent="0.2">
      <c r="A4996" s="12">
        <v>4935</v>
      </c>
      <c r="B4996" s="1831">
        <f>'FP Info 3'!H31</f>
        <v>59090837.067000002</v>
      </c>
      <c r="D4996" s="2" t="str">
        <f t="shared" si="77"/>
        <v>Error?</v>
      </c>
    </row>
    <row r="4997" spans="1:4" x14ac:dyDescent="0.2">
      <c r="A4997" s="12">
        <v>4936</v>
      </c>
      <c r="B4997" s="1831">
        <f>'FP Info 3'!H37</f>
        <v>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33393753</v>
      </c>
      <c r="D5061" s="2" t="str">
        <f t="shared" si="78"/>
        <v>Error?</v>
      </c>
    </row>
    <row r="5062" spans="1:4" x14ac:dyDescent="0.2">
      <c r="A5062" s="10">
        <v>5001</v>
      </c>
      <c r="B5062" s="1831"/>
      <c r="D5062" s="2" t="str">
        <f t="shared" si="78"/>
        <v>OK</v>
      </c>
    </row>
    <row r="5063" spans="1:4" x14ac:dyDescent="0.2">
      <c r="A5063" s="5">
        <v>5002</v>
      </c>
      <c r="B5063" s="1831">
        <f>'Revenues 9-14'!C7</f>
        <v>256737</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33650490</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112168</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112168</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5424</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5424</v>
      </c>
      <c r="C5087" s="2" t="s">
        <v>569</v>
      </c>
      <c r="D5087" s="2" t="str">
        <f t="shared" si="78"/>
        <v>Error?</v>
      </c>
    </row>
    <row r="5088" spans="1:4" x14ac:dyDescent="0.2">
      <c r="A5088" s="5">
        <v>5027</v>
      </c>
      <c r="B5088" s="1831">
        <f>'Revenues 9-14'!C65</f>
        <v>865727</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865727</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18109</v>
      </c>
      <c r="C5096" s="2" t="s">
        <v>569</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1304</v>
      </c>
      <c r="D5098" s="2" t="str">
        <f t="shared" si="78"/>
        <v>Error?</v>
      </c>
    </row>
    <row r="5099" spans="1:4" x14ac:dyDescent="0.2">
      <c r="A5099" s="5">
        <v>5038</v>
      </c>
      <c r="B5099" s="1831">
        <f>'Revenues 9-14'!C79</f>
        <v>22360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23664</v>
      </c>
      <c r="C5102" s="2" t="s">
        <v>569</v>
      </c>
      <c r="D5102" s="2" t="str">
        <f t="shared" si="78"/>
        <v>Error?</v>
      </c>
    </row>
    <row r="5103" spans="1:4" x14ac:dyDescent="0.2">
      <c r="A5103" s="5">
        <v>5042</v>
      </c>
      <c r="B5103" s="1831">
        <f>'Revenues 9-14'!C84</f>
        <v>569248</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569248</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102395</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0</v>
      </c>
      <c r="D5119" s="2" t="str">
        <f t="shared" ref="D5119:D5182" si="79">IF(ISBLANK(B5119),"OK",IF(A5119-B5119=0,"OK","Error?"))</f>
        <v>Error?</v>
      </c>
    </row>
    <row r="5120" spans="1:4" x14ac:dyDescent="0.2">
      <c r="A5120" s="5">
        <v>5059</v>
      </c>
      <c r="B5120" s="1831">
        <f>'Revenues 9-14'!C108</f>
        <v>102395</v>
      </c>
      <c r="C5120" s="2" t="s">
        <v>569</v>
      </c>
      <c r="D5120" s="2" t="str">
        <f t="shared" si="79"/>
        <v>Error?</v>
      </c>
    </row>
    <row r="5121" spans="1:4" x14ac:dyDescent="0.2">
      <c r="A5121" s="5">
        <v>5060</v>
      </c>
      <c r="B5121" s="1831">
        <f>'Revenues 9-14'!C109</f>
        <v>35347225</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3697079</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3697079</v>
      </c>
      <c r="C5132" s="2" t="s">
        <v>569</v>
      </c>
      <c r="D5132" s="2" t="str">
        <f t="shared" si="79"/>
        <v>Error?</v>
      </c>
    </row>
    <row r="5133" spans="1:4" x14ac:dyDescent="0.2">
      <c r="A5133" s="5">
        <v>5072</v>
      </c>
      <c r="B5133" s="1831">
        <f>'Revenues 9-14'!C125</f>
        <v>260606</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10135</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270741</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982</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1901</v>
      </c>
    </row>
    <row r="5200" spans="1:5" x14ac:dyDescent="0.2">
      <c r="A5200" s="10">
        <v>5139</v>
      </c>
      <c r="B5200" s="1831"/>
      <c r="D5200" s="2" t="str">
        <f t="shared" si="80"/>
        <v>OK</v>
      </c>
      <c r="E5200" s="4" t="s">
        <v>1901</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271723</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3968802</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0</v>
      </c>
      <c r="D5239" s="2" t="str">
        <f t="shared" si="80"/>
        <v>Error?</v>
      </c>
    </row>
    <row r="5240" spans="1:4" x14ac:dyDescent="0.2">
      <c r="A5240" s="5">
        <v>5179</v>
      </c>
      <c r="B5240" s="1831">
        <f>'Revenues 9-14'!C192</f>
        <v>46214</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46214</v>
      </c>
      <c r="C5246" s="2" t="s">
        <v>569</v>
      </c>
      <c r="D5246" s="2" t="str">
        <f t="shared" si="80"/>
        <v>Error?</v>
      </c>
    </row>
    <row r="5247" spans="1:4" x14ac:dyDescent="0.2">
      <c r="A5247" s="5">
        <v>5186</v>
      </c>
      <c r="B5247" s="1831">
        <f>'Revenues 9-14'!C200</f>
        <v>512133</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1901</v>
      </c>
    </row>
    <row r="5255" spans="1:5" x14ac:dyDescent="0.2">
      <c r="A5255" s="5">
        <v>5194</v>
      </c>
      <c r="B5255" s="1831">
        <f>'Revenues 9-14'!C202</f>
        <v>0</v>
      </c>
      <c r="D5255" s="2" t="str">
        <f t="shared" si="81"/>
        <v>Error?</v>
      </c>
    </row>
    <row r="5256" spans="1:5" x14ac:dyDescent="0.2">
      <c r="A5256" s="5">
        <v>5195</v>
      </c>
      <c r="B5256" s="1831">
        <f>'Revenues 9-14'!C206</f>
        <v>39955</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586020</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41933</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1020221</v>
      </c>
      <c r="D5278" s="2" t="str">
        <f t="shared" si="81"/>
        <v>Error?</v>
      </c>
    </row>
    <row r="5279" spans="1:4" x14ac:dyDescent="0.2">
      <c r="A5279" s="5">
        <v>5218</v>
      </c>
      <c r="B5279" s="1831">
        <f>'Revenues 9-14'!C214</f>
        <v>8531</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1070685</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1901</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2291396</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2291396</v>
      </c>
      <c r="C5326" s="2" t="s">
        <v>569</v>
      </c>
      <c r="D5326" s="2" t="str">
        <f t="shared" si="82"/>
        <v>Error?</v>
      </c>
    </row>
    <row r="5327" spans="1:5" x14ac:dyDescent="0.2">
      <c r="A5327" s="5">
        <v>5266</v>
      </c>
      <c r="B5327" s="1831">
        <f>'Revenues 9-14'!C268</f>
        <v>41607423</v>
      </c>
      <c r="C5327" s="2" t="s">
        <v>569</v>
      </c>
      <c r="D5327" s="2" t="str">
        <f t="shared" si="82"/>
        <v>Error?</v>
      </c>
    </row>
    <row r="5328" spans="1:5" x14ac:dyDescent="0.2">
      <c r="A5328" s="5">
        <v>5267</v>
      </c>
      <c r="B5328" s="1831">
        <f>'Revenues 9-14'!D5</f>
        <v>4095975</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4095975</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42833</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42833</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4100</v>
      </c>
      <c r="D5349" s="2" t="str">
        <f t="shared" si="82"/>
        <v>Error?</v>
      </c>
    </row>
    <row r="5350" spans="1:4" x14ac:dyDescent="0.2">
      <c r="A5350" s="5">
        <v>5289</v>
      </c>
      <c r="B5350" s="1831">
        <f>'Revenues 9-14'!D96</f>
        <v>21200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25300</v>
      </c>
      <c r="C5355" s="2" t="s">
        <v>569</v>
      </c>
      <c r="D5355" s="2" t="str">
        <f t="shared" si="82"/>
        <v>Error?</v>
      </c>
    </row>
    <row r="5356" spans="1:4" x14ac:dyDescent="0.2">
      <c r="A5356" s="5">
        <v>5295</v>
      </c>
      <c r="B5356" s="1831">
        <f>'Revenues 9-14'!D109</f>
        <v>4164108</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2067884</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2067884</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2067884</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1901</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6231992</v>
      </c>
      <c r="C5508" s="2" t="s">
        <v>569</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0</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0</v>
      </c>
      <c r="C5552" s="2" t="s">
        <v>569</v>
      </c>
      <c r="D5552" s="2" t="str">
        <f t="shared" si="85"/>
        <v>Error?</v>
      </c>
    </row>
    <row r="5553" spans="1:4" x14ac:dyDescent="0.2">
      <c r="A5553" s="5">
        <v>5492</v>
      </c>
      <c r="B5553" s="1831">
        <f>'Revenues 9-14'!F5</f>
        <v>1502102</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1502102</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37362</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37362</v>
      </c>
      <c r="C5579" s="2" t="s">
        <v>569</v>
      </c>
      <c r="D5579" s="2" t="str">
        <f t="shared" si="86"/>
        <v>Error?</v>
      </c>
    </row>
    <row r="5580" spans="1:4" x14ac:dyDescent="0.2">
      <c r="A5580" s="5">
        <v>5519</v>
      </c>
      <c r="B5580" s="1831">
        <f>'Revenues 9-14'!F65</f>
        <v>16466</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16466</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1555930</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16979</v>
      </c>
      <c r="D5615" s="2" t="str">
        <f t="shared" si="86"/>
        <v>Error?</v>
      </c>
    </row>
    <row r="5616" spans="1:4" x14ac:dyDescent="0.2">
      <c r="A5616" s="10">
        <v>5555</v>
      </c>
      <c r="B5616" s="1831"/>
      <c r="D5616" s="2" t="str">
        <f t="shared" si="86"/>
        <v>OK</v>
      </c>
    </row>
    <row r="5617" spans="1:5" x14ac:dyDescent="0.2">
      <c r="A5617" s="5">
        <v>5556</v>
      </c>
      <c r="B5617" s="1831">
        <f>'Revenues 9-14'!F153</f>
        <v>1083319</v>
      </c>
      <c r="D5617" s="2" t="str">
        <f t="shared" si="86"/>
        <v>Error?</v>
      </c>
    </row>
    <row r="5618" spans="1:5" x14ac:dyDescent="0.2">
      <c r="A5618" s="5">
        <v>5557</v>
      </c>
      <c r="B5618" s="1831">
        <f>'Revenues 9-14'!F155</f>
        <v>1100298</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1901</v>
      </c>
    </row>
    <row r="5631" spans="1:5" x14ac:dyDescent="0.2">
      <c r="A5631" s="10">
        <v>5570</v>
      </c>
      <c r="B5631" s="1831"/>
      <c r="D5631" s="2" t="str">
        <f t="shared" ref="D5631:D5694" si="87">IF(ISBLANK(B5631),"OK",IF(A5631-B5631=0,"OK","Error?"))</f>
        <v>OK</v>
      </c>
      <c r="E5631" s="4" t="s">
        <v>1901</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1100298</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1100298</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1901</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1901</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2656228</v>
      </c>
      <c r="C5720" s="2" t="s">
        <v>569</v>
      </c>
      <c r="D5720" s="2" t="str">
        <f t="shared" si="88"/>
        <v>Error?</v>
      </c>
    </row>
    <row r="5721" spans="1:4" x14ac:dyDescent="0.2">
      <c r="A5721" s="5">
        <v>5660</v>
      </c>
      <c r="B5721" s="1831">
        <f>'Revenues 9-14'!G5</f>
        <v>389664</v>
      </c>
      <c r="D5721" s="2" t="str">
        <f t="shared" si="88"/>
        <v>Error?</v>
      </c>
    </row>
    <row r="5722" spans="1:4" x14ac:dyDescent="0.2">
      <c r="A5722" s="5">
        <v>5661</v>
      </c>
      <c r="B5722" s="1831">
        <f>'Revenues 9-14'!G7</f>
        <v>0</v>
      </c>
      <c r="D5722" s="2" t="str">
        <f t="shared" si="88"/>
        <v>Error?</v>
      </c>
    </row>
    <row r="5723" spans="1:4" x14ac:dyDescent="0.2">
      <c r="A5723" s="5">
        <v>5662</v>
      </c>
      <c r="B5723" s="1831">
        <f>'Revenues 9-14'!G8</f>
        <v>355730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745394</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569</v>
      </c>
      <c r="D5730" s="2" t="str">
        <f t="shared" si="88"/>
        <v>Error?</v>
      </c>
    </row>
    <row r="5731" spans="1:4" x14ac:dyDescent="0.2">
      <c r="A5731" s="5">
        <v>5670</v>
      </c>
      <c r="B5731" s="1831">
        <f>'Revenues 9-14'!G65</f>
        <v>44536</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44536</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1901</v>
      </c>
    </row>
    <row r="5768" spans="1:5" x14ac:dyDescent="0.2">
      <c r="A5768" s="10">
        <v>5707</v>
      </c>
      <c r="B5768" s="1831"/>
      <c r="D5768" s="2" t="str">
        <f t="shared" si="89"/>
        <v>OK</v>
      </c>
      <c r="E5768" s="4" t="s">
        <v>1901</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1901</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1901</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789930</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282376</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282376</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79975</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79975</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362351</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0</v>
      </c>
      <c r="C6023" s="2" t="s">
        <v>569</v>
      </c>
      <c r="D6023" s="2" t="str">
        <f t="shared" si="93"/>
        <v>Error?</v>
      </c>
    </row>
    <row r="6024" spans="1:5" x14ac:dyDescent="0.2">
      <c r="A6024" s="5">
        <v>5963</v>
      </c>
      <c r="B6024" s="1831">
        <f>'Revenues 9-14'!G109</f>
        <v>789930</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362351</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18109</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0</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3548.1</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442137</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272077</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334301</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266501</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0</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1317048</v>
      </c>
      <c r="D6142" s="2" t="str">
        <f t="shared" si="94"/>
        <v>Error?</v>
      </c>
      <c r="E6142" s="2" t="s">
        <v>189</v>
      </c>
    </row>
    <row r="6143" spans="1:5" x14ac:dyDescent="0.2">
      <c r="A6143">
        <v>6082</v>
      </c>
      <c r="B6143" s="1831">
        <f>'Assets-Liab 5-6'!D27</f>
        <v>2293879</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201987</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522495</v>
      </c>
      <c r="D6169" s="2" t="str">
        <f t="shared" si="95"/>
        <v>Error?</v>
      </c>
      <c r="E6169" s="2" t="s">
        <v>189</v>
      </c>
    </row>
    <row r="6170" spans="1:5" x14ac:dyDescent="0.2">
      <c r="A6170">
        <v>6109</v>
      </c>
      <c r="B6170" s="1831">
        <f>'Assets-Liab 5-6'!D30</f>
        <v>3439</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465</v>
      </c>
      <c r="D6172" s="2" t="str">
        <f t="shared" si="95"/>
        <v>Error?</v>
      </c>
      <c r="E6172" s="2" t="s">
        <v>189</v>
      </c>
    </row>
    <row r="6173" spans="1:5" x14ac:dyDescent="0.2">
      <c r="A6173">
        <v>6112</v>
      </c>
      <c r="B6173" s="1831">
        <f>'Assets-Liab 5-6'!G30</f>
        <v>101774</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0</v>
      </c>
      <c r="D6215" s="2" t="str">
        <f t="shared" si="96"/>
        <v>Error?</v>
      </c>
      <c r="E6215" s="2" t="s">
        <v>189</v>
      </c>
    </row>
    <row r="6216" spans="1:5" x14ac:dyDescent="0.2">
      <c r="A6216">
        <v>6155</v>
      </c>
      <c r="B6216" s="1831">
        <f>'Assets-Liab 5-6'!J41</f>
        <v>0</v>
      </c>
      <c r="D6216" s="2" t="str">
        <f t="shared" si="96"/>
        <v>Error?</v>
      </c>
      <c r="E6216" s="2" t="s">
        <v>189</v>
      </c>
    </row>
    <row r="6217" spans="1:5" x14ac:dyDescent="0.2">
      <c r="A6217">
        <v>6156</v>
      </c>
      <c r="B6217" s="1831">
        <f>'Assets-Liab 5-6'!J4</f>
        <v>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0</v>
      </c>
      <c r="D6229" s="2" t="str">
        <f t="shared" si="96"/>
        <v>Error?</v>
      </c>
      <c r="E6229" s="2" t="s">
        <v>189</v>
      </c>
    </row>
    <row r="6230" spans="1:5" x14ac:dyDescent="0.2">
      <c r="A6230">
        <v>6169</v>
      </c>
      <c r="B6230" s="1831">
        <f>'Acct Summary 7-8'!J20</f>
        <v>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0</v>
      </c>
      <c r="D6263" s="2" t="str">
        <f t="shared" si="96"/>
        <v>Error?</v>
      </c>
      <c r="E6263" s="2" t="s">
        <v>189</v>
      </c>
    </row>
    <row r="6264" spans="1:5" x14ac:dyDescent="0.2">
      <c r="A6264">
        <v>6203</v>
      </c>
      <c r="B6264" s="1831">
        <f>'Acct Summary 7-8'!J79</f>
        <v>0</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0</v>
      </c>
      <c r="D6266" s="2" t="str">
        <f t="shared" si="96"/>
        <v>Error?</v>
      </c>
      <c r="E6266" s="2" t="s">
        <v>189</v>
      </c>
    </row>
    <row r="6267" spans="1:5" x14ac:dyDescent="0.2">
      <c r="A6267">
        <v>6206</v>
      </c>
      <c r="B6267" s="1831">
        <f>'Acct Summary 7-8'!C82</f>
        <v>1906215</v>
      </c>
      <c r="D6267" s="2" t="str">
        <f t="shared" si="96"/>
        <v>Error?</v>
      </c>
      <c r="E6267" s="2" t="s">
        <v>189</v>
      </c>
    </row>
    <row r="6268" spans="1:5" x14ac:dyDescent="0.2">
      <c r="A6268">
        <v>6207</v>
      </c>
      <c r="B6268" s="1831">
        <f>'Acct Summary 7-8'!D82</f>
        <v>-3986984</v>
      </c>
      <c r="D6268" s="2" t="str">
        <f t="shared" si="96"/>
        <v>Error?</v>
      </c>
      <c r="E6268" s="2" t="s">
        <v>189</v>
      </c>
    </row>
    <row r="6269" spans="1:5" x14ac:dyDescent="0.2">
      <c r="A6269">
        <v>6208</v>
      </c>
      <c r="B6269" s="1831">
        <f>'Acct Summary 7-8'!E82</f>
        <v>0</v>
      </c>
      <c r="D6269" s="2" t="str">
        <f t="shared" si="96"/>
        <v>Error?</v>
      </c>
      <c r="E6269" s="2" t="s">
        <v>189</v>
      </c>
    </row>
    <row r="6270" spans="1:5" x14ac:dyDescent="0.2">
      <c r="A6270">
        <v>6209</v>
      </c>
      <c r="B6270" s="1831">
        <f>'Acct Summary 7-8'!F82</f>
        <v>1010416</v>
      </c>
      <c r="D6270" s="2" t="str">
        <f t="shared" si="96"/>
        <v>Error?</v>
      </c>
      <c r="E6270" s="2" t="s">
        <v>189</v>
      </c>
    </row>
    <row r="6271" spans="1:5" x14ac:dyDescent="0.2">
      <c r="A6271">
        <v>6210</v>
      </c>
      <c r="B6271" s="1831">
        <f>'Acct Summary 7-8'!G82</f>
        <v>-739515</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362351</v>
      </c>
      <c r="D6273" s="2" t="str">
        <f t="shared" si="97"/>
        <v>Error?</v>
      </c>
      <c r="E6273" s="2" t="s">
        <v>189</v>
      </c>
    </row>
    <row r="6274" spans="1:5" x14ac:dyDescent="0.2">
      <c r="A6274">
        <v>6213</v>
      </c>
      <c r="B6274" s="1831">
        <f>'Acct Summary 7-8'!J82</f>
        <v>0</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4.6805070789350187E-2</v>
      </c>
      <c r="D6276" s="2" t="str">
        <f t="shared" si="97"/>
        <v>Error?</v>
      </c>
      <c r="E6276" s="2" t="s">
        <v>189</v>
      </c>
    </row>
    <row r="6277" spans="1:5" x14ac:dyDescent="0.2">
      <c r="A6277">
        <v>6216</v>
      </c>
      <c r="B6277" s="1831">
        <f>'Acct Summary 7-8'!D83</f>
        <v>5.4306153359993896</v>
      </c>
      <c r="D6277" s="2" t="str">
        <f t="shared" si="97"/>
        <v>Error?</v>
      </c>
      <c r="E6277" s="2" t="s">
        <v>189</v>
      </c>
    </row>
    <row r="6278" spans="1:5" x14ac:dyDescent="0.2">
      <c r="A6278">
        <v>6217</v>
      </c>
      <c r="B6278" s="1831" t="e">
        <f>'Acct Summary 7-8'!E83</f>
        <v>#DIV/0!</v>
      </c>
      <c r="D6278" s="2" t="e">
        <f t="shared" si="97"/>
        <v>#DIV/0!</v>
      </c>
      <c r="E6278" s="2" t="s">
        <v>189</v>
      </c>
    </row>
    <row r="6279" spans="1:5" x14ac:dyDescent="0.2">
      <c r="A6279">
        <v>6218</v>
      </c>
      <c r="B6279" s="1831">
        <f>'Acct Summary 7-8'!F83</f>
        <v>0.62501569628083198</v>
      </c>
      <c r="D6279" s="2" t="str">
        <f t="shared" si="97"/>
        <v>Error?</v>
      </c>
      <c r="E6279" s="2" t="s">
        <v>189</v>
      </c>
    </row>
    <row r="6280" spans="1:5" x14ac:dyDescent="0.2">
      <c r="A6280">
        <v>6219</v>
      </c>
      <c r="B6280" s="1831">
        <f>'Acct Summary 7-8'!G83</f>
        <v>-0.39530803733941439</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8.2872354512934426E-2</v>
      </c>
      <c r="D6282" s="2" t="str">
        <f t="shared" si="97"/>
        <v>Error?</v>
      </c>
      <c r="E6282" s="2" t="s">
        <v>189</v>
      </c>
    </row>
    <row r="6283" spans="1:5" x14ac:dyDescent="0.2">
      <c r="A6283">
        <v>6222</v>
      </c>
      <c r="B6283" s="1831" t="e">
        <f>'Acct Summary 7-8'!J83</f>
        <v>#DIV/0!</v>
      </c>
      <c r="D6283" s="2" t="e">
        <f t="shared" si="97"/>
        <v>#DIV/0!</v>
      </c>
      <c r="E6283" s="2" t="s">
        <v>189</v>
      </c>
    </row>
    <row r="6284" spans="1:5" x14ac:dyDescent="0.2">
      <c r="A6284">
        <v>6223</v>
      </c>
      <c r="B6284" s="1831" t="e">
        <f>'Acct Summary 7-8'!K83</f>
        <v>#DIV/0!</v>
      </c>
      <c r="D6284" s="2" t="e">
        <f t="shared" si="97"/>
        <v>#DIV/0!</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1900</v>
      </c>
    </row>
    <row r="6383" spans="1:6" x14ac:dyDescent="0.2">
      <c r="A6383" s="126">
        <v>6322</v>
      </c>
      <c r="B6383" s="1831"/>
      <c r="D6383" s="2" t="str">
        <f t="shared" si="98"/>
        <v>OK</v>
      </c>
      <c r="E6383" s="2" t="s">
        <v>189</v>
      </c>
      <c r="F6383" s="1" t="s">
        <v>1900</v>
      </c>
    </row>
    <row r="6384" spans="1:6" x14ac:dyDescent="0.2">
      <c r="A6384" s="126">
        <v>6323</v>
      </c>
      <c r="B6384" s="1831"/>
      <c r="D6384" s="2" t="str">
        <f t="shared" si="98"/>
        <v>OK</v>
      </c>
      <c r="E6384" s="2" t="s">
        <v>189</v>
      </c>
      <c r="F6384" s="1" t="s">
        <v>1900</v>
      </c>
    </row>
    <row r="6385" spans="1:6" x14ac:dyDescent="0.2">
      <c r="A6385" s="126">
        <v>6324</v>
      </c>
      <c r="B6385" s="1831"/>
      <c r="D6385" s="2" t="str">
        <f t="shared" si="98"/>
        <v>OK</v>
      </c>
      <c r="E6385" s="2" t="s">
        <v>189</v>
      </c>
      <c r="F6385" s="1" t="s">
        <v>1900</v>
      </c>
    </row>
    <row r="6386" spans="1:6" x14ac:dyDescent="0.2">
      <c r="A6386" s="126">
        <v>6325</v>
      </c>
      <c r="B6386" s="1831"/>
      <c r="D6386" s="2" t="str">
        <f t="shared" si="98"/>
        <v>OK</v>
      </c>
      <c r="E6386" s="2" t="s">
        <v>189</v>
      </c>
      <c r="F6386" s="1" t="s">
        <v>1900</v>
      </c>
    </row>
    <row r="6387" spans="1:6" x14ac:dyDescent="0.2">
      <c r="A6387" s="126">
        <v>6326</v>
      </c>
      <c r="B6387" s="1831"/>
      <c r="D6387" s="2" t="str">
        <f t="shared" si="98"/>
        <v>OK</v>
      </c>
      <c r="E6387" s="2" t="s">
        <v>189</v>
      </c>
      <c r="F6387" s="1" t="s">
        <v>1900</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1900</v>
      </c>
    </row>
    <row r="6411" spans="1:6" x14ac:dyDescent="0.2">
      <c r="A6411" s="126">
        <v>6350</v>
      </c>
      <c r="B6411" s="1831"/>
      <c r="D6411" s="2" t="str">
        <f t="shared" si="99"/>
        <v>OK</v>
      </c>
      <c r="E6411" s="2" t="s">
        <v>189</v>
      </c>
      <c r="F6411" s="1" t="s">
        <v>1900</v>
      </c>
    </row>
    <row r="6412" spans="1:6" x14ac:dyDescent="0.2">
      <c r="A6412" s="126">
        <v>6351</v>
      </c>
      <c r="B6412" s="1831"/>
      <c r="D6412" s="2" t="str">
        <f t="shared" si="99"/>
        <v>OK</v>
      </c>
      <c r="E6412" s="2" t="s">
        <v>189</v>
      </c>
      <c r="F6412" s="1" t="s">
        <v>1900</v>
      </c>
    </row>
    <row r="6413" spans="1:6" x14ac:dyDescent="0.2">
      <c r="A6413" s="126">
        <v>6352</v>
      </c>
      <c r="B6413" s="1831"/>
      <c r="D6413" s="2" t="str">
        <f t="shared" si="99"/>
        <v>OK</v>
      </c>
      <c r="E6413" s="2" t="s">
        <v>189</v>
      </c>
      <c r="F6413" s="1" t="s">
        <v>1900</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1996</v>
      </c>
    </row>
    <row r="6417" spans="1:5" x14ac:dyDescent="0.2">
      <c r="A6417" s="126">
        <v>6356</v>
      </c>
      <c r="B6417" s="1831"/>
      <c r="D6417" s="2" t="str">
        <f t="shared" si="99"/>
        <v>OK</v>
      </c>
      <c r="E6417" s="4" t="s">
        <v>1996</v>
      </c>
    </row>
    <row r="6418" spans="1:5" x14ac:dyDescent="0.2">
      <c r="A6418" s="126">
        <v>6357</v>
      </c>
      <c r="B6418" s="1831"/>
      <c r="D6418" s="2" t="str">
        <f t="shared" si="99"/>
        <v>OK</v>
      </c>
      <c r="E6418" s="4" t="s">
        <v>1996</v>
      </c>
    </row>
    <row r="6419" spans="1:5" x14ac:dyDescent="0.2">
      <c r="A6419" s="126">
        <v>6358</v>
      </c>
      <c r="B6419" s="1831"/>
      <c r="D6419" s="2" t="str">
        <f t="shared" si="99"/>
        <v>OK</v>
      </c>
      <c r="E6419" s="4" t="s">
        <v>1996</v>
      </c>
    </row>
    <row r="6420" spans="1:5" x14ac:dyDescent="0.2">
      <c r="A6420" s="126">
        <v>6359</v>
      </c>
      <c r="B6420" s="1831"/>
      <c r="D6420" s="2" t="str">
        <f t="shared" si="99"/>
        <v>OK</v>
      </c>
      <c r="E6420" s="4" t="s">
        <v>1996</v>
      </c>
    </row>
    <row r="6421" spans="1:5" x14ac:dyDescent="0.2">
      <c r="A6421" s="126">
        <v>6360</v>
      </c>
      <c r="B6421" s="1831"/>
      <c r="D6421" s="2" t="str">
        <f t="shared" si="99"/>
        <v>OK</v>
      </c>
      <c r="E6421" s="4" t="s">
        <v>1996</v>
      </c>
    </row>
    <row r="6422" spans="1:5" x14ac:dyDescent="0.2">
      <c r="A6422" s="126">
        <v>6361</v>
      </c>
      <c r="B6422" s="1831"/>
      <c r="D6422" s="2" t="str">
        <f t="shared" si="99"/>
        <v>OK</v>
      </c>
      <c r="E6422" s="4" t="s">
        <v>1996</v>
      </c>
    </row>
    <row r="6423" spans="1:5" x14ac:dyDescent="0.2">
      <c r="A6423" s="126">
        <v>6362</v>
      </c>
      <c r="B6423" s="1831"/>
      <c r="D6423" s="2" t="str">
        <f t="shared" si="99"/>
        <v>OK</v>
      </c>
      <c r="E6423" s="4" t="s">
        <v>1996</v>
      </c>
    </row>
    <row r="6424" spans="1:5" x14ac:dyDescent="0.2">
      <c r="A6424" s="126">
        <v>6363</v>
      </c>
      <c r="B6424" s="1831"/>
      <c r="D6424" s="2" t="str">
        <f t="shared" si="99"/>
        <v>OK</v>
      </c>
      <c r="E6424" s="4" t="s">
        <v>1996</v>
      </c>
    </row>
    <row r="6425" spans="1:5" x14ac:dyDescent="0.2">
      <c r="A6425" s="126">
        <v>6364</v>
      </c>
      <c r="B6425" s="1831"/>
      <c r="D6425" s="2" t="str">
        <f t="shared" si="99"/>
        <v>OK</v>
      </c>
      <c r="E6425" s="4" t="s">
        <v>1996</v>
      </c>
    </row>
    <row r="6426" spans="1:5" x14ac:dyDescent="0.2">
      <c r="A6426" s="126">
        <v>6365</v>
      </c>
      <c r="B6426" s="1831"/>
      <c r="D6426" s="2" t="str">
        <f t="shared" si="99"/>
        <v>OK</v>
      </c>
      <c r="E6426" s="4" t="s">
        <v>1996</v>
      </c>
    </row>
    <row r="6427" spans="1:5" x14ac:dyDescent="0.2">
      <c r="A6427" s="126">
        <v>6366</v>
      </c>
      <c r="B6427" s="1831"/>
      <c r="D6427" s="2" t="str">
        <f t="shared" si="99"/>
        <v>OK</v>
      </c>
      <c r="E6427" s="4" t="s">
        <v>1996</v>
      </c>
    </row>
    <row r="6428" spans="1:5" x14ac:dyDescent="0.2">
      <c r="A6428" s="126">
        <v>6367</v>
      </c>
      <c r="B6428" s="1831"/>
      <c r="D6428" s="2" t="str">
        <f t="shared" si="99"/>
        <v>OK</v>
      </c>
      <c r="E6428" s="4" t="s">
        <v>1996</v>
      </c>
    </row>
    <row r="6429" spans="1:5" x14ac:dyDescent="0.2">
      <c r="A6429" s="126">
        <v>6368</v>
      </c>
      <c r="B6429" s="1831"/>
      <c r="D6429" s="2" t="str">
        <f t="shared" si="99"/>
        <v>OK</v>
      </c>
      <c r="E6429" s="4" t="s">
        <v>1996</v>
      </c>
    </row>
    <row r="6430" spans="1:5" x14ac:dyDescent="0.2">
      <c r="A6430" s="126">
        <v>6369</v>
      </c>
      <c r="B6430" s="1831"/>
      <c r="D6430" s="2" t="str">
        <f t="shared" si="99"/>
        <v>OK</v>
      </c>
      <c r="E6430" s="4" t="s">
        <v>1996</v>
      </c>
    </row>
    <row r="6431" spans="1:5" x14ac:dyDescent="0.2">
      <c r="A6431" s="126">
        <v>6370</v>
      </c>
      <c r="B6431" s="1831"/>
      <c r="D6431" s="2" t="str">
        <f t="shared" si="99"/>
        <v>OK</v>
      </c>
      <c r="E6431" s="4" t="s">
        <v>1996</v>
      </c>
    </row>
    <row r="6432" spans="1:5" x14ac:dyDescent="0.2">
      <c r="A6432" s="126">
        <v>6371</v>
      </c>
      <c r="B6432" s="1831"/>
      <c r="D6432" s="2" t="str">
        <f t="shared" si="99"/>
        <v>OK</v>
      </c>
      <c r="E6432" s="4" t="s">
        <v>1996</v>
      </c>
    </row>
    <row r="6433" spans="1:5" x14ac:dyDescent="0.2">
      <c r="A6433" s="126">
        <v>6372</v>
      </c>
      <c r="B6433" s="1831"/>
      <c r="D6433" s="2" t="str">
        <f t="shared" si="99"/>
        <v>OK</v>
      </c>
      <c r="E6433" s="4" t="s">
        <v>1996</v>
      </c>
    </row>
    <row r="6434" spans="1:5" x14ac:dyDescent="0.2">
      <c r="A6434" s="126">
        <v>6373</v>
      </c>
      <c r="B6434" s="1831"/>
      <c r="D6434" s="2" t="str">
        <f t="shared" si="99"/>
        <v>OK</v>
      </c>
      <c r="E6434" s="4" t="s">
        <v>1996</v>
      </c>
    </row>
    <row r="6435" spans="1:5" x14ac:dyDescent="0.2">
      <c r="A6435" s="126">
        <v>6374</v>
      </c>
      <c r="B6435" s="1831"/>
      <c r="D6435" s="2" t="str">
        <f t="shared" si="99"/>
        <v>OK</v>
      </c>
      <c r="E6435" s="4" t="s">
        <v>1996</v>
      </c>
    </row>
    <row r="6436" spans="1:5" x14ac:dyDescent="0.2">
      <c r="A6436" s="126">
        <v>6375</v>
      </c>
      <c r="B6436" s="1831"/>
      <c r="D6436" s="2" t="str">
        <f t="shared" si="99"/>
        <v>OK</v>
      </c>
      <c r="E6436" s="4" t="s">
        <v>1996</v>
      </c>
    </row>
    <row r="6437" spans="1:5" x14ac:dyDescent="0.2">
      <c r="A6437" s="126">
        <v>6376</v>
      </c>
      <c r="B6437" s="1831"/>
      <c r="D6437" s="2" t="str">
        <f t="shared" si="99"/>
        <v>OK</v>
      </c>
      <c r="E6437" s="4" t="s">
        <v>1996</v>
      </c>
    </row>
    <row r="6438" spans="1:5" x14ac:dyDescent="0.2">
      <c r="A6438" s="126">
        <v>6377</v>
      </c>
      <c r="B6438" s="1831"/>
      <c r="D6438" s="2" t="str">
        <f t="shared" si="99"/>
        <v>OK</v>
      </c>
      <c r="E6438" s="4" t="s">
        <v>1996</v>
      </c>
    </row>
    <row r="6439" spans="1:5" x14ac:dyDescent="0.2">
      <c r="A6439" s="126">
        <v>6378</v>
      </c>
      <c r="B6439" s="1831"/>
      <c r="D6439" s="2" t="str">
        <f t="shared" si="99"/>
        <v>OK</v>
      </c>
      <c r="E6439" s="4" t="s">
        <v>1996</v>
      </c>
    </row>
    <row r="6440" spans="1:5" x14ac:dyDescent="0.2">
      <c r="A6440" s="126">
        <v>6379</v>
      </c>
      <c r="B6440" s="1831"/>
      <c r="D6440" s="2" t="str">
        <f t="shared" si="99"/>
        <v>OK</v>
      </c>
      <c r="E6440" s="4" t="s">
        <v>1996</v>
      </c>
    </row>
    <row r="6441" spans="1:5" x14ac:dyDescent="0.2">
      <c r="A6441" s="126">
        <v>6380</v>
      </c>
      <c r="B6441" s="1831"/>
      <c r="D6441" s="2" t="str">
        <f t="shared" si="99"/>
        <v>OK</v>
      </c>
      <c r="E6441" s="4" t="s">
        <v>1996</v>
      </c>
    </row>
    <row r="6442" spans="1:5" x14ac:dyDescent="0.2">
      <c r="A6442" s="126">
        <v>6381</v>
      </c>
      <c r="B6442" s="1831"/>
      <c r="D6442" s="2" t="str">
        <f t="shared" si="99"/>
        <v>OK</v>
      </c>
      <c r="E6442" s="4" t="s">
        <v>1996</v>
      </c>
    </row>
    <row r="6443" spans="1:5" x14ac:dyDescent="0.2">
      <c r="A6443" s="126">
        <v>6382</v>
      </c>
      <c r="B6443" s="1831"/>
      <c r="D6443" s="2" t="str">
        <f t="shared" si="99"/>
        <v>OK</v>
      </c>
      <c r="E6443" s="4" t="s">
        <v>1996</v>
      </c>
    </row>
    <row r="6444" spans="1:5" x14ac:dyDescent="0.2">
      <c r="A6444" s="126">
        <v>6383</v>
      </c>
      <c r="B6444" s="1831"/>
      <c r="D6444" s="2" t="str">
        <f t="shared" si="99"/>
        <v>OK</v>
      </c>
      <c r="E6444" s="4" t="s">
        <v>1996</v>
      </c>
    </row>
    <row r="6445" spans="1:5" x14ac:dyDescent="0.2">
      <c r="A6445" s="126">
        <v>6384</v>
      </c>
      <c r="B6445" s="1831"/>
      <c r="D6445" s="2" t="str">
        <f t="shared" si="99"/>
        <v>OK</v>
      </c>
      <c r="E6445" s="4" t="s">
        <v>1996</v>
      </c>
    </row>
    <row r="6446" spans="1:5" x14ac:dyDescent="0.2">
      <c r="A6446" s="126">
        <v>6385</v>
      </c>
      <c r="B6446" s="1831"/>
      <c r="D6446" s="2" t="str">
        <f t="shared" si="99"/>
        <v>OK</v>
      </c>
      <c r="E6446" s="4" t="s">
        <v>1996</v>
      </c>
    </row>
    <row r="6447" spans="1:5" x14ac:dyDescent="0.2">
      <c r="A6447" s="126">
        <v>6386</v>
      </c>
      <c r="B6447" s="1831"/>
      <c r="D6447" s="2" t="str">
        <f t="shared" si="99"/>
        <v>OK</v>
      </c>
      <c r="E6447" s="4" t="s">
        <v>1996</v>
      </c>
    </row>
    <row r="6448" spans="1:5" x14ac:dyDescent="0.2">
      <c r="A6448" s="126">
        <v>6387</v>
      </c>
      <c r="B6448" s="1831"/>
      <c r="D6448" s="2" t="str">
        <f t="shared" si="99"/>
        <v>OK</v>
      </c>
      <c r="E6448" s="4" t="s">
        <v>1996</v>
      </c>
    </row>
    <row r="6449" spans="1:5" x14ac:dyDescent="0.2">
      <c r="A6449" s="126">
        <v>6388</v>
      </c>
      <c r="B6449" s="1831"/>
      <c r="D6449" s="2" t="str">
        <f t="shared" si="99"/>
        <v>OK</v>
      </c>
      <c r="E6449" s="4" t="s">
        <v>1996</v>
      </c>
    </row>
    <row r="6450" spans="1:5" x14ac:dyDescent="0.2">
      <c r="A6450" s="126">
        <v>6389</v>
      </c>
      <c r="B6450" s="1831"/>
      <c r="D6450" s="2" t="str">
        <f t="shared" si="99"/>
        <v>OK</v>
      </c>
      <c r="E6450" s="4" t="s">
        <v>1996</v>
      </c>
    </row>
    <row r="6451" spans="1:5" x14ac:dyDescent="0.2">
      <c r="A6451" s="126">
        <v>6390</v>
      </c>
      <c r="B6451" s="1831"/>
      <c r="D6451" s="2" t="str">
        <f t="shared" si="99"/>
        <v>OK</v>
      </c>
      <c r="E6451" s="4" t="s">
        <v>1996</v>
      </c>
    </row>
    <row r="6452" spans="1:5" x14ac:dyDescent="0.2">
      <c r="A6452" s="126">
        <v>6391</v>
      </c>
      <c r="B6452" s="1831"/>
      <c r="D6452" s="2" t="str">
        <f t="shared" si="99"/>
        <v>OK</v>
      </c>
      <c r="E6452" s="4" t="s">
        <v>1996</v>
      </c>
    </row>
    <row r="6453" spans="1:5" x14ac:dyDescent="0.2">
      <c r="A6453" s="126">
        <v>6392</v>
      </c>
      <c r="B6453" s="1831"/>
      <c r="D6453" s="2" t="str">
        <f t="shared" si="99"/>
        <v>OK</v>
      </c>
      <c r="E6453" s="4" t="s">
        <v>1996</v>
      </c>
    </row>
    <row r="6454" spans="1:5" x14ac:dyDescent="0.2">
      <c r="A6454" s="126">
        <v>6393</v>
      </c>
      <c r="B6454" s="1831"/>
      <c r="D6454" s="2" t="str">
        <f t="shared" si="99"/>
        <v>OK</v>
      </c>
      <c r="E6454" s="4" t="s">
        <v>1996</v>
      </c>
    </row>
    <row r="6455" spans="1:5" x14ac:dyDescent="0.2">
      <c r="A6455" s="126">
        <v>6394</v>
      </c>
      <c r="B6455" s="1831"/>
      <c r="D6455" s="2" t="str">
        <f t="shared" si="99"/>
        <v>OK</v>
      </c>
      <c r="E6455" s="4" t="s">
        <v>1996</v>
      </c>
    </row>
    <row r="6456" spans="1:5" x14ac:dyDescent="0.2">
      <c r="A6456" s="126">
        <v>6395</v>
      </c>
      <c r="B6456" s="1831"/>
      <c r="D6456" s="2" t="str">
        <f t="shared" si="99"/>
        <v>OK</v>
      </c>
      <c r="E6456" s="4" t="s">
        <v>1996</v>
      </c>
    </row>
    <row r="6457" spans="1:5" x14ac:dyDescent="0.2">
      <c r="A6457" s="126">
        <v>6396</v>
      </c>
      <c r="B6457" s="1831"/>
      <c r="D6457" s="2" t="str">
        <f t="shared" si="99"/>
        <v>OK</v>
      </c>
      <c r="E6457" s="4" t="s">
        <v>1996</v>
      </c>
    </row>
    <row r="6458" spans="1:5" x14ac:dyDescent="0.2">
      <c r="A6458" s="126">
        <v>6397</v>
      </c>
      <c r="B6458" s="1831"/>
      <c r="D6458" s="2" t="str">
        <f t="shared" si="99"/>
        <v>OK</v>
      </c>
      <c r="E6458" s="4" t="s">
        <v>1996</v>
      </c>
    </row>
    <row r="6459" spans="1:5" x14ac:dyDescent="0.2">
      <c r="A6459" s="126">
        <v>6398</v>
      </c>
      <c r="B6459" s="1831"/>
      <c r="D6459" s="2" t="str">
        <f t="shared" si="99"/>
        <v>OK</v>
      </c>
      <c r="E6459" s="4" t="s">
        <v>1996</v>
      </c>
    </row>
    <row r="6460" spans="1:5" x14ac:dyDescent="0.2">
      <c r="A6460" s="126">
        <v>6399</v>
      </c>
      <c r="B6460" s="1831"/>
      <c r="D6460" s="2" t="str">
        <f t="shared" si="99"/>
        <v>OK</v>
      </c>
      <c r="E6460" s="4" t="s">
        <v>1996</v>
      </c>
    </row>
    <row r="6461" spans="1:5" x14ac:dyDescent="0.2">
      <c r="A6461" s="126">
        <v>6400</v>
      </c>
      <c r="B6461" s="1831"/>
      <c r="D6461" s="2" t="str">
        <f t="shared" si="99"/>
        <v>OK</v>
      </c>
      <c r="E6461" s="4" t="s">
        <v>1996</v>
      </c>
    </row>
    <row r="6462" spans="1:5" x14ac:dyDescent="0.2">
      <c r="A6462" s="126">
        <v>6401</v>
      </c>
      <c r="B6462" s="1831"/>
      <c r="D6462" s="2" t="str">
        <f t="shared" si="99"/>
        <v>OK</v>
      </c>
      <c r="E6462" s="4" t="s">
        <v>1996</v>
      </c>
    </row>
    <row r="6463" spans="1:5" x14ac:dyDescent="0.2">
      <c r="A6463" s="126">
        <v>6402</v>
      </c>
      <c r="B6463" s="1831"/>
      <c r="D6463" s="2" t="str">
        <f t="shared" ref="D6463:D6526" si="100">IF(ISBLANK(B6463),"OK",IF(A6463-B6463=0,"OK","Error?"))</f>
        <v>OK</v>
      </c>
      <c r="E6463" s="4" t="s">
        <v>1996</v>
      </c>
    </row>
    <row r="6464" spans="1:5" x14ac:dyDescent="0.2">
      <c r="A6464" s="126">
        <v>6403</v>
      </c>
      <c r="B6464" s="1831"/>
      <c r="D6464" s="2" t="str">
        <f t="shared" si="100"/>
        <v>OK</v>
      </c>
      <c r="E6464" s="4" t="s">
        <v>1996</v>
      </c>
    </row>
    <row r="6465" spans="1:5" x14ac:dyDescent="0.2">
      <c r="A6465" s="126">
        <v>6404</v>
      </c>
      <c r="B6465" s="1831"/>
      <c r="D6465" s="2" t="str">
        <f t="shared" si="100"/>
        <v>OK</v>
      </c>
      <c r="E6465" s="4" t="s">
        <v>1996</v>
      </c>
    </row>
    <row r="6466" spans="1:5" x14ac:dyDescent="0.2">
      <c r="A6466" s="126">
        <v>6405</v>
      </c>
      <c r="B6466" s="1831"/>
      <c r="D6466" s="2" t="str">
        <f t="shared" si="100"/>
        <v>OK</v>
      </c>
      <c r="E6466" s="4" t="s">
        <v>1996</v>
      </c>
    </row>
    <row r="6467" spans="1:5" x14ac:dyDescent="0.2">
      <c r="A6467" s="126">
        <v>6406</v>
      </c>
      <c r="B6467" s="1831"/>
      <c r="D6467" s="2" t="str">
        <f t="shared" si="100"/>
        <v>OK</v>
      </c>
      <c r="E6467" s="4" t="s">
        <v>1996</v>
      </c>
    </row>
    <row r="6468" spans="1:5" x14ac:dyDescent="0.2">
      <c r="A6468" s="126">
        <v>6407</v>
      </c>
      <c r="B6468" s="1831"/>
      <c r="D6468" s="2" t="str">
        <f t="shared" si="100"/>
        <v>OK</v>
      </c>
      <c r="E6468" s="4" t="s">
        <v>1996</v>
      </c>
    </row>
    <row r="6469" spans="1:5" x14ac:dyDescent="0.2">
      <c r="A6469" s="126">
        <v>6408</v>
      </c>
      <c r="B6469" s="1831"/>
      <c r="D6469" s="2" t="str">
        <f t="shared" si="100"/>
        <v>OK</v>
      </c>
      <c r="E6469" s="4" t="s">
        <v>1996</v>
      </c>
    </row>
    <row r="6470" spans="1:5" x14ac:dyDescent="0.2">
      <c r="A6470" s="126">
        <v>6409</v>
      </c>
      <c r="B6470" s="1831"/>
      <c r="D6470" s="2" t="str">
        <f t="shared" si="100"/>
        <v>OK</v>
      </c>
      <c r="E6470" s="4" t="s">
        <v>1996</v>
      </c>
    </row>
    <row r="6471" spans="1:5" x14ac:dyDescent="0.2">
      <c r="A6471" s="126">
        <v>6410</v>
      </c>
      <c r="B6471" s="1831"/>
      <c r="D6471" s="2" t="str">
        <f t="shared" si="100"/>
        <v>OK</v>
      </c>
      <c r="E6471" s="4" t="s">
        <v>1996</v>
      </c>
    </row>
    <row r="6472" spans="1:5" x14ac:dyDescent="0.2">
      <c r="A6472" s="126">
        <v>6411</v>
      </c>
      <c r="B6472" s="1831"/>
      <c r="D6472" s="2" t="str">
        <f t="shared" si="100"/>
        <v>OK</v>
      </c>
      <c r="E6472" s="4" t="s">
        <v>1996</v>
      </c>
    </row>
    <row r="6473" spans="1:5" x14ac:dyDescent="0.2">
      <c r="A6473" s="126">
        <v>6412</v>
      </c>
      <c r="B6473" s="1831"/>
      <c r="D6473" s="2" t="str">
        <f t="shared" si="100"/>
        <v>OK</v>
      </c>
      <c r="E6473" s="4" t="s">
        <v>1996</v>
      </c>
    </row>
    <row r="6474" spans="1:5" x14ac:dyDescent="0.2">
      <c r="A6474" s="126">
        <v>6413</v>
      </c>
      <c r="B6474" s="1831"/>
      <c r="D6474" s="2" t="str">
        <f t="shared" si="100"/>
        <v>OK</v>
      </c>
      <c r="E6474" s="4" t="s">
        <v>1996</v>
      </c>
    </row>
    <row r="6475" spans="1:5" x14ac:dyDescent="0.2">
      <c r="A6475" s="126">
        <v>6414</v>
      </c>
      <c r="B6475" s="1831"/>
      <c r="D6475" s="2" t="str">
        <f t="shared" si="100"/>
        <v>OK</v>
      </c>
      <c r="E6475" s="4" t="s">
        <v>1996</v>
      </c>
    </row>
    <row r="6476" spans="1:5" x14ac:dyDescent="0.2">
      <c r="A6476" s="126">
        <v>6415</v>
      </c>
      <c r="B6476" s="1831"/>
      <c r="D6476" s="2" t="str">
        <f t="shared" si="100"/>
        <v>OK</v>
      </c>
      <c r="E6476" s="4" t="s">
        <v>1996</v>
      </c>
    </row>
    <row r="6477" spans="1:5" x14ac:dyDescent="0.2">
      <c r="A6477" s="126">
        <v>6416</v>
      </c>
      <c r="B6477" s="1831"/>
      <c r="D6477" s="2" t="str">
        <f t="shared" si="100"/>
        <v>OK</v>
      </c>
      <c r="E6477" s="4" t="s">
        <v>1996</v>
      </c>
    </row>
    <row r="6478" spans="1:5" x14ac:dyDescent="0.2">
      <c r="A6478" s="126">
        <v>6417</v>
      </c>
      <c r="B6478" s="1831"/>
      <c r="D6478" s="2" t="str">
        <f t="shared" si="100"/>
        <v>OK</v>
      </c>
      <c r="E6478" s="4" t="s">
        <v>1996</v>
      </c>
    </row>
    <row r="6479" spans="1:5" x14ac:dyDescent="0.2">
      <c r="A6479" s="126">
        <v>6418</v>
      </c>
      <c r="B6479" s="1831"/>
      <c r="D6479" s="2" t="str">
        <f t="shared" si="100"/>
        <v>OK</v>
      </c>
      <c r="E6479" s="4" t="s">
        <v>1996</v>
      </c>
    </row>
    <row r="6480" spans="1:5" x14ac:dyDescent="0.2">
      <c r="A6480" s="126">
        <v>6419</v>
      </c>
      <c r="B6480" s="1831"/>
      <c r="D6480" s="2" t="str">
        <f t="shared" si="100"/>
        <v>OK</v>
      </c>
      <c r="E6480" s="4" t="s">
        <v>1996</v>
      </c>
    </row>
    <row r="6481" spans="1:5" x14ac:dyDescent="0.2">
      <c r="A6481" s="126">
        <v>6420</v>
      </c>
      <c r="B6481" s="1831"/>
      <c r="D6481" s="2" t="str">
        <f t="shared" si="100"/>
        <v>OK</v>
      </c>
      <c r="E6481" s="4" t="s">
        <v>1996</v>
      </c>
    </row>
    <row r="6482" spans="1:5" x14ac:dyDescent="0.2">
      <c r="A6482" s="126">
        <v>6421</v>
      </c>
      <c r="B6482" s="1831"/>
      <c r="D6482" s="2" t="str">
        <f t="shared" si="100"/>
        <v>OK</v>
      </c>
      <c r="E6482" s="4" t="s">
        <v>1996</v>
      </c>
    </row>
    <row r="6483" spans="1:5" x14ac:dyDescent="0.2">
      <c r="A6483" s="126">
        <v>6422</v>
      </c>
      <c r="B6483" s="1831"/>
      <c r="D6483" s="2" t="str">
        <f t="shared" si="100"/>
        <v>OK</v>
      </c>
      <c r="E6483" s="4" t="s">
        <v>1996</v>
      </c>
    </row>
    <row r="6484" spans="1:5" x14ac:dyDescent="0.2">
      <c r="A6484" s="126">
        <v>6423</v>
      </c>
      <c r="B6484" s="1831"/>
      <c r="D6484" s="2" t="str">
        <f t="shared" si="100"/>
        <v>OK</v>
      </c>
      <c r="E6484" s="4" t="s">
        <v>1996</v>
      </c>
    </row>
    <row r="6485" spans="1:5" x14ac:dyDescent="0.2">
      <c r="A6485" s="126">
        <v>6424</v>
      </c>
      <c r="B6485" s="1831"/>
      <c r="D6485" s="2" t="str">
        <f t="shared" si="100"/>
        <v>OK</v>
      </c>
      <c r="E6485" s="4" t="s">
        <v>1996</v>
      </c>
    </row>
    <row r="6486" spans="1:5" x14ac:dyDescent="0.2">
      <c r="A6486" s="126">
        <v>6425</v>
      </c>
      <c r="B6486" s="1831"/>
      <c r="D6486" s="2" t="str">
        <f t="shared" si="100"/>
        <v>OK</v>
      </c>
      <c r="E6486" s="4" t="s">
        <v>1996</v>
      </c>
    </row>
    <row r="6487" spans="1:5" x14ac:dyDescent="0.2">
      <c r="A6487" s="126">
        <v>6426</v>
      </c>
      <c r="B6487" s="1831"/>
      <c r="D6487" s="2" t="str">
        <f t="shared" si="100"/>
        <v>OK</v>
      </c>
      <c r="E6487" s="4" t="s">
        <v>1996</v>
      </c>
    </row>
    <row r="6488" spans="1:5" x14ac:dyDescent="0.2">
      <c r="A6488" s="126">
        <v>6427</v>
      </c>
      <c r="B6488" s="1831"/>
      <c r="D6488" s="2" t="str">
        <f t="shared" si="100"/>
        <v>OK</v>
      </c>
      <c r="E6488" s="4" t="s">
        <v>1996</v>
      </c>
    </row>
    <row r="6489" spans="1:5" x14ac:dyDescent="0.2">
      <c r="A6489" s="126">
        <v>6428</v>
      </c>
      <c r="B6489" s="1831"/>
      <c r="D6489" s="2" t="str">
        <f t="shared" si="100"/>
        <v>OK</v>
      </c>
      <c r="E6489" s="4" t="s">
        <v>1996</v>
      </c>
    </row>
    <row r="6490" spans="1:5" x14ac:dyDescent="0.2">
      <c r="A6490" s="126">
        <v>6429</v>
      </c>
      <c r="B6490" s="1831"/>
      <c r="D6490" s="2" t="str">
        <f t="shared" si="100"/>
        <v>OK</v>
      </c>
      <c r="E6490" s="4" t="s">
        <v>1996</v>
      </c>
    </row>
    <row r="6491" spans="1:5" x14ac:dyDescent="0.2">
      <c r="A6491" s="126">
        <v>6430</v>
      </c>
      <c r="B6491" s="1831"/>
      <c r="D6491" s="2" t="str">
        <f t="shared" si="100"/>
        <v>OK</v>
      </c>
      <c r="E6491" s="4" t="s">
        <v>1996</v>
      </c>
    </row>
    <row r="6492" spans="1:5" x14ac:dyDescent="0.2">
      <c r="A6492" s="126">
        <v>6431</v>
      </c>
      <c r="B6492" s="1831"/>
      <c r="D6492" s="2" t="str">
        <f t="shared" si="100"/>
        <v>OK</v>
      </c>
      <c r="E6492" s="4" t="s">
        <v>1996</v>
      </c>
    </row>
    <row r="6493" spans="1:5" x14ac:dyDescent="0.2">
      <c r="A6493" s="126">
        <v>6432</v>
      </c>
      <c r="B6493" s="1831"/>
      <c r="D6493" s="2" t="str">
        <f t="shared" si="100"/>
        <v>OK</v>
      </c>
      <c r="E6493" s="4" t="s">
        <v>1996</v>
      </c>
    </row>
    <row r="6494" spans="1:5" x14ac:dyDescent="0.2">
      <c r="A6494" s="126">
        <v>6433</v>
      </c>
      <c r="B6494" s="1831"/>
      <c r="D6494" s="2" t="str">
        <f t="shared" si="100"/>
        <v>OK</v>
      </c>
      <c r="E6494" s="4" t="s">
        <v>1996</v>
      </c>
    </row>
    <row r="6495" spans="1:5" x14ac:dyDescent="0.2">
      <c r="A6495" s="126">
        <v>6434</v>
      </c>
      <c r="B6495" s="1831"/>
      <c r="D6495" s="2" t="str">
        <f t="shared" si="100"/>
        <v>OK</v>
      </c>
      <c r="E6495" s="4" t="s">
        <v>1996</v>
      </c>
    </row>
    <row r="6496" spans="1:5" x14ac:dyDescent="0.2">
      <c r="A6496" s="126">
        <v>6435</v>
      </c>
      <c r="B6496" s="1831"/>
      <c r="D6496" s="2" t="str">
        <f t="shared" si="100"/>
        <v>OK</v>
      </c>
      <c r="E6496" s="4" t="s">
        <v>1996</v>
      </c>
    </row>
    <row r="6497" spans="1:5" x14ac:dyDescent="0.2">
      <c r="A6497" s="126">
        <v>6436</v>
      </c>
      <c r="B6497" s="1831"/>
      <c r="D6497" s="2" t="str">
        <f t="shared" si="100"/>
        <v>OK</v>
      </c>
      <c r="E6497" s="4" t="s">
        <v>1996</v>
      </c>
    </row>
    <row r="6498" spans="1:5" x14ac:dyDescent="0.2">
      <c r="A6498" s="126">
        <v>6437</v>
      </c>
      <c r="B6498" s="1831"/>
      <c r="D6498" s="2" t="str">
        <f t="shared" si="100"/>
        <v>OK</v>
      </c>
      <c r="E6498" s="4" t="s">
        <v>1996</v>
      </c>
    </row>
    <row r="6499" spans="1:5" x14ac:dyDescent="0.2">
      <c r="A6499" s="126">
        <v>6438</v>
      </c>
      <c r="B6499" s="1831"/>
      <c r="D6499" s="2" t="str">
        <f t="shared" si="100"/>
        <v>OK</v>
      </c>
      <c r="E6499" s="4" t="s">
        <v>1996</v>
      </c>
    </row>
    <row r="6500" spans="1:5" x14ac:dyDescent="0.2">
      <c r="A6500" s="126">
        <v>6439</v>
      </c>
      <c r="B6500" s="1831"/>
      <c r="D6500" s="2" t="str">
        <f t="shared" si="100"/>
        <v>OK</v>
      </c>
      <c r="E6500" s="4" t="s">
        <v>1996</v>
      </c>
    </row>
    <row r="6501" spans="1:5" x14ac:dyDescent="0.2">
      <c r="A6501" s="126">
        <v>6440</v>
      </c>
      <c r="B6501" s="1831"/>
      <c r="D6501" s="2" t="str">
        <f t="shared" si="100"/>
        <v>OK</v>
      </c>
      <c r="E6501" s="4" t="s">
        <v>1996</v>
      </c>
    </row>
    <row r="6502" spans="1:5" x14ac:dyDescent="0.2">
      <c r="A6502" s="126">
        <v>6441</v>
      </c>
      <c r="B6502" s="1831"/>
      <c r="D6502" s="2" t="str">
        <f t="shared" si="100"/>
        <v>OK</v>
      </c>
      <c r="E6502" s="4" t="s">
        <v>1996</v>
      </c>
    </row>
    <row r="6503" spans="1:5" x14ac:dyDescent="0.2">
      <c r="A6503" s="126">
        <v>6442</v>
      </c>
      <c r="B6503" s="1831"/>
      <c r="D6503" s="2" t="str">
        <f t="shared" si="100"/>
        <v>OK</v>
      </c>
      <c r="E6503" s="4" t="s">
        <v>1996</v>
      </c>
    </row>
    <row r="6504" spans="1:5" x14ac:dyDescent="0.2">
      <c r="A6504" s="126">
        <v>6443</v>
      </c>
      <c r="B6504" s="1831"/>
      <c r="D6504" s="2" t="str">
        <f t="shared" si="100"/>
        <v>OK</v>
      </c>
      <c r="E6504" s="4" t="s">
        <v>1996</v>
      </c>
    </row>
    <row r="6505" spans="1:5" x14ac:dyDescent="0.2">
      <c r="A6505" s="126">
        <v>6444</v>
      </c>
      <c r="B6505" s="1831"/>
      <c r="D6505" s="2" t="str">
        <f t="shared" si="100"/>
        <v>OK</v>
      </c>
      <c r="E6505" s="4" t="s">
        <v>1996</v>
      </c>
    </row>
    <row r="6506" spans="1:5" x14ac:dyDescent="0.2">
      <c r="A6506" s="126">
        <v>6445</v>
      </c>
      <c r="B6506" s="1831"/>
      <c r="D6506" s="2" t="str">
        <f t="shared" si="100"/>
        <v>OK</v>
      </c>
      <c r="E6506" s="4" t="s">
        <v>1996</v>
      </c>
    </row>
    <row r="6507" spans="1:5" x14ac:dyDescent="0.2">
      <c r="A6507" s="126">
        <v>6446</v>
      </c>
      <c r="B6507" s="1831"/>
      <c r="D6507" s="2" t="str">
        <f t="shared" si="100"/>
        <v>OK</v>
      </c>
      <c r="E6507" s="4" t="s">
        <v>1996</v>
      </c>
    </row>
    <row r="6508" spans="1:5" x14ac:dyDescent="0.2">
      <c r="A6508" s="126">
        <v>6447</v>
      </c>
      <c r="B6508" s="1831"/>
      <c r="D6508" s="2" t="str">
        <f t="shared" si="100"/>
        <v>OK</v>
      </c>
      <c r="E6508" s="4" t="s">
        <v>1996</v>
      </c>
    </row>
    <row r="6509" spans="1:5" x14ac:dyDescent="0.2">
      <c r="A6509" s="126">
        <v>6448</v>
      </c>
      <c r="B6509" s="1831"/>
      <c r="D6509" s="2" t="str">
        <f t="shared" si="100"/>
        <v>OK</v>
      </c>
      <c r="E6509" s="4" t="s">
        <v>1996</v>
      </c>
    </row>
    <row r="6510" spans="1:5" x14ac:dyDescent="0.2">
      <c r="A6510" s="126">
        <v>6449</v>
      </c>
      <c r="B6510" s="1831"/>
      <c r="D6510" s="2" t="str">
        <f t="shared" si="100"/>
        <v>OK</v>
      </c>
      <c r="E6510" s="4" t="s">
        <v>1996</v>
      </c>
    </row>
    <row r="6511" spans="1:5" x14ac:dyDescent="0.2">
      <c r="A6511" s="126">
        <v>6450</v>
      </c>
      <c r="B6511" s="1831"/>
      <c r="D6511" s="2" t="str">
        <f t="shared" si="100"/>
        <v>OK</v>
      </c>
      <c r="E6511" s="4" t="s">
        <v>1996</v>
      </c>
    </row>
    <row r="6512" spans="1:5" x14ac:dyDescent="0.2">
      <c r="A6512" s="126">
        <v>6451</v>
      </c>
      <c r="B6512" s="1831"/>
      <c r="D6512" s="2" t="str">
        <f t="shared" si="100"/>
        <v>OK</v>
      </c>
      <c r="E6512" s="4" t="s">
        <v>1996</v>
      </c>
    </row>
    <row r="6513" spans="1:5" x14ac:dyDescent="0.2">
      <c r="A6513" s="126">
        <v>6452</v>
      </c>
      <c r="B6513" s="1831"/>
      <c r="D6513" s="2" t="str">
        <f t="shared" si="100"/>
        <v>OK</v>
      </c>
      <c r="E6513" s="4" t="s">
        <v>1996</v>
      </c>
    </row>
    <row r="6514" spans="1:5" x14ac:dyDescent="0.2">
      <c r="A6514" s="126">
        <v>6453</v>
      </c>
      <c r="B6514" s="1831"/>
      <c r="D6514" s="2" t="str">
        <f t="shared" si="100"/>
        <v>OK</v>
      </c>
      <c r="E6514" s="4" t="s">
        <v>1996</v>
      </c>
    </row>
    <row r="6515" spans="1:5" x14ac:dyDescent="0.2">
      <c r="A6515" s="126">
        <v>6454</v>
      </c>
      <c r="B6515" s="1831"/>
      <c r="D6515" s="2" t="str">
        <f t="shared" si="100"/>
        <v>OK</v>
      </c>
      <c r="E6515" s="4" t="s">
        <v>1996</v>
      </c>
    </row>
    <row r="6516" spans="1:5" x14ac:dyDescent="0.2">
      <c r="A6516" s="126">
        <v>6455</v>
      </c>
      <c r="B6516" s="1831"/>
      <c r="D6516" s="2" t="str">
        <f t="shared" si="100"/>
        <v>OK</v>
      </c>
      <c r="E6516" s="4" t="s">
        <v>1996</v>
      </c>
    </row>
    <row r="6517" spans="1:5" x14ac:dyDescent="0.2">
      <c r="A6517" s="126">
        <v>6456</v>
      </c>
      <c r="B6517" s="1831"/>
      <c r="D6517" s="2" t="str">
        <f t="shared" si="100"/>
        <v>OK</v>
      </c>
      <c r="E6517" s="4" t="s">
        <v>1996</v>
      </c>
    </row>
    <row r="6518" spans="1:5" x14ac:dyDescent="0.2">
      <c r="A6518" s="126">
        <v>6457</v>
      </c>
      <c r="B6518" s="1831"/>
      <c r="D6518" s="2" t="str">
        <f t="shared" si="100"/>
        <v>OK</v>
      </c>
      <c r="E6518" s="4" t="s">
        <v>1996</v>
      </c>
    </row>
    <row r="6519" spans="1:5" x14ac:dyDescent="0.2">
      <c r="A6519" s="126">
        <v>6458</v>
      </c>
      <c r="B6519" s="1831"/>
      <c r="D6519" s="2" t="str">
        <f t="shared" si="100"/>
        <v>OK</v>
      </c>
      <c r="E6519" s="4" t="s">
        <v>1996</v>
      </c>
    </row>
    <row r="6520" spans="1:5" x14ac:dyDescent="0.2">
      <c r="A6520" s="126">
        <v>6459</v>
      </c>
      <c r="B6520" s="1831"/>
      <c r="D6520" s="2" t="str">
        <f t="shared" si="100"/>
        <v>OK</v>
      </c>
      <c r="E6520" s="4" t="s">
        <v>1996</v>
      </c>
    </row>
    <row r="6521" spans="1:5" x14ac:dyDescent="0.2">
      <c r="A6521" s="126">
        <v>6460</v>
      </c>
      <c r="B6521" s="1831"/>
      <c r="D6521" s="2" t="str">
        <f t="shared" si="100"/>
        <v>OK</v>
      </c>
      <c r="E6521" s="4" t="s">
        <v>1996</v>
      </c>
    </row>
    <row r="6522" spans="1:5" x14ac:dyDescent="0.2">
      <c r="A6522" s="126">
        <v>6461</v>
      </c>
      <c r="B6522" s="1831"/>
      <c r="D6522" s="2" t="str">
        <f t="shared" si="100"/>
        <v>OK</v>
      </c>
      <c r="E6522" s="4" t="s">
        <v>1996</v>
      </c>
    </row>
    <row r="6523" spans="1:5" x14ac:dyDescent="0.2">
      <c r="A6523" s="126">
        <v>6462</v>
      </c>
      <c r="B6523" s="1831"/>
      <c r="D6523" s="2" t="str">
        <f t="shared" si="100"/>
        <v>OK</v>
      </c>
      <c r="E6523" s="4" t="s">
        <v>1996</v>
      </c>
    </row>
    <row r="6524" spans="1:5" x14ac:dyDescent="0.2">
      <c r="A6524" s="126">
        <v>6463</v>
      </c>
      <c r="B6524" s="1831"/>
      <c r="D6524" s="2" t="str">
        <f t="shared" si="100"/>
        <v>OK</v>
      </c>
      <c r="E6524" s="4" t="s">
        <v>1996</v>
      </c>
    </row>
    <row r="6525" spans="1:5" x14ac:dyDescent="0.2">
      <c r="A6525" s="126">
        <v>6464</v>
      </c>
      <c r="B6525" s="1831"/>
      <c r="D6525" s="2" t="str">
        <f t="shared" si="100"/>
        <v>OK</v>
      </c>
      <c r="E6525" s="4" t="s">
        <v>1996</v>
      </c>
    </row>
    <row r="6526" spans="1:5" x14ac:dyDescent="0.2">
      <c r="A6526" s="126">
        <v>6465</v>
      </c>
      <c r="B6526" s="1831"/>
      <c r="D6526" s="2" t="str">
        <f t="shared" si="100"/>
        <v>OK</v>
      </c>
      <c r="E6526" s="4" t="s">
        <v>1996</v>
      </c>
    </row>
    <row r="6527" spans="1:5" x14ac:dyDescent="0.2">
      <c r="A6527" s="126">
        <v>6466</v>
      </c>
      <c r="B6527" s="1831"/>
      <c r="D6527" s="2" t="str">
        <f t="shared" ref="D6527:D6590" si="101">IF(ISBLANK(B6527),"OK",IF(A6527-B6527=0,"OK","Error?"))</f>
        <v>OK</v>
      </c>
      <c r="E6527" s="4" t="s">
        <v>1996</v>
      </c>
    </row>
    <row r="6528" spans="1:5" x14ac:dyDescent="0.2">
      <c r="A6528" s="126">
        <v>6467</v>
      </c>
      <c r="B6528" s="1831"/>
      <c r="D6528" s="2" t="str">
        <f t="shared" si="101"/>
        <v>OK</v>
      </c>
      <c r="E6528" s="4" t="s">
        <v>1996</v>
      </c>
    </row>
    <row r="6529" spans="1:5" x14ac:dyDescent="0.2">
      <c r="A6529" s="126">
        <v>6468</v>
      </c>
      <c r="B6529" s="1831"/>
      <c r="D6529" s="2" t="str">
        <f t="shared" si="101"/>
        <v>OK</v>
      </c>
      <c r="E6529" s="4" t="s">
        <v>1996</v>
      </c>
    </row>
    <row r="6530" spans="1:5" x14ac:dyDescent="0.2">
      <c r="A6530" s="126">
        <v>6469</v>
      </c>
      <c r="B6530" s="1831"/>
      <c r="D6530" s="2" t="str">
        <f t="shared" si="101"/>
        <v>OK</v>
      </c>
      <c r="E6530" s="4" t="s">
        <v>1996</v>
      </c>
    </row>
    <row r="6531" spans="1:5" x14ac:dyDescent="0.2">
      <c r="A6531" s="126">
        <v>6470</v>
      </c>
      <c r="B6531" s="1831"/>
      <c r="D6531" s="2" t="str">
        <f t="shared" si="101"/>
        <v>OK</v>
      </c>
      <c r="E6531" s="4" t="s">
        <v>1996</v>
      </c>
    </row>
    <row r="6532" spans="1:5" x14ac:dyDescent="0.2">
      <c r="A6532" s="126">
        <v>6471</v>
      </c>
      <c r="B6532" s="1831"/>
      <c r="D6532" s="2" t="str">
        <f t="shared" si="101"/>
        <v>OK</v>
      </c>
      <c r="E6532" s="4" t="s">
        <v>1996</v>
      </c>
    </row>
    <row r="6533" spans="1:5" x14ac:dyDescent="0.2">
      <c r="A6533" s="126">
        <v>6472</v>
      </c>
      <c r="B6533" s="1831"/>
      <c r="D6533" s="2" t="str">
        <f t="shared" si="101"/>
        <v>OK</v>
      </c>
      <c r="E6533" s="4" t="s">
        <v>1996</v>
      </c>
    </row>
    <row r="6534" spans="1:5" x14ac:dyDescent="0.2">
      <c r="A6534" s="126">
        <v>6473</v>
      </c>
      <c r="B6534" s="1831"/>
      <c r="D6534" s="2" t="str">
        <f t="shared" si="101"/>
        <v>OK</v>
      </c>
      <c r="E6534" s="4" t="s">
        <v>1996</v>
      </c>
    </row>
    <row r="6535" spans="1:5" x14ac:dyDescent="0.2">
      <c r="A6535" s="126">
        <v>6474</v>
      </c>
      <c r="B6535" s="1831"/>
      <c r="D6535" s="2" t="str">
        <f t="shared" si="101"/>
        <v>OK</v>
      </c>
      <c r="E6535" s="4" t="s">
        <v>1996</v>
      </c>
    </row>
    <row r="6536" spans="1:5" x14ac:dyDescent="0.2">
      <c r="A6536" s="126">
        <v>6475</v>
      </c>
      <c r="B6536" s="1831"/>
      <c r="D6536" s="2" t="str">
        <f t="shared" si="101"/>
        <v>OK</v>
      </c>
      <c r="E6536" s="4" t="s">
        <v>1996</v>
      </c>
    </row>
    <row r="6537" spans="1:5" x14ac:dyDescent="0.2">
      <c r="A6537" s="126">
        <v>6476</v>
      </c>
      <c r="B6537" s="1831"/>
      <c r="D6537" s="2" t="str">
        <f t="shared" si="101"/>
        <v>OK</v>
      </c>
      <c r="E6537" s="4" t="s">
        <v>1996</v>
      </c>
    </row>
    <row r="6538" spans="1:5" x14ac:dyDescent="0.2">
      <c r="A6538" s="126">
        <v>6477</v>
      </c>
      <c r="B6538" s="1831"/>
      <c r="D6538" s="2" t="str">
        <f t="shared" si="101"/>
        <v>OK</v>
      </c>
      <c r="E6538" s="4" t="s">
        <v>1996</v>
      </c>
    </row>
    <row r="6539" spans="1:5" x14ac:dyDescent="0.2">
      <c r="A6539" s="126">
        <v>6478</v>
      </c>
      <c r="B6539" s="1831"/>
      <c r="D6539" s="2" t="str">
        <f t="shared" si="101"/>
        <v>OK</v>
      </c>
      <c r="E6539" s="4" t="s">
        <v>1996</v>
      </c>
    </row>
    <row r="6540" spans="1:5" x14ac:dyDescent="0.2">
      <c r="A6540" s="126">
        <v>6479</v>
      </c>
      <c r="B6540" s="1831"/>
      <c r="D6540" s="2" t="str">
        <f t="shared" si="101"/>
        <v>OK</v>
      </c>
      <c r="E6540" s="4" t="s">
        <v>1996</v>
      </c>
    </row>
    <row r="6541" spans="1:5" x14ac:dyDescent="0.2">
      <c r="A6541" s="126">
        <v>6480</v>
      </c>
      <c r="B6541" s="1831"/>
      <c r="D6541" s="2" t="str">
        <f t="shared" si="101"/>
        <v>OK</v>
      </c>
      <c r="E6541" s="4" t="s">
        <v>1996</v>
      </c>
    </row>
    <row r="6542" spans="1:5" x14ac:dyDescent="0.2">
      <c r="A6542" s="126">
        <v>6481</v>
      </c>
      <c r="B6542" s="1831"/>
      <c r="D6542" s="2" t="str">
        <f t="shared" si="101"/>
        <v>OK</v>
      </c>
      <c r="E6542" s="4" t="s">
        <v>1996</v>
      </c>
    </row>
    <row r="6543" spans="1:5" x14ac:dyDescent="0.2">
      <c r="A6543" s="126">
        <v>6482</v>
      </c>
      <c r="B6543" s="1831"/>
      <c r="D6543" s="2" t="str">
        <f t="shared" si="101"/>
        <v>OK</v>
      </c>
      <c r="E6543" s="4" t="s">
        <v>1996</v>
      </c>
    </row>
    <row r="6544" spans="1:5" x14ac:dyDescent="0.2">
      <c r="A6544" s="126">
        <v>6483</v>
      </c>
      <c r="B6544" s="1831"/>
      <c r="D6544" s="2" t="str">
        <f t="shared" si="101"/>
        <v>OK</v>
      </c>
      <c r="E6544" s="4" t="s">
        <v>1996</v>
      </c>
    </row>
    <row r="6545" spans="1:5" x14ac:dyDescent="0.2">
      <c r="A6545" s="126">
        <v>6484</v>
      </c>
      <c r="B6545" s="1831"/>
      <c r="D6545" s="2" t="str">
        <f t="shared" si="101"/>
        <v>OK</v>
      </c>
      <c r="E6545" s="4" t="s">
        <v>1996</v>
      </c>
    </row>
    <row r="6546" spans="1:5" x14ac:dyDescent="0.2">
      <c r="A6546" s="126">
        <v>6485</v>
      </c>
      <c r="B6546" s="1831"/>
      <c r="D6546" s="2" t="str">
        <f t="shared" si="101"/>
        <v>OK</v>
      </c>
      <c r="E6546" s="4" t="s">
        <v>1996</v>
      </c>
    </row>
    <row r="6547" spans="1:5" x14ac:dyDescent="0.2">
      <c r="A6547" s="126">
        <v>6486</v>
      </c>
      <c r="B6547" s="1831"/>
      <c r="D6547" s="2" t="str">
        <f t="shared" si="101"/>
        <v>OK</v>
      </c>
      <c r="E6547" s="4" t="s">
        <v>1996</v>
      </c>
    </row>
    <row r="6548" spans="1:5" x14ac:dyDescent="0.2">
      <c r="A6548" s="126">
        <v>6487</v>
      </c>
      <c r="B6548" s="1831"/>
      <c r="D6548" s="2" t="str">
        <f t="shared" si="101"/>
        <v>OK</v>
      </c>
      <c r="E6548" s="4" t="s">
        <v>1996</v>
      </c>
    </row>
    <row r="6549" spans="1:5" x14ac:dyDescent="0.2">
      <c r="A6549" s="126">
        <v>6488</v>
      </c>
      <c r="B6549" s="1831"/>
      <c r="D6549" s="2" t="str">
        <f t="shared" si="101"/>
        <v>OK</v>
      </c>
      <c r="E6549" s="4" t="s">
        <v>1996</v>
      </c>
    </row>
    <row r="6550" spans="1:5" x14ac:dyDescent="0.2">
      <c r="A6550" s="126">
        <v>6489</v>
      </c>
      <c r="B6550" s="1831"/>
      <c r="D6550" s="2" t="str">
        <f t="shared" si="101"/>
        <v>OK</v>
      </c>
      <c r="E6550" s="4" t="s">
        <v>1996</v>
      </c>
    </row>
    <row r="6551" spans="1:5" x14ac:dyDescent="0.2">
      <c r="A6551" s="126">
        <v>6490</v>
      </c>
      <c r="B6551" s="1831"/>
      <c r="D6551" s="2" t="str">
        <f t="shared" si="101"/>
        <v>OK</v>
      </c>
      <c r="E6551" s="4" t="s">
        <v>1996</v>
      </c>
    </row>
    <row r="6552" spans="1:5" x14ac:dyDescent="0.2">
      <c r="A6552" s="126">
        <v>6491</v>
      </c>
      <c r="B6552" s="1831"/>
      <c r="D6552" s="2" t="str">
        <f t="shared" si="101"/>
        <v>OK</v>
      </c>
      <c r="E6552" s="4" t="s">
        <v>1996</v>
      </c>
    </row>
    <row r="6553" spans="1:5" x14ac:dyDescent="0.2">
      <c r="A6553" s="126">
        <v>6492</v>
      </c>
      <c r="B6553" s="1831"/>
      <c r="D6553" s="2" t="str">
        <f t="shared" si="101"/>
        <v>OK</v>
      </c>
      <c r="E6553" s="4" t="s">
        <v>1996</v>
      </c>
    </row>
    <row r="6554" spans="1:5" x14ac:dyDescent="0.2">
      <c r="A6554" s="126">
        <v>6493</v>
      </c>
      <c r="B6554" s="1831"/>
      <c r="D6554" s="2" t="str">
        <f t="shared" si="101"/>
        <v>OK</v>
      </c>
      <c r="E6554" s="4" t="s">
        <v>1996</v>
      </c>
    </row>
    <row r="6555" spans="1:5" x14ac:dyDescent="0.2">
      <c r="A6555" s="126">
        <v>6494</v>
      </c>
      <c r="B6555" s="1831"/>
      <c r="D6555" s="2" t="str">
        <f t="shared" si="101"/>
        <v>OK</v>
      </c>
      <c r="E6555" s="4" t="s">
        <v>1996</v>
      </c>
    </row>
    <row r="6556" spans="1:5" x14ac:dyDescent="0.2">
      <c r="A6556" s="126">
        <v>6495</v>
      </c>
      <c r="B6556" s="1831"/>
      <c r="D6556" s="2" t="str">
        <f t="shared" si="101"/>
        <v>OK</v>
      </c>
      <c r="E6556" s="4" t="s">
        <v>1996</v>
      </c>
    </row>
    <row r="6557" spans="1:5" x14ac:dyDescent="0.2">
      <c r="A6557" s="126">
        <v>6496</v>
      </c>
      <c r="B6557" s="1831"/>
      <c r="D6557" s="2" t="str">
        <f t="shared" si="101"/>
        <v>OK</v>
      </c>
      <c r="E6557" s="4" t="s">
        <v>1996</v>
      </c>
    </row>
    <row r="6558" spans="1:5" x14ac:dyDescent="0.2">
      <c r="A6558" s="126">
        <v>6497</v>
      </c>
      <c r="B6558" s="1831"/>
      <c r="D6558" s="2" t="str">
        <f t="shared" si="101"/>
        <v>OK</v>
      </c>
      <c r="E6558" s="4" t="s">
        <v>1996</v>
      </c>
    </row>
    <row r="6559" spans="1:5" x14ac:dyDescent="0.2">
      <c r="A6559" s="126">
        <v>6498</v>
      </c>
      <c r="B6559" s="1831"/>
      <c r="D6559" s="2" t="str">
        <f t="shared" si="101"/>
        <v>OK</v>
      </c>
      <c r="E6559" s="4" t="s">
        <v>1996</v>
      </c>
    </row>
    <row r="6560" spans="1:5" x14ac:dyDescent="0.2">
      <c r="A6560" s="126">
        <v>6499</v>
      </c>
      <c r="B6560" s="1831"/>
      <c r="D6560" s="2" t="str">
        <f t="shared" si="101"/>
        <v>OK</v>
      </c>
      <c r="E6560" s="4" t="s">
        <v>1996</v>
      </c>
    </row>
    <row r="6561" spans="1:5" x14ac:dyDescent="0.2">
      <c r="A6561" s="126">
        <v>6500</v>
      </c>
      <c r="B6561" s="1831"/>
      <c r="D6561" s="2" t="str">
        <f t="shared" si="101"/>
        <v>OK</v>
      </c>
      <c r="E6561" s="4" t="s">
        <v>1996</v>
      </c>
    </row>
    <row r="6562" spans="1:5" x14ac:dyDescent="0.2">
      <c r="A6562" s="126">
        <v>6501</v>
      </c>
      <c r="B6562" s="1831"/>
      <c r="D6562" s="2" t="str">
        <f t="shared" si="101"/>
        <v>OK</v>
      </c>
      <c r="E6562" s="4" t="s">
        <v>1996</v>
      </c>
    </row>
    <row r="6563" spans="1:5" x14ac:dyDescent="0.2">
      <c r="A6563" s="126">
        <v>6502</v>
      </c>
      <c r="B6563" s="1831"/>
      <c r="D6563" s="2" t="str">
        <f t="shared" si="101"/>
        <v>OK</v>
      </c>
      <c r="E6563" s="4" t="s">
        <v>1996</v>
      </c>
    </row>
    <row r="6564" spans="1:5" x14ac:dyDescent="0.2">
      <c r="A6564" s="126">
        <v>6503</v>
      </c>
      <c r="B6564" s="1831"/>
      <c r="D6564" s="2" t="str">
        <f t="shared" si="101"/>
        <v>OK</v>
      </c>
      <c r="E6564" s="4" t="s">
        <v>1996</v>
      </c>
    </row>
    <row r="6565" spans="1:5" x14ac:dyDescent="0.2">
      <c r="A6565" s="126">
        <v>6504</v>
      </c>
      <c r="B6565" s="1831"/>
      <c r="D6565" s="2" t="str">
        <f t="shared" si="101"/>
        <v>OK</v>
      </c>
      <c r="E6565" s="4" t="s">
        <v>1996</v>
      </c>
    </row>
    <row r="6566" spans="1:5" x14ac:dyDescent="0.2">
      <c r="A6566" s="126">
        <v>6505</v>
      </c>
      <c r="B6566" s="1831"/>
      <c r="D6566" s="2" t="str">
        <f t="shared" si="101"/>
        <v>OK</v>
      </c>
      <c r="E6566" s="4" t="s">
        <v>1996</v>
      </c>
    </row>
    <row r="6567" spans="1:5" x14ac:dyDescent="0.2">
      <c r="A6567" s="126">
        <v>6506</v>
      </c>
      <c r="B6567" s="1831"/>
      <c r="D6567" s="2" t="str">
        <f t="shared" si="101"/>
        <v>OK</v>
      </c>
      <c r="E6567" s="4" t="s">
        <v>1996</v>
      </c>
    </row>
    <row r="6568" spans="1:5" x14ac:dyDescent="0.2">
      <c r="A6568" s="126">
        <v>6507</v>
      </c>
      <c r="B6568" s="1831"/>
      <c r="D6568" s="2" t="str">
        <f t="shared" si="101"/>
        <v>OK</v>
      </c>
      <c r="E6568" s="4" t="s">
        <v>1996</v>
      </c>
    </row>
    <row r="6569" spans="1:5" x14ac:dyDescent="0.2">
      <c r="A6569" s="126">
        <v>6508</v>
      </c>
      <c r="B6569" s="1831"/>
      <c r="D6569" s="2" t="str">
        <f t="shared" si="101"/>
        <v>OK</v>
      </c>
      <c r="E6569" s="4" t="s">
        <v>1996</v>
      </c>
    </row>
    <row r="6570" spans="1:5" x14ac:dyDescent="0.2">
      <c r="A6570" s="126">
        <v>6509</v>
      </c>
      <c r="B6570" s="1831"/>
      <c r="D6570" s="2" t="str">
        <f t="shared" si="101"/>
        <v>OK</v>
      </c>
      <c r="E6570" s="4" t="s">
        <v>1996</v>
      </c>
    </row>
    <row r="6571" spans="1:5" x14ac:dyDescent="0.2">
      <c r="A6571" s="126">
        <v>6510</v>
      </c>
      <c r="B6571" s="1831"/>
      <c r="D6571" s="2" t="str">
        <f t="shared" si="101"/>
        <v>OK</v>
      </c>
      <c r="E6571" s="4" t="s">
        <v>1996</v>
      </c>
    </row>
    <row r="6572" spans="1:5" x14ac:dyDescent="0.2">
      <c r="A6572" s="126">
        <v>6511</v>
      </c>
      <c r="B6572" s="1831"/>
      <c r="D6572" s="2" t="str">
        <f t="shared" si="101"/>
        <v>OK</v>
      </c>
      <c r="E6572" s="4" t="s">
        <v>1996</v>
      </c>
    </row>
    <row r="6573" spans="1:5" x14ac:dyDescent="0.2">
      <c r="A6573" s="126">
        <v>6512</v>
      </c>
      <c r="B6573" s="1831"/>
      <c r="D6573" s="2" t="str">
        <f t="shared" si="101"/>
        <v>OK</v>
      </c>
      <c r="E6573" s="4" t="s">
        <v>1996</v>
      </c>
    </row>
    <row r="6574" spans="1:5" x14ac:dyDescent="0.2">
      <c r="A6574" s="126">
        <v>6513</v>
      </c>
      <c r="B6574" s="1831"/>
      <c r="D6574" s="2" t="str">
        <f t="shared" si="101"/>
        <v>OK</v>
      </c>
      <c r="E6574" s="4" t="s">
        <v>1996</v>
      </c>
    </row>
    <row r="6575" spans="1:5" x14ac:dyDescent="0.2">
      <c r="A6575" s="126">
        <v>6514</v>
      </c>
      <c r="B6575" s="1831"/>
      <c r="D6575" s="2" t="str">
        <f t="shared" si="101"/>
        <v>OK</v>
      </c>
      <c r="E6575" s="4" t="s">
        <v>1996</v>
      </c>
    </row>
    <row r="6576" spans="1:5" x14ac:dyDescent="0.2">
      <c r="A6576" s="126">
        <v>6515</v>
      </c>
      <c r="B6576" s="1831"/>
      <c r="D6576" s="2" t="str">
        <f t="shared" si="101"/>
        <v>OK</v>
      </c>
      <c r="E6576" s="4" t="s">
        <v>1996</v>
      </c>
    </row>
    <row r="6577" spans="1:5" x14ac:dyDescent="0.2">
      <c r="A6577" s="126">
        <v>6516</v>
      </c>
      <c r="B6577" s="1831"/>
      <c r="D6577" s="2" t="str">
        <f t="shared" si="101"/>
        <v>OK</v>
      </c>
      <c r="E6577" s="4" t="s">
        <v>1996</v>
      </c>
    </row>
    <row r="6578" spans="1:5" x14ac:dyDescent="0.2">
      <c r="A6578" s="126">
        <v>6517</v>
      </c>
      <c r="B6578" s="1831"/>
      <c r="D6578" s="2" t="str">
        <f t="shared" si="101"/>
        <v>OK</v>
      </c>
      <c r="E6578" s="4" t="s">
        <v>1996</v>
      </c>
    </row>
    <row r="6579" spans="1:5" x14ac:dyDescent="0.2">
      <c r="A6579" s="126">
        <v>6518</v>
      </c>
      <c r="B6579" s="1831"/>
      <c r="D6579" s="2" t="str">
        <f t="shared" si="101"/>
        <v>OK</v>
      </c>
      <c r="E6579" s="4" t="s">
        <v>1996</v>
      </c>
    </row>
    <row r="6580" spans="1:5" x14ac:dyDescent="0.2">
      <c r="A6580" s="126">
        <v>6519</v>
      </c>
      <c r="B6580" s="1831"/>
      <c r="D6580" s="2" t="str">
        <f t="shared" si="101"/>
        <v>OK</v>
      </c>
      <c r="E6580" s="4" t="s">
        <v>1996</v>
      </c>
    </row>
    <row r="6581" spans="1:5" x14ac:dyDescent="0.2">
      <c r="A6581" s="126">
        <v>6520</v>
      </c>
      <c r="B6581" s="1831"/>
      <c r="D6581" s="2" t="str">
        <f t="shared" si="101"/>
        <v>OK</v>
      </c>
      <c r="E6581" s="4" t="s">
        <v>1996</v>
      </c>
    </row>
    <row r="6582" spans="1:5" x14ac:dyDescent="0.2">
      <c r="A6582" s="126">
        <v>6521</v>
      </c>
      <c r="B6582" s="1831"/>
      <c r="D6582" s="2" t="str">
        <f t="shared" si="101"/>
        <v>OK</v>
      </c>
      <c r="E6582" s="4" t="s">
        <v>1996</v>
      </c>
    </row>
    <row r="6583" spans="1:5" x14ac:dyDescent="0.2">
      <c r="A6583" s="126">
        <v>6522</v>
      </c>
      <c r="B6583" s="1831"/>
      <c r="D6583" s="2" t="str">
        <f t="shared" si="101"/>
        <v>OK</v>
      </c>
      <c r="E6583" s="4" t="s">
        <v>1996</v>
      </c>
    </row>
    <row r="6584" spans="1:5" x14ac:dyDescent="0.2">
      <c r="A6584" s="126">
        <v>6523</v>
      </c>
      <c r="B6584" s="1831"/>
      <c r="D6584" s="2" t="str">
        <f t="shared" si="101"/>
        <v>OK</v>
      </c>
      <c r="E6584" s="4" t="s">
        <v>1996</v>
      </c>
    </row>
    <row r="6585" spans="1:5" x14ac:dyDescent="0.2">
      <c r="A6585" s="126">
        <v>6524</v>
      </c>
      <c r="B6585" s="1831"/>
      <c r="D6585" s="2" t="str">
        <f t="shared" si="101"/>
        <v>OK</v>
      </c>
      <c r="E6585" s="4" t="s">
        <v>1996</v>
      </c>
    </row>
    <row r="6586" spans="1:5" x14ac:dyDescent="0.2">
      <c r="A6586" s="126">
        <v>6525</v>
      </c>
      <c r="B6586" s="1831"/>
      <c r="D6586" s="2" t="str">
        <f t="shared" si="101"/>
        <v>OK</v>
      </c>
      <c r="E6586" s="4" t="s">
        <v>1996</v>
      </c>
    </row>
    <row r="6587" spans="1:5" x14ac:dyDescent="0.2">
      <c r="A6587" s="126">
        <v>6526</v>
      </c>
      <c r="B6587" s="1831"/>
      <c r="D6587" s="2" t="str">
        <f t="shared" si="101"/>
        <v>OK</v>
      </c>
      <c r="E6587" s="4" t="s">
        <v>1996</v>
      </c>
    </row>
    <row r="6588" spans="1:5" x14ac:dyDescent="0.2">
      <c r="A6588" s="126">
        <v>6527</v>
      </c>
      <c r="B6588" s="1831"/>
      <c r="D6588" s="2" t="str">
        <f t="shared" si="101"/>
        <v>OK</v>
      </c>
      <c r="E6588" s="4" t="s">
        <v>1996</v>
      </c>
    </row>
    <row r="6589" spans="1:5" x14ac:dyDescent="0.2">
      <c r="A6589" s="126">
        <v>6528</v>
      </c>
      <c r="B6589" s="1831"/>
      <c r="D6589" s="2" t="str">
        <f t="shared" si="101"/>
        <v>OK</v>
      </c>
      <c r="E6589" s="4" t="s">
        <v>1996</v>
      </c>
    </row>
    <row r="6590" spans="1:5" x14ac:dyDescent="0.2">
      <c r="A6590" s="126">
        <v>6529</v>
      </c>
      <c r="B6590" s="1831"/>
      <c r="D6590" s="2" t="str">
        <f t="shared" si="101"/>
        <v>OK</v>
      </c>
      <c r="E6590" s="4" t="s">
        <v>1996</v>
      </c>
    </row>
    <row r="6591" spans="1:5" x14ac:dyDescent="0.2">
      <c r="A6591" s="126">
        <v>6530</v>
      </c>
      <c r="B6591" s="1831"/>
      <c r="D6591" s="2" t="str">
        <f t="shared" ref="D6591:D6654" si="102">IF(ISBLANK(B6591),"OK",IF(A6591-B6591=0,"OK","Error?"))</f>
        <v>OK</v>
      </c>
      <c r="E6591" s="4" t="s">
        <v>1996</v>
      </c>
    </row>
    <row r="6592" spans="1:5" x14ac:dyDescent="0.2">
      <c r="A6592" s="126">
        <v>6531</v>
      </c>
      <c r="B6592" s="1831"/>
      <c r="D6592" s="2" t="str">
        <f t="shared" si="102"/>
        <v>OK</v>
      </c>
      <c r="E6592" s="4" t="s">
        <v>1996</v>
      </c>
    </row>
    <row r="6593" spans="1:5" x14ac:dyDescent="0.2">
      <c r="A6593" s="126">
        <v>6532</v>
      </c>
      <c r="B6593" s="1831"/>
      <c r="D6593" s="2" t="str">
        <f t="shared" si="102"/>
        <v>OK</v>
      </c>
      <c r="E6593" s="4" t="s">
        <v>1996</v>
      </c>
    </row>
    <row r="6594" spans="1:5" x14ac:dyDescent="0.2">
      <c r="A6594" s="126">
        <v>6533</v>
      </c>
      <c r="B6594" s="1831"/>
      <c r="D6594" s="2" t="str">
        <f t="shared" si="102"/>
        <v>OK</v>
      </c>
      <c r="E6594" s="4" t="s">
        <v>1996</v>
      </c>
    </row>
    <row r="6595" spans="1:5" x14ac:dyDescent="0.2">
      <c r="A6595" s="126">
        <v>6534</v>
      </c>
      <c r="B6595" s="1831"/>
      <c r="D6595" s="2" t="str">
        <f t="shared" si="102"/>
        <v>OK</v>
      </c>
      <c r="E6595" s="4" t="s">
        <v>1996</v>
      </c>
    </row>
    <row r="6596" spans="1:5" x14ac:dyDescent="0.2">
      <c r="A6596" s="126">
        <v>6535</v>
      </c>
      <c r="B6596" s="1831"/>
      <c r="D6596" s="2" t="str">
        <f t="shared" si="102"/>
        <v>OK</v>
      </c>
      <c r="E6596" s="4" t="s">
        <v>1996</v>
      </c>
    </row>
    <row r="6597" spans="1:5" x14ac:dyDescent="0.2">
      <c r="A6597" s="126">
        <v>6536</v>
      </c>
      <c r="B6597" s="1831"/>
      <c r="D6597" s="2" t="str">
        <f t="shared" si="102"/>
        <v>OK</v>
      </c>
      <c r="E6597" s="4" t="s">
        <v>1996</v>
      </c>
    </row>
    <row r="6598" spans="1:5" x14ac:dyDescent="0.2">
      <c r="A6598" s="126">
        <v>6537</v>
      </c>
      <c r="B6598" s="1831"/>
      <c r="D6598" s="2" t="str">
        <f t="shared" si="102"/>
        <v>OK</v>
      </c>
      <c r="E6598" s="4" t="s">
        <v>1996</v>
      </c>
    </row>
    <row r="6599" spans="1:5" x14ac:dyDescent="0.2">
      <c r="A6599" s="126">
        <v>6538</v>
      </c>
      <c r="B6599" s="1831"/>
      <c r="D6599" s="2" t="str">
        <f t="shared" si="102"/>
        <v>OK</v>
      </c>
      <c r="E6599" s="4" t="s">
        <v>1996</v>
      </c>
    </row>
    <row r="6600" spans="1:5" x14ac:dyDescent="0.2">
      <c r="A6600" s="126">
        <v>6539</v>
      </c>
      <c r="B6600" s="1831"/>
      <c r="D6600" s="2" t="str">
        <f t="shared" si="102"/>
        <v>OK</v>
      </c>
      <c r="E6600" s="4" t="s">
        <v>1996</v>
      </c>
    </row>
    <row r="6601" spans="1:5" x14ac:dyDescent="0.2">
      <c r="A6601" s="126">
        <v>6540</v>
      </c>
      <c r="B6601" s="1831"/>
      <c r="D6601" s="2" t="str">
        <f t="shared" si="102"/>
        <v>OK</v>
      </c>
      <c r="E6601" s="4" t="s">
        <v>1996</v>
      </c>
    </row>
    <row r="6602" spans="1:5" x14ac:dyDescent="0.2">
      <c r="A6602" s="126">
        <v>6541</v>
      </c>
      <c r="B6602" s="1831"/>
      <c r="D6602" s="2" t="str">
        <f t="shared" si="102"/>
        <v>OK</v>
      </c>
      <c r="E6602" s="4" t="s">
        <v>1996</v>
      </c>
    </row>
    <row r="6603" spans="1:5" x14ac:dyDescent="0.2">
      <c r="A6603" s="126">
        <v>6542</v>
      </c>
      <c r="B6603" s="1831"/>
      <c r="D6603" s="2" t="str">
        <f t="shared" si="102"/>
        <v>OK</v>
      </c>
      <c r="E6603" s="4" t="s">
        <v>1996</v>
      </c>
    </row>
    <row r="6604" spans="1:5" x14ac:dyDescent="0.2">
      <c r="A6604" s="126">
        <v>6543</v>
      </c>
      <c r="B6604" s="1831"/>
      <c r="D6604" s="2" t="str">
        <f t="shared" si="102"/>
        <v>OK</v>
      </c>
      <c r="E6604" s="4" t="s">
        <v>1996</v>
      </c>
    </row>
    <row r="6605" spans="1:5" x14ac:dyDescent="0.2">
      <c r="A6605" s="126">
        <v>6544</v>
      </c>
      <c r="B6605" s="1831"/>
      <c r="D6605" s="2" t="str">
        <f t="shared" si="102"/>
        <v>OK</v>
      </c>
      <c r="E6605" s="4" t="s">
        <v>1996</v>
      </c>
    </row>
    <row r="6606" spans="1:5" x14ac:dyDescent="0.2">
      <c r="A6606" s="126">
        <v>6545</v>
      </c>
      <c r="B6606" s="1831"/>
      <c r="D6606" s="2" t="str">
        <f t="shared" si="102"/>
        <v>OK</v>
      </c>
      <c r="E6606" s="4" t="s">
        <v>1996</v>
      </c>
    </row>
    <row r="6607" spans="1:5" x14ac:dyDescent="0.2">
      <c r="A6607" s="126">
        <v>6546</v>
      </c>
      <c r="B6607" s="1831"/>
      <c r="D6607" s="2" t="str">
        <f t="shared" si="102"/>
        <v>OK</v>
      </c>
      <c r="E6607" s="4" t="s">
        <v>1996</v>
      </c>
    </row>
    <row r="6608" spans="1:5" x14ac:dyDescent="0.2">
      <c r="A6608" s="126">
        <v>6547</v>
      </c>
      <c r="B6608" s="1831"/>
      <c r="D6608" s="2" t="str">
        <f t="shared" si="102"/>
        <v>OK</v>
      </c>
      <c r="E6608" s="4" t="s">
        <v>1996</v>
      </c>
    </row>
    <row r="6609" spans="1:5" x14ac:dyDescent="0.2">
      <c r="A6609" s="126">
        <v>6548</v>
      </c>
      <c r="B6609" s="1831"/>
      <c r="D6609" s="2" t="str">
        <f t="shared" si="102"/>
        <v>OK</v>
      </c>
      <c r="E6609" s="4" t="s">
        <v>1996</v>
      </c>
    </row>
    <row r="6610" spans="1:5" x14ac:dyDescent="0.2">
      <c r="A6610" s="126">
        <v>6549</v>
      </c>
      <c r="B6610" s="1831"/>
      <c r="D6610" s="2" t="str">
        <f t="shared" si="102"/>
        <v>OK</v>
      </c>
      <c r="E6610" s="4" t="s">
        <v>1996</v>
      </c>
    </row>
    <row r="6611" spans="1:5" x14ac:dyDescent="0.2">
      <c r="A6611" s="126">
        <v>6550</v>
      </c>
      <c r="B6611" s="1831"/>
      <c r="D6611" s="2" t="str">
        <f t="shared" si="102"/>
        <v>OK</v>
      </c>
      <c r="E6611" s="4" t="s">
        <v>1996</v>
      </c>
    </row>
    <row r="6612" spans="1:5" x14ac:dyDescent="0.2">
      <c r="A6612" s="126">
        <v>6551</v>
      </c>
      <c r="B6612" s="1831"/>
      <c r="D6612" s="2" t="str">
        <f t="shared" si="102"/>
        <v>OK</v>
      </c>
      <c r="E6612" s="4" t="s">
        <v>1996</v>
      </c>
    </row>
    <row r="6613" spans="1:5" x14ac:dyDescent="0.2">
      <c r="A6613" s="126">
        <v>6552</v>
      </c>
      <c r="B6613" s="1831"/>
      <c r="D6613" s="2" t="str">
        <f t="shared" si="102"/>
        <v>OK</v>
      </c>
      <c r="E6613" s="4" t="s">
        <v>1996</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1900</v>
      </c>
    </row>
    <row r="6842" spans="1:5" x14ac:dyDescent="0.2">
      <c r="A6842" s="126">
        <v>6781</v>
      </c>
      <c r="B6842" s="1831"/>
      <c r="D6842" s="2" t="str">
        <f t="shared" si="105"/>
        <v>OK</v>
      </c>
      <c r="E6842" s="1" t="s">
        <v>1900</v>
      </c>
    </row>
    <row r="6843" spans="1:5" x14ac:dyDescent="0.2">
      <c r="A6843" s="126">
        <v>6782</v>
      </c>
      <c r="B6843" s="1831"/>
      <c r="D6843" s="2" t="str">
        <f t="shared" si="105"/>
        <v>OK</v>
      </c>
      <c r="E6843" s="1" t="s">
        <v>1900</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0</v>
      </c>
      <c r="D7224" s="2" t="str">
        <f t="shared" si="111"/>
        <v>Error?</v>
      </c>
    </row>
    <row r="7225" spans="1:4" x14ac:dyDescent="0.2">
      <c r="A7225">
        <v>7164</v>
      </c>
      <c r="B7225" s="1831">
        <f>'Expenditures 15-22'!K343</f>
        <v>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26'!I18</f>
        <v>3902208</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1997</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1997</v>
      </c>
    </row>
    <row r="7641" spans="1:6" x14ac:dyDescent="0.2">
      <c r="A7641" s="126">
        <f t="shared" si="125"/>
        <v>7580</v>
      </c>
      <c r="B7641" s="1832"/>
      <c r="D7641" s="2" t="str">
        <f t="shared" si="124"/>
        <v>OK</v>
      </c>
      <c r="E7641" s="4" t="s">
        <v>1997</v>
      </c>
    </row>
    <row r="7642" spans="1:6" x14ac:dyDescent="0.2">
      <c r="A7642" s="126">
        <f t="shared" si="125"/>
        <v>7581</v>
      </c>
      <c r="B7642" s="1832"/>
      <c r="D7642" s="2" t="str">
        <f t="shared" si="124"/>
        <v>OK</v>
      </c>
      <c r="E7642" s="4" t="s">
        <v>1997</v>
      </c>
    </row>
    <row r="7643" spans="1:6" x14ac:dyDescent="0.2">
      <c r="A7643" s="126">
        <f t="shared" si="125"/>
        <v>7582</v>
      </c>
      <c r="B7643" s="1832"/>
      <c r="D7643" s="2" t="str">
        <f t="shared" si="124"/>
        <v>OK</v>
      </c>
      <c r="E7643" s="4" t="s">
        <v>1997</v>
      </c>
    </row>
    <row r="7644" spans="1:6" x14ac:dyDescent="0.2">
      <c r="A7644" s="126">
        <f t="shared" si="125"/>
        <v>7583</v>
      </c>
      <c r="B7644" s="1832"/>
      <c r="D7644" s="2" t="str">
        <f t="shared" si="124"/>
        <v>OK</v>
      </c>
      <c r="E7644" s="4" t="s">
        <v>1997</v>
      </c>
    </row>
    <row r="7645" spans="1:6" x14ac:dyDescent="0.2">
      <c r="A7645" s="126">
        <f t="shared" si="125"/>
        <v>7584</v>
      </c>
      <c r="B7645" s="1832"/>
      <c r="D7645" s="2" t="str">
        <f t="shared" si="124"/>
        <v>OK</v>
      </c>
      <c r="E7645" s="4" t="s">
        <v>1997</v>
      </c>
    </row>
    <row r="7646" spans="1:6" x14ac:dyDescent="0.2">
      <c r="A7646" s="126">
        <f t="shared" si="125"/>
        <v>7585</v>
      </c>
      <c r="B7646" s="1832"/>
      <c r="D7646" s="2" t="str">
        <f t="shared" si="124"/>
        <v>OK</v>
      </c>
      <c r="E7646" s="4" t="s">
        <v>1997</v>
      </c>
    </row>
    <row r="7647" spans="1:6" x14ac:dyDescent="0.2">
      <c r="A7647" s="126">
        <f t="shared" si="125"/>
        <v>7586</v>
      </c>
      <c r="B7647" s="1832"/>
      <c r="D7647" s="2" t="str">
        <f t="shared" si="124"/>
        <v>OK</v>
      </c>
      <c r="E7647" s="4" t="s">
        <v>1997</v>
      </c>
    </row>
    <row r="7648" spans="1:6" x14ac:dyDescent="0.2">
      <c r="A7648" s="126">
        <f t="shared" si="125"/>
        <v>7587</v>
      </c>
      <c r="B7648" s="1832"/>
      <c r="D7648" s="2" t="str">
        <f t="shared" si="124"/>
        <v>OK</v>
      </c>
      <c r="E7648" s="4" t="s">
        <v>1997</v>
      </c>
    </row>
    <row r="7649" spans="1:5" x14ac:dyDescent="0.2">
      <c r="A7649" s="126">
        <f t="shared" si="125"/>
        <v>7588</v>
      </c>
      <c r="B7649" s="1832"/>
      <c r="D7649" s="2" t="str">
        <f t="shared" si="124"/>
        <v>OK</v>
      </c>
      <c r="E7649" s="4" t="s">
        <v>1997</v>
      </c>
    </row>
    <row r="7650" spans="1:5" x14ac:dyDescent="0.2">
      <c r="A7650" s="126">
        <f t="shared" si="125"/>
        <v>7589</v>
      </c>
      <c r="B7650" s="1832"/>
      <c r="D7650" s="2" t="str">
        <f t="shared" si="124"/>
        <v>OK</v>
      </c>
      <c r="E7650" s="4" t="s">
        <v>1997</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1324</v>
      </c>
    </row>
    <row r="7749" spans="1:6" x14ac:dyDescent="0.2">
      <c r="A7749">
        <v>7688</v>
      </c>
      <c r="B7749" s="1831">
        <f>'Acct Summary 7-8'!D25</f>
        <v>0</v>
      </c>
      <c r="D7749" s="2" t="str">
        <f t="shared" si="127"/>
        <v>Error?</v>
      </c>
      <c r="E7749" s="4" t="s">
        <v>1324</v>
      </c>
    </row>
    <row r="7750" spans="1:6" x14ac:dyDescent="0.2">
      <c r="A7750">
        <v>7689</v>
      </c>
      <c r="B7750" s="1831">
        <f>'Acct Summary 7-8'!E25</f>
        <v>0</v>
      </c>
      <c r="D7750" s="2" t="str">
        <f t="shared" si="127"/>
        <v>Error?</v>
      </c>
      <c r="E7750" s="4" t="s">
        <v>1324</v>
      </c>
    </row>
    <row r="7751" spans="1:6" x14ac:dyDescent="0.2">
      <c r="A7751">
        <v>7690</v>
      </c>
      <c r="B7751" s="1831">
        <f>'Acct Summary 7-8'!F25</f>
        <v>0</v>
      </c>
      <c r="D7751" s="2" t="str">
        <f t="shared" si="127"/>
        <v>Error?</v>
      </c>
      <c r="E7751" s="4" t="s">
        <v>1324</v>
      </c>
    </row>
    <row r="7752" spans="1:6" x14ac:dyDescent="0.2">
      <c r="A7752">
        <v>7691</v>
      </c>
      <c r="B7752" s="1831">
        <f>'Acct Summary 7-8'!G25</f>
        <v>0</v>
      </c>
      <c r="D7752" s="2" t="str">
        <f t="shared" si="127"/>
        <v>Error?</v>
      </c>
      <c r="E7752" s="4" t="s">
        <v>1324</v>
      </c>
    </row>
    <row r="7753" spans="1:6" x14ac:dyDescent="0.2">
      <c r="A7753">
        <v>7692</v>
      </c>
      <c r="B7753" s="1831">
        <f>'Acct Summary 7-8'!H25</f>
        <v>0</v>
      </c>
      <c r="D7753" s="2" t="str">
        <f t="shared" si="127"/>
        <v>Error?</v>
      </c>
      <c r="E7753" s="4" t="s">
        <v>1324</v>
      </c>
    </row>
    <row r="7754" spans="1:6" x14ac:dyDescent="0.2">
      <c r="A7754">
        <v>7693</v>
      </c>
      <c r="B7754" s="1831">
        <f>'Acct Summary 7-8'!J25</f>
        <v>0</v>
      </c>
      <c r="D7754" s="2" t="str">
        <f t="shared" si="127"/>
        <v>Error?</v>
      </c>
      <c r="E7754" s="4" t="s">
        <v>1324</v>
      </c>
    </row>
    <row r="7755" spans="1:6" x14ac:dyDescent="0.2">
      <c r="A7755">
        <v>7694</v>
      </c>
      <c r="B7755" s="1831">
        <f>'Acct Summary 7-8'!K25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2'!J85</f>
        <v>0</v>
      </c>
      <c r="D7758" s="2" t="str">
        <f t="shared" si="127"/>
        <v>Error?</v>
      </c>
      <c r="E7758" s="4" t="s">
        <v>1324</v>
      </c>
    </row>
    <row r="7759" spans="1:6" x14ac:dyDescent="0.2">
      <c r="A7759">
        <v>7698</v>
      </c>
      <c r="B7759" s="1831">
        <f>'Aud Quest 2'!J88</f>
        <v>270741</v>
      </c>
      <c r="D7759" s="2" t="str">
        <f t="shared" si="127"/>
        <v>Error?</v>
      </c>
      <c r="E7759" s="4" t="s">
        <v>1324</v>
      </c>
    </row>
    <row r="7760" spans="1:6" x14ac:dyDescent="0.2">
      <c r="A7760">
        <v>7699</v>
      </c>
      <c r="B7760" s="1831">
        <f>'Aud Quest 2'!J90</f>
        <v>270741</v>
      </c>
      <c r="D7760" s="2" t="str">
        <f t="shared" si="127"/>
        <v>Error?</v>
      </c>
      <c r="E7760" s="4" t="s">
        <v>1324</v>
      </c>
    </row>
    <row r="7761" spans="1:5" x14ac:dyDescent="0.2">
      <c r="A7761">
        <v>7700</v>
      </c>
      <c r="B7761" s="1831">
        <f>'Revenues 9-14'!C253</f>
        <v>0</v>
      </c>
      <c r="D7761" s="2" t="str">
        <f t="shared" si="127"/>
        <v>Error?</v>
      </c>
      <c r="E7761" s="4" t="s">
        <v>1408</v>
      </c>
    </row>
    <row r="7762" spans="1:5" x14ac:dyDescent="0.2">
      <c r="A7762">
        <v>7701</v>
      </c>
      <c r="B7762" s="1831">
        <f>'Expenditures 15-22'!E6</f>
        <v>0</v>
      </c>
      <c r="D7762" s="2" t="str">
        <f t="shared" si="127"/>
        <v>Error?</v>
      </c>
      <c r="E7762" s="4" t="s">
        <v>1418</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1446</v>
      </c>
    </row>
    <row r="7765" spans="1:5" x14ac:dyDescent="0.2">
      <c r="A7765">
        <v>7704</v>
      </c>
      <c r="B7765" s="1831">
        <f>'Revenues 9-14'!C254</f>
        <v>0</v>
      </c>
      <c r="D7765" s="2" t="str">
        <f t="shared" si="127"/>
        <v>Error?</v>
      </c>
      <c r="E7765" s="4" t="s">
        <v>1450</v>
      </c>
    </row>
    <row r="7766" spans="1:5" x14ac:dyDescent="0.2">
      <c r="A7766">
        <v>7705</v>
      </c>
      <c r="B7766" s="1831">
        <f>'Revenues 9-14'!D254</f>
        <v>0</v>
      </c>
      <c r="D7766" s="2" t="str">
        <f t="shared" si="127"/>
        <v>Error?</v>
      </c>
      <c r="E7766" s="4" t="s">
        <v>1450</v>
      </c>
    </row>
    <row r="7767" spans="1:5" x14ac:dyDescent="0.2">
      <c r="A7767" s="126">
        <v>7706</v>
      </c>
      <c r="B7767" s="1831"/>
      <c r="D7767" s="4" t="s">
        <v>1999</v>
      </c>
      <c r="E7767" s="4"/>
    </row>
    <row r="7768" spans="1:5" x14ac:dyDescent="0.2">
      <c r="A7768">
        <v>7707</v>
      </c>
      <c r="B7768" s="1831">
        <f>'Revenues 9-14'!F254</f>
        <v>0</v>
      </c>
      <c r="D7768" s="2" t="str">
        <f t="shared" si="127"/>
        <v>Error?</v>
      </c>
      <c r="E7768" s="4" t="s">
        <v>1450</v>
      </c>
    </row>
    <row r="7769" spans="1:5" x14ac:dyDescent="0.2">
      <c r="A7769">
        <v>7708</v>
      </c>
      <c r="B7769" s="1831">
        <f>'Revenues 9-14'!G254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25'!J22</f>
        <v>0</v>
      </c>
      <c r="D7773" s="2" t="str">
        <f t="shared" si="127"/>
        <v>Error?</v>
      </c>
      <c r="E7773" s="4" t="s">
        <v>1539</v>
      </c>
    </row>
    <row r="7774" spans="1:5" x14ac:dyDescent="0.2">
      <c r="A7774">
        <v>7713</v>
      </c>
      <c r="B7774" s="1831">
        <f>'Expenditures 15-22'!E133</f>
        <v>0</v>
      </c>
      <c r="D7774" s="2" t="str">
        <f t="shared" si="127"/>
        <v>Error?</v>
      </c>
      <c r="E7774" s="4" t="s">
        <v>1828</v>
      </c>
    </row>
    <row r="7775" spans="1:5" x14ac:dyDescent="0.2">
      <c r="A7775">
        <v>7714</v>
      </c>
      <c r="B7775" s="1831">
        <f>'Expenditures 15-22'!H133</f>
        <v>0</v>
      </c>
      <c r="D7775" s="2" t="str">
        <f t="shared" si="127"/>
        <v>Error?</v>
      </c>
      <c r="E7775" s="4" t="s">
        <v>1828</v>
      </c>
    </row>
    <row r="7776" spans="1:5" x14ac:dyDescent="0.2">
      <c r="A7776">
        <v>7715</v>
      </c>
      <c r="B7776" s="1831">
        <f>'Expenditures 15-22'!K133</f>
        <v>0</v>
      </c>
      <c r="D7776" s="2" t="str">
        <f t="shared" si="127"/>
        <v>Error?</v>
      </c>
      <c r="E7776" s="4" t="s">
        <v>1828</v>
      </c>
    </row>
    <row r="7777" spans="1:5" x14ac:dyDescent="0.2">
      <c r="A7777">
        <v>7716</v>
      </c>
      <c r="B7777" s="1831">
        <f>'Expenditures 15-22'!H157</f>
        <v>0</v>
      </c>
      <c r="D7777" s="2" t="str">
        <f t="shared" si="127"/>
        <v>Error?</v>
      </c>
      <c r="E7777" s="4" t="s">
        <v>1828</v>
      </c>
    </row>
    <row r="7778" spans="1:5" x14ac:dyDescent="0.2">
      <c r="A7778">
        <v>7717</v>
      </c>
      <c r="B7778" s="1831">
        <f>'Expenditures 15-22'!K157</f>
        <v>0</v>
      </c>
      <c r="D7778" s="2" t="str">
        <f t="shared" si="127"/>
        <v>Error?</v>
      </c>
      <c r="E7778" s="4" t="s">
        <v>1828</v>
      </c>
    </row>
    <row r="7779" spans="1:5" x14ac:dyDescent="0.2">
      <c r="A7779">
        <v>7718</v>
      </c>
      <c r="B7779" s="1831">
        <f>'Expenditures 15-22'!H158</f>
        <v>0</v>
      </c>
      <c r="D7779" s="2" t="str">
        <f t="shared" si="127"/>
        <v>Error?</v>
      </c>
      <c r="E7779" s="4" t="s">
        <v>1828</v>
      </c>
    </row>
    <row r="7780" spans="1:5" x14ac:dyDescent="0.2">
      <c r="A7780">
        <v>7719</v>
      </c>
      <c r="B7780" s="1831">
        <f>'Expenditures 15-22'!K158</f>
        <v>0</v>
      </c>
      <c r="D7780" s="2" t="str">
        <f t="shared" si="127"/>
        <v>Error?</v>
      </c>
      <c r="E7780" s="4" t="s">
        <v>1828</v>
      </c>
    </row>
    <row r="7781" spans="1:5" x14ac:dyDescent="0.2">
      <c r="A7781">
        <v>7720</v>
      </c>
      <c r="B7781" s="1831">
        <f>'Expenditures 15-22'!H159</f>
        <v>0</v>
      </c>
      <c r="D7781" s="2" t="str">
        <f t="shared" si="127"/>
        <v>Error?</v>
      </c>
      <c r="E7781" s="4" t="s">
        <v>1828</v>
      </c>
    </row>
    <row r="7782" spans="1:5" x14ac:dyDescent="0.2">
      <c r="A7782">
        <v>7721</v>
      </c>
      <c r="B7782" s="1831">
        <f>'Expenditures 15-22'!K159</f>
        <v>0</v>
      </c>
      <c r="D7782" s="2" t="str">
        <f t="shared" si="127"/>
        <v>Error?</v>
      </c>
      <c r="E7782" s="4" t="s">
        <v>1828</v>
      </c>
    </row>
    <row r="7783" spans="1:5" x14ac:dyDescent="0.2">
      <c r="A7783">
        <v>7722</v>
      </c>
      <c r="B7783" s="1831">
        <f>'Expenditures 15-22'!D282</f>
        <v>0</v>
      </c>
      <c r="D7783" s="2" t="str">
        <f t="shared" si="127"/>
        <v>Error?</v>
      </c>
      <c r="E7783" s="4" t="s">
        <v>1828</v>
      </c>
    </row>
    <row r="7784" spans="1:5" x14ac:dyDescent="0.2">
      <c r="A7784">
        <v>7723</v>
      </c>
      <c r="B7784" s="1831">
        <f>'Expenditures 15-22'!K282</f>
        <v>0</v>
      </c>
      <c r="D7784" s="2" t="str">
        <f t="shared" si="127"/>
        <v>Error?</v>
      </c>
      <c r="E7784" s="4" t="s">
        <v>1828</v>
      </c>
    </row>
    <row r="7785" spans="1:5" x14ac:dyDescent="0.2">
      <c r="A7785">
        <v>7724</v>
      </c>
      <c r="B7785" s="1831">
        <f>'Expenditures 15-22'!H332</f>
        <v>0</v>
      </c>
      <c r="D7785" s="2" t="str">
        <f t="shared" si="127"/>
        <v>Error?</v>
      </c>
      <c r="E7785" s="4" t="s">
        <v>1828</v>
      </c>
    </row>
    <row r="7786" spans="1:5" x14ac:dyDescent="0.2">
      <c r="A7786">
        <v>7725</v>
      </c>
      <c r="B7786" s="1831">
        <f>'Expenditures 15-22'!K332</f>
        <v>0</v>
      </c>
      <c r="D7786" s="2" t="str">
        <f t="shared" si="127"/>
        <v>Error?</v>
      </c>
      <c r="E7786" s="4" t="s">
        <v>1828</v>
      </c>
    </row>
    <row r="7787" spans="1:5" x14ac:dyDescent="0.2">
      <c r="A7787">
        <v>7726</v>
      </c>
      <c r="B7787" s="1831">
        <f>'Expenditures 15-22'!H333</f>
        <v>0</v>
      </c>
      <c r="D7787" s="2" t="str">
        <f t="shared" si="127"/>
        <v>Error?</v>
      </c>
      <c r="E7787" s="4" t="s">
        <v>1828</v>
      </c>
    </row>
    <row r="7788" spans="1:5" x14ac:dyDescent="0.2">
      <c r="A7788">
        <v>7727</v>
      </c>
      <c r="B7788" s="1831">
        <f>'Expenditures 15-22'!K333</f>
        <v>0</v>
      </c>
      <c r="D7788" s="2" t="str">
        <f t="shared" si="127"/>
        <v>Error?</v>
      </c>
      <c r="E7788" s="4" t="s">
        <v>1828</v>
      </c>
    </row>
    <row r="7789" spans="1:5" x14ac:dyDescent="0.2">
      <c r="A7789">
        <v>7728</v>
      </c>
      <c r="B7789" s="1831">
        <f>'Expenditures 15-22'!H334</f>
        <v>0</v>
      </c>
      <c r="D7789" s="2" t="str">
        <f t="shared" si="127"/>
        <v>Error?</v>
      </c>
      <c r="E7789" s="4" t="s">
        <v>1828</v>
      </c>
    </row>
    <row r="7790" spans="1:5" x14ac:dyDescent="0.2">
      <c r="A7790">
        <v>7729</v>
      </c>
      <c r="B7790" s="1831">
        <f>'Expenditures 15-22'!K334</f>
        <v>0</v>
      </c>
      <c r="D7790" s="2" t="str">
        <f t="shared" si="127"/>
        <v>Error?</v>
      </c>
      <c r="E7790" s="4" t="s">
        <v>1828</v>
      </c>
    </row>
    <row r="7791" spans="1:5" x14ac:dyDescent="0.2">
      <c r="A7791">
        <v>7730</v>
      </c>
      <c r="B7791" s="1831">
        <f>'Expenditures 15-22'!H354</f>
        <v>0</v>
      </c>
      <c r="D7791" s="2" t="str">
        <f t="shared" si="127"/>
        <v>Error?</v>
      </c>
      <c r="E7791" s="4" t="s">
        <v>1828</v>
      </c>
    </row>
    <row r="7792" spans="1:5" x14ac:dyDescent="0.2">
      <c r="A7792">
        <v>7731</v>
      </c>
      <c r="B7792" s="1831">
        <f>'Expenditures 15-22'!K354</f>
        <v>0</v>
      </c>
      <c r="D7792" s="2" t="str">
        <f t="shared" si="127"/>
        <v>Error?</v>
      </c>
      <c r="E7792" s="4" t="s">
        <v>1828</v>
      </c>
    </row>
    <row r="7793" spans="1:5" x14ac:dyDescent="0.2">
      <c r="A7793">
        <v>7732</v>
      </c>
      <c r="B7793" s="1831">
        <f>'Expenditures 15-22'!H355</f>
        <v>0</v>
      </c>
      <c r="D7793" s="2" t="str">
        <f t="shared" si="127"/>
        <v>Error?</v>
      </c>
      <c r="E7793" s="4" t="s">
        <v>1828</v>
      </c>
    </row>
    <row r="7794" spans="1:5" x14ac:dyDescent="0.2">
      <c r="A7794">
        <v>7733</v>
      </c>
      <c r="B7794" s="1831">
        <f>'Expenditures 15-22'!K355</f>
        <v>0</v>
      </c>
      <c r="D7794" s="2" t="str">
        <f t="shared" si="127"/>
        <v>Error?</v>
      </c>
      <c r="E7794" s="4" t="s">
        <v>1828</v>
      </c>
    </row>
    <row r="7795" spans="1:5" x14ac:dyDescent="0.2">
      <c r="A7795">
        <v>7734</v>
      </c>
      <c r="B7795" s="1831">
        <f>'Expenditures 15-22'!E138</f>
        <v>0</v>
      </c>
      <c r="D7795" s="2" t="str">
        <f t="shared" si="127"/>
        <v>Error?</v>
      </c>
      <c r="E7795" s="4" t="s">
        <v>1828</v>
      </c>
    </row>
    <row r="7796" spans="1:5" x14ac:dyDescent="0.2">
      <c r="A7796">
        <v>7735</v>
      </c>
      <c r="B7796" s="1831">
        <f>'Acct Summary 7-8'!J15</f>
        <v>0</v>
      </c>
      <c r="D7796" s="2" t="str">
        <f t="shared" si="127"/>
        <v>Error?</v>
      </c>
      <c r="E7796" s="4" t="s">
        <v>1828</v>
      </c>
    </row>
    <row r="7797" spans="1:5" x14ac:dyDescent="0.2">
      <c r="A7797" s="126">
        <v>7736</v>
      </c>
      <c r="B7797" s="1831"/>
      <c r="D7797" s="2" t="str">
        <f t="shared" si="127"/>
        <v>OK</v>
      </c>
      <c r="E7797" s="4" t="s">
        <v>1981</v>
      </c>
    </row>
    <row r="7798" spans="1:5" x14ac:dyDescent="0.2">
      <c r="A7798" s="126">
        <v>7737</v>
      </c>
      <c r="B7798" s="1831"/>
      <c r="D7798" s="2" t="str">
        <f t="shared" si="127"/>
        <v>OK</v>
      </c>
      <c r="E7798" s="4" t="s">
        <v>1981</v>
      </c>
    </row>
    <row r="7799" spans="1:5" x14ac:dyDescent="0.2">
      <c r="A7799" s="126">
        <v>7738</v>
      </c>
      <c r="B7799" s="1831"/>
      <c r="D7799" s="2" t="str">
        <f t="shared" si="127"/>
        <v>OK</v>
      </c>
      <c r="E7799" s="4" t="s">
        <v>1981</v>
      </c>
    </row>
    <row r="7800" spans="1:5" x14ac:dyDescent="0.2">
      <c r="A7800">
        <v>7739</v>
      </c>
      <c r="B7800" s="1831">
        <f>'Rest Tax Levies-Tort Im 25'!K23</f>
        <v>0</v>
      </c>
      <c r="D7800" s="2" t="str">
        <f t="shared" si="127"/>
        <v>Error?</v>
      </c>
      <c r="E7800" s="4" t="s">
        <v>1968</v>
      </c>
    </row>
    <row r="7801" spans="1:5" x14ac:dyDescent="0.2">
      <c r="A7801">
        <v>7740</v>
      </c>
      <c r="B7801" s="1831">
        <f>'Revenues 9-14'!C120</f>
        <v>0</v>
      </c>
      <c r="D7801" s="2" t="str">
        <f t="shared" si="127"/>
        <v>Error?</v>
      </c>
      <c r="E7801" s="4" t="s">
        <v>1902</v>
      </c>
    </row>
    <row r="7802" spans="1:5" x14ac:dyDescent="0.2">
      <c r="A7802">
        <v>7741</v>
      </c>
      <c r="B7802" s="1831">
        <f>'Revenues 9-14'!D120</f>
        <v>0</v>
      </c>
      <c r="D7802" s="2" t="str">
        <f t="shared" si="127"/>
        <v>Error?</v>
      </c>
      <c r="E7802" s="4" t="s">
        <v>1902</v>
      </c>
    </row>
    <row r="7803" spans="1:5" x14ac:dyDescent="0.2">
      <c r="A7803">
        <v>7742</v>
      </c>
      <c r="B7803" s="1831">
        <f>'Revenues 9-14'!E120</f>
        <v>0</v>
      </c>
      <c r="D7803" s="2" t="str">
        <f t="shared" si="127"/>
        <v>Error?</v>
      </c>
      <c r="E7803" s="4" t="s">
        <v>1902</v>
      </c>
    </row>
    <row r="7804" spans="1:5" x14ac:dyDescent="0.2">
      <c r="A7804">
        <v>7743</v>
      </c>
      <c r="B7804" s="1831">
        <f>'Revenues 9-14'!F120</f>
        <v>0</v>
      </c>
      <c r="D7804" s="2" t="str">
        <f t="shared" si="127"/>
        <v>Error?</v>
      </c>
      <c r="E7804" s="4" t="s">
        <v>1902</v>
      </c>
    </row>
    <row r="7805" spans="1:5" x14ac:dyDescent="0.2">
      <c r="A7805">
        <v>7744</v>
      </c>
      <c r="B7805" s="1831">
        <f>'Revenues 9-14'!G120</f>
        <v>0</v>
      </c>
      <c r="D7805" s="2" t="str">
        <f t="shared" si="127"/>
        <v>Error?</v>
      </c>
      <c r="E7805" s="4" t="s">
        <v>1902</v>
      </c>
    </row>
    <row r="7806" spans="1:5" x14ac:dyDescent="0.2">
      <c r="A7806">
        <v>7745</v>
      </c>
      <c r="B7806" s="1831">
        <f>'Revenues 9-14'!H120</f>
        <v>0</v>
      </c>
      <c r="D7806" s="2" t="str">
        <f t="shared" si="127"/>
        <v>Error?</v>
      </c>
      <c r="E7806" s="4" t="s">
        <v>1902</v>
      </c>
    </row>
    <row r="7807" spans="1:5" x14ac:dyDescent="0.2">
      <c r="A7807">
        <v>7746</v>
      </c>
      <c r="B7807" s="1831">
        <f>'Revenues 9-14'!J120</f>
        <v>0</v>
      </c>
      <c r="D7807" s="2" t="str">
        <f t="shared" ref="D7807:D7821" si="128">IF(ISBLANK(B7807),"OK",IF(A7807-B7807=0,"OK","Error?"))</f>
        <v>Error?</v>
      </c>
      <c r="E7807" s="4" t="s">
        <v>1902</v>
      </c>
    </row>
    <row r="7808" spans="1:5" x14ac:dyDescent="0.2">
      <c r="A7808">
        <v>7747</v>
      </c>
      <c r="B7808" s="1831">
        <f>'Revenues 9-14'!K120</f>
        <v>0</v>
      </c>
      <c r="D7808" s="2" t="str">
        <f t="shared" si="128"/>
        <v>Error?</v>
      </c>
      <c r="E7808" s="4" t="s">
        <v>1902</v>
      </c>
    </row>
    <row r="7809" spans="1:5" x14ac:dyDescent="0.2">
      <c r="A7809">
        <v>7748</v>
      </c>
      <c r="B7809" s="1831">
        <f>'Revenues 9-14'!C261</f>
        <v>0</v>
      </c>
      <c r="D7809" s="2" t="str">
        <f t="shared" si="128"/>
        <v>Error?</v>
      </c>
      <c r="E7809" s="4" t="s">
        <v>1903</v>
      </c>
    </row>
    <row r="7810" spans="1:5" x14ac:dyDescent="0.2">
      <c r="A7810">
        <v>7749</v>
      </c>
      <c r="B7810" s="1831">
        <f>'Revenues 9-14'!D261</f>
        <v>0</v>
      </c>
      <c r="D7810" s="2" t="str">
        <f t="shared" si="128"/>
        <v>Error?</v>
      </c>
      <c r="E7810" s="4" t="s">
        <v>1903</v>
      </c>
    </row>
    <row r="7811" spans="1:5" x14ac:dyDescent="0.2">
      <c r="A7811">
        <v>7750</v>
      </c>
      <c r="B7811" s="1831">
        <f>'Revenues 9-14'!F261</f>
        <v>0</v>
      </c>
      <c r="D7811" s="2" t="str">
        <f t="shared" si="128"/>
        <v>Error?</v>
      </c>
      <c r="E7811" s="4" t="s">
        <v>1903</v>
      </c>
    </row>
    <row r="7812" spans="1:5" x14ac:dyDescent="0.2">
      <c r="A7812">
        <v>7751</v>
      </c>
      <c r="B7812" s="1831">
        <f>'Revenues 9-14'!G261</f>
        <v>0</v>
      </c>
      <c r="D7812" s="2" t="str">
        <f t="shared" si="128"/>
        <v>Error?</v>
      </c>
      <c r="E7812" s="4" t="s">
        <v>1903</v>
      </c>
    </row>
    <row r="7813" spans="1:5" x14ac:dyDescent="0.2">
      <c r="A7813">
        <v>7752</v>
      </c>
      <c r="B7813" s="1831">
        <f>'Revenues 9-14'!C262</f>
        <v>0</v>
      </c>
      <c r="D7813" s="2" t="str">
        <f t="shared" si="128"/>
        <v>Error?</v>
      </c>
      <c r="E7813" s="4" t="s">
        <v>1904</v>
      </c>
    </row>
    <row r="7814" spans="1:5" x14ac:dyDescent="0.2">
      <c r="A7814">
        <v>7753</v>
      </c>
      <c r="B7814" s="1831">
        <f>'Revenues 9-14'!D262</f>
        <v>0</v>
      </c>
      <c r="D7814" s="2" t="str">
        <f t="shared" si="128"/>
        <v>Error?</v>
      </c>
      <c r="E7814" s="4" t="s">
        <v>1904</v>
      </c>
    </row>
    <row r="7815" spans="1:5" x14ac:dyDescent="0.2">
      <c r="A7815">
        <v>7754</v>
      </c>
      <c r="B7815" s="1831">
        <f>'Revenues 9-14'!F262</f>
        <v>0</v>
      </c>
      <c r="D7815" s="2" t="str">
        <f t="shared" si="128"/>
        <v>Error?</v>
      </c>
      <c r="E7815" s="4" t="s">
        <v>1904</v>
      </c>
    </row>
    <row r="7816" spans="1:5" x14ac:dyDescent="0.2">
      <c r="A7816">
        <v>7755</v>
      </c>
      <c r="B7816" s="1831">
        <f>'Revenues 9-14'!G262</f>
        <v>0</v>
      </c>
      <c r="D7816" s="2" t="str">
        <f t="shared" si="128"/>
        <v>Error?</v>
      </c>
      <c r="E7816" s="4" t="s">
        <v>1904</v>
      </c>
    </row>
    <row r="7817" spans="1:5" x14ac:dyDescent="0.2">
      <c r="A7817">
        <v>7756</v>
      </c>
      <c r="B7817" s="1831">
        <f>'Short-Term Long-Term Debt 24'!C49</f>
        <v>0</v>
      </c>
      <c r="D7817" s="2" t="str">
        <f t="shared" si="128"/>
        <v>Error?</v>
      </c>
      <c r="E7817" s="4" t="s">
        <v>1968</v>
      </c>
    </row>
    <row r="7818" spans="1:5" x14ac:dyDescent="0.2">
      <c r="A7818">
        <v>7757</v>
      </c>
      <c r="B7818" s="1831">
        <f>'PCTC-OEPP 27-28'!F172</f>
        <v>1500328</v>
      </c>
      <c r="D7818" s="2" t="str">
        <f t="shared" si="128"/>
        <v>Error?</v>
      </c>
      <c r="E7818" s="4" t="s">
        <v>1982</v>
      </c>
    </row>
    <row r="7819" spans="1:5" x14ac:dyDescent="0.2">
      <c r="A7819">
        <v>7758</v>
      </c>
      <c r="B7819" s="1831">
        <f>'PCTC-OEPP 27-28'!F173</f>
        <v>14444</v>
      </c>
      <c r="D7819" s="2" t="str">
        <f t="shared" si="128"/>
        <v>Error?</v>
      </c>
      <c r="E7819" s="4" t="s">
        <v>1982</v>
      </c>
    </row>
    <row r="7820" spans="1:5" x14ac:dyDescent="0.2">
      <c r="A7820">
        <v>7759</v>
      </c>
      <c r="B7820" s="1831">
        <f>'ICR Computation 30'!E40</f>
        <v>-184883.93</v>
      </c>
      <c r="D7820" s="2" t="str">
        <f t="shared" si="128"/>
        <v>Error?</v>
      </c>
    </row>
    <row r="7821" spans="1:5" x14ac:dyDescent="0.2">
      <c r="A7821">
        <v>7760</v>
      </c>
      <c r="B7821" s="1831">
        <f>'ICR Computation 30'!G40</f>
        <v>-184883.93</v>
      </c>
      <c r="D7821" s="2" t="str">
        <f t="shared" si="128"/>
        <v>Error?</v>
      </c>
    </row>
    <row r="7822" spans="1:5" x14ac:dyDescent="0.2">
      <c r="A7822" s="1">
        <v>7761</v>
      </c>
      <c r="B7822" s="1831">
        <f>'PCTC-OEPP 27-28'!F14</f>
        <v>53095441</v>
      </c>
      <c r="D7822" s="4" t="s">
        <v>1999</v>
      </c>
      <c r="E7822" s="4" t="s">
        <v>2000</v>
      </c>
    </row>
    <row r="7823" spans="1:5" x14ac:dyDescent="0.2">
      <c r="A7823" s="1">
        <v>7762</v>
      </c>
      <c r="B7823" s="1831">
        <f>'PCTC-OEPP 27-28'!F30</f>
        <v>0</v>
      </c>
      <c r="D7823" s="4" t="s">
        <v>1999</v>
      </c>
      <c r="E7823" s="4" t="s">
        <v>2000</v>
      </c>
    </row>
    <row r="7824" spans="1:5" x14ac:dyDescent="0.2">
      <c r="A7824" s="1">
        <v>7763</v>
      </c>
      <c r="B7824" s="1831">
        <f>'PCTC-OEPP 27-28'!F31</f>
        <v>0</v>
      </c>
      <c r="D7824" s="4" t="s">
        <v>1999</v>
      </c>
      <c r="E7824" s="4" t="s">
        <v>2000</v>
      </c>
    </row>
    <row r="7825" spans="1:5" x14ac:dyDescent="0.2">
      <c r="A7825" s="1">
        <v>7764</v>
      </c>
      <c r="B7825" s="1831">
        <f>'PCTC-OEPP 27-28'!F32</f>
        <v>0</v>
      </c>
      <c r="D7825" s="2" t="str">
        <f t="shared" ref="D7825:D7887" si="129">IF(ISBLANK(B7825),"OK",IF(A7825-B7825=0,"OK","Error?"))</f>
        <v>Error?</v>
      </c>
      <c r="E7825" s="4" t="s">
        <v>2000</v>
      </c>
    </row>
    <row r="7826" spans="1:5" x14ac:dyDescent="0.2">
      <c r="A7826">
        <v>7765</v>
      </c>
      <c r="B7826" s="1831">
        <f>'PCTC-OEPP 27-28'!F34</f>
        <v>0</v>
      </c>
      <c r="D7826" s="2" t="str">
        <f t="shared" si="129"/>
        <v>Error?</v>
      </c>
      <c r="E7826" s="4" t="s">
        <v>2000</v>
      </c>
    </row>
    <row r="7827" spans="1:5" x14ac:dyDescent="0.2">
      <c r="A7827">
        <v>7766</v>
      </c>
      <c r="B7827" s="1831">
        <f>'PCTC-OEPP 27-28'!F35</f>
        <v>0</v>
      </c>
      <c r="D7827" s="2" t="str">
        <f t="shared" si="129"/>
        <v>Error?</v>
      </c>
      <c r="E7827" s="4" t="s">
        <v>2000</v>
      </c>
    </row>
    <row r="7828" spans="1:5" x14ac:dyDescent="0.2">
      <c r="A7828">
        <v>7767</v>
      </c>
      <c r="B7828" s="1831">
        <f>'PCTC-OEPP 27-28'!F36</f>
        <v>0</v>
      </c>
      <c r="D7828" s="2" t="str">
        <f t="shared" si="129"/>
        <v>Error?</v>
      </c>
      <c r="E7828" s="4" t="s">
        <v>2000</v>
      </c>
    </row>
    <row r="7829" spans="1:5" x14ac:dyDescent="0.2">
      <c r="A7829">
        <v>7768</v>
      </c>
      <c r="B7829" s="1831">
        <f>'PCTC-OEPP 27-28'!F37</f>
        <v>0</v>
      </c>
      <c r="D7829" s="2" t="str">
        <f t="shared" si="129"/>
        <v>Error?</v>
      </c>
      <c r="E7829" s="4" t="s">
        <v>2000</v>
      </c>
    </row>
    <row r="7830" spans="1:5" x14ac:dyDescent="0.2">
      <c r="A7830">
        <v>7769</v>
      </c>
      <c r="B7830" s="1831">
        <f>'PCTC-OEPP 27-28'!F38</f>
        <v>119168</v>
      </c>
      <c r="D7830" s="2" t="str">
        <f t="shared" si="129"/>
        <v>Error?</v>
      </c>
      <c r="E7830" s="4" t="s">
        <v>2000</v>
      </c>
    </row>
    <row r="7831" spans="1:5" x14ac:dyDescent="0.2">
      <c r="A7831">
        <v>7770</v>
      </c>
      <c r="B7831" s="1831">
        <f>'PCTC-OEPP 27-28'!F52</f>
        <v>111337</v>
      </c>
      <c r="D7831" s="2" t="str">
        <f t="shared" si="129"/>
        <v>Error?</v>
      </c>
      <c r="E7831" s="4" t="s">
        <v>2000</v>
      </c>
    </row>
    <row r="7832" spans="1:5" x14ac:dyDescent="0.2">
      <c r="A7832">
        <v>7771</v>
      </c>
      <c r="B7832" s="1831">
        <f>'PCTC-OEPP 27-28'!F56</f>
        <v>0</v>
      </c>
      <c r="D7832" s="2" t="str">
        <f t="shared" si="129"/>
        <v>Error?</v>
      </c>
      <c r="E7832" s="4" t="s">
        <v>2000</v>
      </c>
    </row>
    <row r="7833" spans="1:5" x14ac:dyDescent="0.2">
      <c r="A7833">
        <v>7772</v>
      </c>
      <c r="B7833" s="1831">
        <f>'PCTC-OEPP 27-28'!F62</f>
        <v>0</v>
      </c>
      <c r="D7833" s="2" t="str">
        <f t="shared" si="129"/>
        <v>Error?</v>
      </c>
      <c r="E7833" s="4" t="s">
        <v>2000</v>
      </c>
    </row>
    <row r="7834" spans="1:5" x14ac:dyDescent="0.2">
      <c r="A7834">
        <v>7773</v>
      </c>
      <c r="B7834" s="1831">
        <f>'PCTC-OEPP 27-28'!F77</f>
        <v>10999210</v>
      </c>
      <c r="D7834" s="2" t="str">
        <f t="shared" si="129"/>
        <v>Error?</v>
      </c>
      <c r="E7834" s="4" t="s">
        <v>2000</v>
      </c>
    </row>
    <row r="7835" spans="1:5" x14ac:dyDescent="0.2">
      <c r="A7835">
        <v>7774</v>
      </c>
      <c r="B7835" s="1831">
        <f>'PCTC-OEPP 27-28'!F78</f>
        <v>42096231</v>
      </c>
      <c r="D7835" s="2" t="str">
        <f t="shared" si="129"/>
        <v>Error?</v>
      </c>
      <c r="E7835" s="4" t="s">
        <v>2000</v>
      </c>
    </row>
    <row r="7836" spans="1:5" x14ac:dyDescent="0.2">
      <c r="A7836" s="126">
        <v>7775</v>
      </c>
      <c r="B7836" s="1831"/>
      <c r="D7836" s="2" t="str">
        <f t="shared" si="129"/>
        <v>OK</v>
      </c>
      <c r="E7836" s="4" t="s">
        <v>2002</v>
      </c>
    </row>
    <row r="7837" spans="1:5" x14ac:dyDescent="0.2">
      <c r="A7837">
        <v>7776</v>
      </c>
      <c r="B7837" s="1831">
        <f>'PCTC-OEPP 27-28'!F80</f>
        <v>11864.443223133509</v>
      </c>
      <c r="D7837" s="2" t="str">
        <f t="shared" si="129"/>
        <v>Error?</v>
      </c>
      <c r="E7837" s="4" t="s">
        <v>2000</v>
      </c>
    </row>
    <row r="7838" spans="1:5" x14ac:dyDescent="0.2">
      <c r="A7838">
        <v>7777</v>
      </c>
      <c r="B7838" s="1831">
        <f>'PCTC-OEPP 27-28'!F96</f>
        <v>23664</v>
      </c>
      <c r="D7838" s="2" t="str">
        <f t="shared" si="129"/>
        <v>Error?</v>
      </c>
      <c r="E7838" s="4" t="s">
        <v>2000</v>
      </c>
    </row>
    <row r="7839" spans="1:5" x14ac:dyDescent="0.2">
      <c r="A7839">
        <v>7778</v>
      </c>
      <c r="B7839" s="1831">
        <f>'PCTC-OEPP 27-28'!F102</f>
        <v>4100</v>
      </c>
      <c r="D7839" s="2" t="str">
        <f t="shared" si="129"/>
        <v>Error?</v>
      </c>
      <c r="E7839" s="4" t="s">
        <v>2000</v>
      </c>
    </row>
    <row r="7840" spans="1:5" x14ac:dyDescent="0.2">
      <c r="A7840">
        <v>7779</v>
      </c>
      <c r="B7840" s="1831">
        <f>'PCTC-OEPP 27-28'!F103</f>
        <v>0</v>
      </c>
      <c r="D7840" s="2" t="str">
        <f t="shared" si="129"/>
        <v>Error?</v>
      </c>
      <c r="E7840" s="4" t="s">
        <v>2000</v>
      </c>
    </row>
    <row r="7841" spans="1:5" x14ac:dyDescent="0.2">
      <c r="A7841">
        <v>7780</v>
      </c>
      <c r="B7841" s="1831">
        <f>'PCTC-OEPP 27-28'!F104</f>
        <v>0</v>
      </c>
      <c r="D7841" s="2" t="str">
        <f t="shared" si="129"/>
        <v>Error?</v>
      </c>
      <c r="E7841" s="4" t="s">
        <v>2000</v>
      </c>
    </row>
    <row r="7842" spans="1:5" x14ac:dyDescent="0.2">
      <c r="A7842">
        <v>7781</v>
      </c>
      <c r="B7842" s="1831">
        <f>'PCTC-OEPP 27-28'!F106</f>
        <v>270741</v>
      </c>
      <c r="D7842" s="2" t="str">
        <f t="shared" si="129"/>
        <v>Error?</v>
      </c>
      <c r="E7842" s="4" t="s">
        <v>2000</v>
      </c>
    </row>
    <row r="7843" spans="1:5" x14ac:dyDescent="0.2">
      <c r="A7843">
        <v>7782</v>
      </c>
      <c r="B7843" s="1831">
        <f>'PCTC-OEPP 27-28'!F107</f>
        <v>0</v>
      </c>
      <c r="D7843" s="2" t="str">
        <f t="shared" si="129"/>
        <v>Error?</v>
      </c>
      <c r="E7843" s="4" t="s">
        <v>2000</v>
      </c>
    </row>
    <row r="7844" spans="1:5" x14ac:dyDescent="0.2">
      <c r="A7844">
        <v>7783</v>
      </c>
      <c r="B7844" s="1831">
        <f>'PCTC-OEPP 27-28'!F108</f>
        <v>0</v>
      </c>
      <c r="D7844" s="2" t="str">
        <f t="shared" si="129"/>
        <v>Error?</v>
      </c>
      <c r="E7844" s="4" t="s">
        <v>2000</v>
      </c>
    </row>
    <row r="7845" spans="1:5" x14ac:dyDescent="0.2">
      <c r="A7845">
        <v>7784</v>
      </c>
      <c r="B7845" s="1831">
        <f>'PCTC-OEPP 27-28'!F110</f>
        <v>0</v>
      </c>
      <c r="D7845" s="2" t="str">
        <f t="shared" si="129"/>
        <v>Error?</v>
      </c>
      <c r="E7845" s="4" t="s">
        <v>2000</v>
      </c>
    </row>
    <row r="7846" spans="1:5" x14ac:dyDescent="0.2">
      <c r="A7846">
        <v>7785</v>
      </c>
      <c r="B7846" s="1831">
        <f>'PCTC-OEPP 27-28'!F111</f>
        <v>0</v>
      </c>
      <c r="D7846" s="2" t="str">
        <f t="shared" si="129"/>
        <v>Error?</v>
      </c>
      <c r="E7846" s="4" t="s">
        <v>2000</v>
      </c>
    </row>
    <row r="7847" spans="1:5" x14ac:dyDescent="0.2">
      <c r="A7847">
        <v>7786</v>
      </c>
      <c r="B7847" s="1831">
        <f>'PCTC-OEPP 27-28'!F112</f>
        <v>1100298</v>
      </c>
      <c r="D7847" s="2" t="str">
        <f t="shared" si="129"/>
        <v>Error?</v>
      </c>
      <c r="E7847" s="4" t="s">
        <v>2000</v>
      </c>
    </row>
    <row r="7848" spans="1:5" x14ac:dyDescent="0.2">
      <c r="A7848">
        <v>7787</v>
      </c>
      <c r="B7848" s="1831">
        <f>'PCTC-OEPP 27-28'!F114</f>
        <v>0</v>
      </c>
      <c r="D7848" s="2" t="str">
        <f t="shared" si="129"/>
        <v>Error?</v>
      </c>
      <c r="E7848" s="4" t="s">
        <v>2000</v>
      </c>
    </row>
    <row r="7849" spans="1:5" x14ac:dyDescent="0.2">
      <c r="A7849">
        <v>7788</v>
      </c>
      <c r="B7849" s="1831">
        <f>'PCTC-OEPP 27-28'!F115</f>
        <v>0</v>
      </c>
      <c r="D7849" s="2" t="str">
        <f t="shared" si="129"/>
        <v>Error?</v>
      </c>
      <c r="E7849" s="4" t="s">
        <v>2000</v>
      </c>
    </row>
    <row r="7850" spans="1:5" x14ac:dyDescent="0.2">
      <c r="A7850">
        <v>7789</v>
      </c>
      <c r="B7850" s="1831">
        <f>'PCTC-OEPP 27-28'!F116</f>
        <v>0</v>
      </c>
      <c r="D7850" s="2" t="str">
        <f t="shared" si="129"/>
        <v>Error?</v>
      </c>
      <c r="E7850" s="4" t="s">
        <v>2000</v>
      </c>
    </row>
    <row r="7851" spans="1:5" x14ac:dyDescent="0.2">
      <c r="A7851">
        <v>7790</v>
      </c>
      <c r="B7851" s="1831">
        <f>'PCTC-OEPP 27-28'!F117</f>
        <v>0</v>
      </c>
      <c r="D7851" s="2" t="str">
        <f t="shared" si="129"/>
        <v>Error?</v>
      </c>
      <c r="E7851" s="4" t="s">
        <v>2000</v>
      </c>
    </row>
    <row r="7852" spans="1:5" x14ac:dyDescent="0.2">
      <c r="A7852">
        <v>7791</v>
      </c>
      <c r="B7852" s="1831">
        <f>'PCTC-OEPP 27-28'!F118</f>
        <v>0</v>
      </c>
      <c r="D7852" s="2" t="str">
        <f t="shared" si="129"/>
        <v>Error?</v>
      </c>
      <c r="E7852" s="4" t="s">
        <v>2000</v>
      </c>
    </row>
    <row r="7853" spans="1:5" x14ac:dyDescent="0.2">
      <c r="A7853">
        <v>7792</v>
      </c>
      <c r="B7853" s="1831">
        <f>'PCTC-OEPP 27-28'!F119</f>
        <v>0</v>
      </c>
      <c r="D7853" s="2" t="str">
        <f t="shared" si="129"/>
        <v>Error?</v>
      </c>
      <c r="E7853" s="4" t="s">
        <v>2000</v>
      </c>
    </row>
    <row r="7854" spans="1:5" x14ac:dyDescent="0.2">
      <c r="A7854">
        <v>7793</v>
      </c>
      <c r="B7854" s="1831">
        <f>'PCTC-OEPP 27-28'!F120</f>
        <v>0</v>
      </c>
      <c r="D7854" s="2" t="str">
        <f t="shared" si="129"/>
        <v>Error?</v>
      </c>
      <c r="E7854" s="4" t="s">
        <v>2000</v>
      </c>
    </row>
    <row r="7855" spans="1:5" x14ac:dyDescent="0.2">
      <c r="A7855">
        <v>7794</v>
      </c>
      <c r="B7855" s="1831">
        <f>'PCTC-OEPP 27-28'!F122</f>
        <v>0</v>
      </c>
      <c r="D7855" s="2" t="str">
        <f t="shared" si="129"/>
        <v>Error?</v>
      </c>
      <c r="E7855" s="4" t="s">
        <v>2000</v>
      </c>
    </row>
    <row r="7856" spans="1:5" x14ac:dyDescent="0.2">
      <c r="A7856">
        <v>7795</v>
      </c>
      <c r="B7856" s="1831">
        <f>'PCTC-OEPP 27-28'!F124</f>
        <v>0</v>
      </c>
      <c r="D7856" s="2" t="str">
        <f t="shared" si="129"/>
        <v>Error?</v>
      </c>
      <c r="E7856" s="4" t="s">
        <v>2000</v>
      </c>
    </row>
    <row r="7857" spans="1:5" x14ac:dyDescent="0.2">
      <c r="A7857">
        <v>7796</v>
      </c>
      <c r="B7857" s="1831">
        <f>'PCTC-OEPP 27-28'!F125</f>
        <v>0</v>
      </c>
      <c r="D7857" s="2" t="str">
        <f t="shared" si="129"/>
        <v>Error?</v>
      </c>
      <c r="E7857" s="4" t="s">
        <v>2000</v>
      </c>
    </row>
    <row r="7858" spans="1:5" x14ac:dyDescent="0.2">
      <c r="A7858">
        <v>7797</v>
      </c>
      <c r="B7858" s="1831">
        <f>'PCTC-OEPP 27-28'!F126</f>
        <v>46214</v>
      </c>
      <c r="D7858" s="2" t="str">
        <f t="shared" si="129"/>
        <v>Error?</v>
      </c>
      <c r="E7858" s="4" t="s">
        <v>2000</v>
      </c>
    </row>
    <row r="7859" spans="1:5" x14ac:dyDescent="0.2">
      <c r="A7859">
        <v>7798</v>
      </c>
      <c r="B7859" s="1831">
        <f>'PCTC-OEPP 27-28'!F127</f>
        <v>586020</v>
      </c>
      <c r="D7859" s="2" t="str">
        <f t="shared" si="129"/>
        <v>Error?</v>
      </c>
      <c r="E7859" s="4" t="s">
        <v>2000</v>
      </c>
    </row>
    <row r="7860" spans="1:5" x14ac:dyDescent="0.2">
      <c r="A7860">
        <v>7799</v>
      </c>
      <c r="B7860" s="1831">
        <f>'PCTC-OEPP 27-28'!F128</f>
        <v>39955</v>
      </c>
      <c r="D7860" s="2" t="str">
        <f t="shared" si="129"/>
        <v>Error?</v>
      </c>
      <c r="E7860" s="4" t="s">
        <v>2000</v>
      </c>
    </row>
    <row r="7861" spans="1:5" x14ac:dyDescent="0.2">
      <c r="A7861">
        <v>7800</v>
      </c>
      <c r="B7861" s="1831">
        <f>'PCTC-OEPP 27-28'!F129</f>
        <v>1020221</v>
      </c>
      <c r="D7861" s="2" t="str">
        <f t="shared" si="129"/>
        <v>Error?</v>
      </c>
      <c r="E7861" s="4" t="s">
        <v>2000</v>
      </c>
    </row>
    <row r="7862" spans="1:5" x14ac:dyDescent="0.2">
      <c r="A7862">
        <v>7801</v>
      </c>
      <c r="B7862" s="1831">
        <f>'PCTC-OEPP 27-28'!F130</f>
        <v>8531</v>
      </c>
      <c r="D7862" s="2" t="str">
        <f t="shared" si="129"/>
        <v>Error?</v>
      </c>
      <c r="E7862" s="4" t="s">
        <v>2000</v>
      </c>
    </row>
    <row r="7863" spans="1:5" x14ac:dyDescent="0.2">
      <c r="A7863">
        <v>7802</v>
      </c>
      <c r="B7863" s="1831">
        <f>'PCTC-OEPP 27-28'!F131</f>
        <v>0</v>
      </c>
      <c r="D7863" s="2" t="str">
        <f t="shared" si="129"/>
        <v>Error?</v>
      </c>
      <c r="E7863" s="4" t="s">
        <v>2000</v>
      </c>
    </row>
    <row r="7864" spans="1:5" x14ac:dyDescent="0.2">
      <c r="A7864">
        <v>7803</v>
      </c>
      <c r="B7864" s="1831">
        <f>'PCTC-OEPP 27-28'!F132</f>
        <v>0</v>
      </c>
      <c r="D7864" s="2" t="str">
        <f t="shared" si="129"/>
        <v>Error?</v>
      </c>
      <c r="E7864" s="4" t="s">
        <v>2000</v>
      </c>
    </row>
    <row r="7865" spans="1:5" x14ac:dyDescent="0.2">
      <c r="A7865">
        <v>7804</v>
      </c>
      <c r="B7865" s="1831">
        <f>'PCTC-OEPP 27-28'!F133</f>
        <v>0</v>
      </c>
      <c r="D7865" s="2" t="str">
        <f t="shared" si="129"/>
        <v>Error?</v>
      </c>
      <c r="E7865" s="4" t="s">
        <v>2000</v>
      </c>
    </row>
    <row r="7866" spans="1:5" x14ac:dyDescent="0.2">
      <c r="A7866">
        <v>7805</v>
      </c>
      <c r="B7866" s="1831">
        <f>'PCTC-OEPP 27-28'!F158</f>
        <v>0</v>
      </c>
      <c r="D7866" s="2" t="str">
        <f t="shared" si="129"/>
        <v>Error?</v>
      </c>
      <c r="E7866" s="4" t="s">
        <v>2000</v>
      </c>
    </row>
    <row r="7867" spans="1:5" x14ac:dyDescent="0.2">
      <c r="A7867">
        <v>7806</v>
      </c>
      <c r="B7867" s="1831">
        <f>'PCTC-OEPP 27-28'!F160</f>
        <v>0</v>
      </c>
      <c r="D7867" s="2" t="str">
        <f t="shared" si="129"/>
        <v>Error?</v>
      </c>
      <c r="E7867" s="4" t="s">
        <v>2000</v>
      </c>
    </row>
    <row r="7868" spans="1:5" x14ac:dyDescent="0.2">
      <c r="A7868">
        <v>7807</v>
      </c>
      <c r="B7868" s="1831">
        <f>'PCTC-OEPP 27-28'!F161</f>
        <v>0</v>
      </c>
      <c r="D7868" s="2" t="str">
        <f t="shared" si="129"/>
        <v>Error?</v>
      </c>
      <c r="E7868" s="4" t="s">
        <v>2000</v>
      </c>
    </row>
    <row r="7869" spans="1:5" x14ac:dyDescent="0.2">
      <c r="A7869">
        <v>7808</v>
      </c>
      <c r="B7869" s="1831">
        <f>'PCTC-OEPP 27-28'!F162</f>
        <v>20659</v>
      </c>
      <c r="D7869" s="2" t="str">
        <f t="shared" si="129"/>
        <v>Error?</v>
      </c>
      <c r="E7869" s="4" t="s">
        <v>2000</v>
      </c>
    </row>
    <row r="7870" spans="1:5" x14ac:dyDescent="0.2">
      <c r="A7870">
        <v>7809</v>
      </c>
      <c r="B7870" s="1831">
        <f>'PCTC-OEPP 27-28'!F163</f>
        <v>0</v>
      </c>
      <c r="D7870" s="2" t="str">
        <f t="shared" si="129"/>
        <v>Error?</v>
      </c>
      <c r="E7870" s="4" t="s">
        <v>2000</v>
      </c>
    </row>
    <row r="7871" spans="1:5" x14ac:dyDescent="0.2">
      <c r="A7871">
        <v>7810</v>
      </c>
      <c r="B7871" s="1831">
        <f>'PCTC-OEPP 27-28'!F164</f>
        <v>0</v>
      </c>
      <c r="D7871" s="2" t="str">
        <f t="shared" si="129"/>
        <v>Error?</v>
      </c>
      <c r="E7871" s="4" t="s">
        <v>2000</v>
      </c>
    </row>
    <row r="7872" spans="1:5" x14ac:dyDescent="0.2">
      <c r="A7872">
        <v>7811</v>
      </c>
      <c r="B7872" s="1831">
        <f>'PCTC-OEPP 27-28'!F165</f>
        <v>0</v>
      </c>
      <c r="D7872" s="2" t="str">
        <f t="shared" si="129"/>
        <v>Error?</v>
      </c>
      <c r="E7872" s="4" t="s">
        <v>2000</v>
      </c>
    </row>
    <row r="7873" spans="1:5" x14ac:dyDescent="0.2">
      <c r="A7873">
        <v>7812</v>
      </c>
      <c r="B7873" s="1831">
        <f>'PCTC-OEPP 27-28'!F166</f>
        <v>0</v>
      </c>
      <c r="D7873" s="2" t="str">
        <f t="shared" si="129"/>
        <v>Error?</v>
      </c>
      <c r="E7873" s="4" t="s">
        <v>2000</v>
      </c>
    </row>
    <row r="7874" spans="1:5" x14ac:dyDescent="0.2">
      <c r="A7874">
        <v>7813</v>
      </c>
      <c r="B7874" s="1831">
        <f>'PCTC-OEPP 27-28'!F169</f>
        <v>73924</v>
      </c>
      <c r="D7874" s="2" t="str">
        <f t="shared" si="129"/>
        <v>Error?</v>
      </c>
      <c r="E7874" s="4" t="s">
        <v>2000</v>
      </c>
    </row>
    <row r="7875" spans="1:5" x14ac:dyDescent="0.2">
      <c r="A7875">
        <v>7814</v>
      </c>
      <c r="B7875" s="1831">
        <f>'PCTC-OEPP 27-28'!F170</f>
        <v>177205</v>
      </c>
      <c r="D7875" s="2" t="str">
        <f t="shared" si="129"/>
        <v>Error?</v>
      </c>
      <c r="E7875" s="4" t="s">
        <v>2000</v>
      </c>
    </row>
    <row r="7876" spans="1:5" x14ac:dyDescent="0.2">
      <c r="A7876">
        <v>7815</v>
      </c>
      <c r="B7876" s="1831">
        <f>'PCTC-OEPP 27-28'!F171</f>
        <v>276734</v>
      </c>
      <c r="D7876" s="2" t="str">
        <f t="shared" si="129"/>
        <v>Error?</v>
      </c>
      <c r="E7876" s="4" t="s">
        <v>2000</v>
      </c>
    </row>
    <row r="7877" spans="1:5" x14ac:dyDescent="0.2">
      <c r="A7877">
        <v>7816</v>
      </c>
      <c r="B7877" s="1831">
        <f>'PCTC-OEPP 27-28'!F175</f>
        <v>5788739</v>
      </c>
      <c r="D7877" s="2" t="str">
        <f t="shared" si="129"/>
        <v>Error?</v>
      </c>
      <c r="E7877" s="4" t="s">
        <v>2000</v>
      </c>
    </row>
    <row r="7878" spans="1:5" x14ac:dyDescent="0.2">
      <c r="A7878">
        <v>7817</v>
      </c>
      <c r="B7878" s="1831">
        <f>'PCTC-OEPP 27-28'!F176</f>
        <v>36307492</v>
      </c>
      <c r="D7878" s="2" t="str">
        <f t="shared" si="129"/>
        <v>Error?</v>
      </c>
      <c r="E7878" s="4" t="s">
        <v>2000</v>
      </c>
    </row>
    <row r="7879" spans="1:5" x14ac:dyDescent="0.2">
      <c r="A7879">
        <v>7818</v>
      </c>
      <c r="B7879" s="1831">
        <f>'PCTC-OEPP 27-28'!F178</f>
        <v>40209700</v>
      </c>
      <c r="D7879" s="2" t="str">
        <f t="shared" si="129"/>
        <v>Error?</v>
      </c>
      <c r="E7879" s="4" t="s">
        <v>2000</v>
      </c>
    </row>
    <row r="7880" spans="1:5" x14ac:dyDescent="0.2">
      <c r="A7880">
        <v>7819</v>
      </c>
      <c r="B7880" s="1831">
        <f>'PCTC-OEPP 27-28'!F180</f>
        <v>11332.74146726417</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42" sqref="B4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765" t="s">
        <v>1183</v>
      </c>
      <c r="B2" s="2765"/>
      <c r="C2" s="2765"/>
      <c r="D2" s="2765"/>
      <c r="E2" s="2765"/>
      <c r="F2" s="2765"/>
      <c r="G2" s="2765"/>
      <c r="H2" s="2765"/>
      <c r="I2" s="2765"/>
      <c r="J2" s="2765"/>
      <c r="K2" s="2765"/>
      <c r="L2" s="2765"/>
    </row>
    <row r="3" spans="1:29" ht="13.5" customHeight="1" x14ac:dyDescent="0.2">
      <c r="A3" s="2751" t="s">
        <v>1182</v>
      </c>
      <c r="B3" s="2751"/>
      <c r="C3" s="2751"/>
      <c r="D3" s="2751"/>
      <c r="E3" s="2751"/>
      <c r="F3" s="2751"/>
      <c r="G3" s="2751"/>
      <c r="H3" s="2751"/>
      <c r="I3" s="2751"/>
      <c r="J3" s="2751"/>
      <c r="K3" s="2751"/>
      <c r="L3" s="2751"/>
    </row>
    <row r="4" spans="1:29" ht="13.5" customHeight="1" x14ac:dyDescent="0.2">
      <c r="A4" s="2782" t="str">
        <f>"Year Ending June 30, "&amp;'AFR20'!E2</f>
        <v>Year Ending June 30, 2020</v>
      </c>
      <c r="B4" s="2783"/>
      <c r="C4" s="2783"/>
      <c r="D4" s="2783"/>
      <c r="E4" s="2783"/>
      <c r="F4" s="2783"/>
      <c r="G4" s="2783"/>
      <c r="H4" s="2783"/>
      <c r="I4" s="2783"/>
      <c r="J4" s="2783"/>
      <c r="K4" s="2783"/>
      <c r="L4" s="278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745" t="str">
        <f>COVER!A17</f>
        <v xml:space="preserve"> Kirby SD 140</v>
      </c>
      <c r="B7" s="2746"/>
      <c r="C7" s="2746"/>
      <c r="D7" s="2784"/>
      <c r="E7" s="2785">
        <f>COVER!A13</f>
        <v>7016140002</v>
      </c>
      <c r="F7" s="2786"/>
      <c r="G7" s="2752" t="str">
        <f>COVER!T23</f>
        <v>066-003328</v>
      </c>
      <c r="H7" s="2753"/>
      <c r="I7" s="2753"/>
      <c r="J7" s="2753"/>
      <c r="K7" s="2753"/>
      <c r="L7" s="2754"/>
    </row>
    <row r="8" spans="1:29" ht="13.5" customHeight="1" x14ac:dyDescent="0.2">
      <c r="A8" s="963" t="s">
        <v>1503</v>
      </c>
      <c r="B8" s="964"/>
      <c r="C8" s="965"/>
      <c r="D8" s="965"/>
      <c r="E8" s="970"/>
      <c r="F8" s="969"/>
      <c r="G8" s="971" t="s">
        <v>1178</v>
      </c>
      <c r="H8" s="972"/>
      <c r="I8" s="972"/>
      <c r="J8" s="972"/>
      <c r="K8" s="972"/>
      <c r="L8" s="973"/>
    </row>
    <row r="9" spans="1:29" ht="13.5" customHeight="1" x14ac:dyDescent="0.2">
      <c r="A9" s="2755"/>
      <c r="B9" s="2756"/>
      <c r="C9" s="2756"/>
      <c r="D9" s="2756"/>
      <c r="E9" s="2756"/>
      <c r="F9" s="2757"/>
      <c r="G9" s="2758" t="str">
        <f>COVER!T13</f>
        <v>MUELLER &amp; CO., LLP</v>
      </c>
      <c r="H9" s="2759"/>
      <c r="I9" s="2759"/>
      <c r="J9" s="2759"/>
      <c r="K9" s="2759"/>
      <c r="L9" s="2760"/>
    </row>
    <row r="10" spans="1:29" ht="13.5" customHeight="1" x14ac:dyDescent="0.2">
      <c r="A10" s="2742" t="str">
        <f>COVER!A38</f>
        <v>Dr. Shawn Olson</v>
      </c>
      <c r="B10" s="2743"/>
      <c r="C10" s="2743"/>
      <c r="D10" s="2743"/>
      <c r="E10" s="2743"/>
      <c r="F10" s="2744"/>
      <c r="G10" s="2758" t="str">
        <f>COVER!T17</f>
        <v>14300 S. RAVINIA AVE. STE. 200</v>
      </c>
      <c r="H10" s="2771"/>
      <c r="I10" s="2771"/>
      <c r="J10" s="2771"/>
      <c r="K10" s="2771"/>
      <c r="L10" s="2772"/>
    </row>
    <row r="11" spans="1:29" ht="13.5" customHeight="1" x14ac:dyDescent="0.2">
      <c r="A11" s="963" t="s">
        <v>1505</v>
      </c>
      <c r="B11" s="964"/>
      <c r="C11" s="965"/>
      <c r="D11" s="970"/>
      <c r="E11" s="965"/>
      <c r="F11" s="969"/>
      <c r="G11" s="2758" t="str">
        <f>COVER!T19</f>
        <v>ORLAND PARK</v>
      </c>
      <c r="H11" s="2771"/>
      <c r="I11" s="2771"/>
      <c r="J11" s="2771"/>
      <c r="K11" s="2771"/>
      <c r="L11" s="2772"/>
    </row>
    <row r="12" spans="1:29" ht="13.5" customHeight="1" x14ac:dyDescent="0.2">
      <c r="A12" s="2776" t="s">
        <v>1504</v>
      </c>
      <c r="B12" s="2777"/>
      <c r="C12" s="2777"/>
      <c r="D12" s="2777"/>
      <c r="E12" s="2777"/>
      <c r="F12" s="2778"/>
      <c r="G12" s="2773"/>
      <c r="H12" s="2774"/>
      <c r="I12" s="2774"/>
      <c r="J12" s="2774"/>
      <c r="K12" s="2774"/>
      <c r="L12" s="2775"/>
    </row>
    <row r="13" spans="1:29" ht="13.5" customHeight="1" x14ac:dyDescent="0.2">
      <c r="A13" s="2758"/>
      <c r="B13" s="2771"/>
      <c r="C13" s="2771"/>
      <c r="D13" s="2771"/>
      <c r="E13" s="2771"/>
      <c r="F13" s="2772"/>
      <c r="G13" s="2766" t="s">
        <v>1506</v>
      </c>
      <c r="H13" s="2767"/>
      <c r="I13" s="2779" t="str">
        <f>COVER!T25</f>
        <v>EMCCORMICK@MUELLERCPA.COM</v>
      </c>
      <c r="J13" s="2780"/>
      <c r="K13" s="2780"/>
      <c r="L13" s="2781"/>
    </row>
    <row r="14" spans="1:29" ht="13.5" customHeight="1" x14ac:dyDescent="0.2">
      <c r="A14" s="2758" t="str">
        <f>COVER!A19</f>
        <v>16931 S. GRISSOM DR.</v>
      </c>
      <c r="B14" s="2771"/>
      <c r="C14" s="2771"/>
      <c r="D14" s="2771"/>
      <c r="E14" s="2771"/>
      <c r="F14" s="2772"/>
      <c r="G14" s="974" t="s">
        <v>1177</v>
      </c>
      <c r="H14" s="972"/>
      <c r="I14" s="972"/>
      <c r="J14" s="972"/>
      <c r="K14" s="972"/>
      <c r="L14" s="973"/>
    </row>
    <row r="15" spans="1:29" ht="13.5" customHeight="1" x14ac:dyDescent="0.2">
      <c r="A15" s="2758" t="str">
        <f>COVER!A21</f>
        <v>TINLEY PARK</v>
      </c>
      <c r="B15" s="2771"/>
      <c r="C15" s="2771"/>
      <c r="D15" s="2771"/>
      <c r="E15" s="2771"/>
      <c r="F15" s="2772"/>
      <c r="G15" s="2768" t="str">
        <f>COVER!T15</f>
        <v>EDWARD MCCORMICK</v>
      </c>
      <c r="H15" s="2769"/>
      <c r="I15" s="2769"/>
      <c r="J15" s="2769"/>
      <c r="K15" s="2769"/>
      <c r="L15" s="2770"/>
    </row>
    <row r="16" spans="1:29" ht="12.2" customHeight="1" x14ac:dyDescent="0.2">
      <c r="A16" s="2748">
        <f>COVER!A25</f>
        <v>60477</v>
      </c>
      <c r="B16" s="2749"/>
      <c r="C16" s="2749"/>
      <c r="D16" s="2749"/>
      <c r="E16" s="2749"/>
      <c r="F16" s="2750"/>
      <c r="G16" s="2761"/>
      <c r="H16" s="2762"/>
      <c r="I16" s="2762"/>
      <c r="J16" s="2762"/>
      <c r="K16" s="2762"/>
      <c r="L16" s="2763"/>
    </row>
    <row r="17" spans="1:13" ht="12.2" customHeight="1" x14ac:dyDescent="0.2">
      <c r="A17" s="2764"/>
      <c r="B17" s="2749"/>
      <c r="C17" s="2749"/>
      <c r="D17" s="2749"/>
      <c r="E17" s="2749"/>
      <c r="F17" s="2750"/>
      <c r="G17" s="974" t="s">
        <v>1176</v>
      </c>
      <c r="H17" s="972"/>
      <c r="I17" s="972"/>
      <c r="J17" s="972"/>
      <c r="K17" s="976" t="s">
        <v>1175</v>
      </c>
      <c r="L17" s="969"/>
      <c r="M17" s="962"/>
    </row>
    <row r="18" spans="1:13" ht="12.2" customHeight="1" x14ac:dyDescent="0.2">
      <c r="A18" s="2742"/>
      <c r="B18" s="2743"/>
      <c r="C18" s="2743"/>
      <c r="D18" s="2743"/>
      <c r="E18" s="2743"/>
      <c r="F18" s="2744"/>
      <c r="G18" s="2745" t="str">
        <f>COVER!T21</f>
        <v>708-428-5305</v>
      </c>
      <c r="H18" s="2746"/>
      <c r="I18" s="2746"/>
      <c r="J18" s="2746"/>
      <c r="K18" s="2745" t="str">
        <f>COVER!X21</f>
        <v>708-349-6999</v>
      </c>
      <c r="L18" s="274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t="s">
        <v>2053</v>
      </c>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t="s">
        <v>2053</v>
      </c>
      <c r="C26" s="981" t="s">
        <v>1680</v>
      </c>
    </row>
    <row r="27" spans="1:13" s="977" customFormat="1" ht="9" customHeight="1" x14ac:dyDescent="0.2">
      <c r="B27" s="982"/>
      <c r="C27" s="981"/>
    </row>
    <row r="28" spans="1:13" s="977" customFormat="1" ht="12.2" customHeight="1" x14ac:dyDescent="0.2">
      <c r="A28" s="984"/>
      <c r="B28" s="980" t="s">
        <v>2053</v>
      </c>
      <c r="C28" s="981" t="s">
        <v>1681</v>
      </c>
    </row>
    <row r="29" spans="1:13" s="977" customFormat="1" ht="9" customHeight="1" x14ac:dyDescent="0.2">
      <c r="A29" s="984"/>
      <c r="B29" s="982"/>
      <c r="C29" s="981"/>
    </row>
    <row r="30" spans="1:13" s="977" customFormat="1" ht="12.2" customHeight="1" x14ac:dyDescent="0.2">
      <c r="B30" s="980" t="s">
        <v>2053</v>
      </c>
      <c r="C30" s="981" t="s">
        <v>1548</v>
      </c>
      <c r="D30" s="975"/>
      <c r="E30" s="975"/>
    </row>
    <row r="31" spans="1:13" s="977" customFormat="1" ht="9" customHeight="1" x14ac:dyDescent="0.2">
      <c r="B31" s="982"/>
      <c r="C31" s="981"/>
      <c r="D31" s="975"/>
      <c r="E31" s="975"/>
    </row>
    <row r="32" spans="1:13" s="977" customFormat="1" ht="12.2" customHeight="1" x14ac:dyDescent="0.2">
      <c r="B32" s="980" t="s">
        <v>2053</v>
      </c>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t="s">
        <v>2053</v>
      </c>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t="s">
        <v>2053</v>
      </c>
      <c r="C38" s="981" t="s">
        <v>1552</v>
      </c>
    </row>
    <row r="39" spans="1:8" ht="9" customHeight="1" x14ac:dyDescent="0.2">
      <c r="B39" s="982"/>
      <c r="C39" s="985"/>
    </row>
    <row r="40" spans="1:8" s="977" customFormat="1" ht="13.5" customHeight="1" x14ac:dyDescent="0.2">
      <c r="B40" s="980" t="s">
        <v>2053</v>
      </c>
      <c r="C40" s="981" t="s">
        <v>1553</v>
      </c>
    </row>
    <row r="41" spans="1:8" ht="9" customHeight="1" x14ac:dyDescent="0.2">
      <c r="A41" s="986"/>
      <c r="B41" s="982"/>
      <c r="C41" s="985"/>
    </row>
    <row r="42" spans="1:8" s="977" customFormat="1" ht="13.5" customHeight="1" x14ac:dyDescent="0.2">
      <c r="B42" s="980"/>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0"/>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24" sqref="B12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787" t="str">
        <f>'Single Audit Cover'!A7</f>
        <v xml:space="preserve"> Kirby SD 140</v>
      </c>
      <c r="B1" s="2788"/>
      <c r="C1" s="2788"/>
      <c r="D1" s="2788"/>
    </row>
    <row r="2" spans="1:11" s="991" customFormat="1" ht="12.75" x14ac:dyDescent="0.2">
      <c r="A2" s="2789">
        <f>'Single Audit Cover'!E7</f>
        <v>7016140002</v>
      </c>
      <c r="B2" s="2790"/>
      <c r="C2" s="2790"/>
      <c r="D2" s="2790"/>
    </row>
    <row r="3" spans="1:11" s="991" customFormat="1" ht="12.75" x14ac:dyDescent="0.2">
      <c r="A3" s="2787" t="s">
        <v>1499</v>
      </c>
      <c r="B3" s="2788"/>
      <c r="C3" s="2788"/>
      <c r="D3" s="2788"/>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t="s">
        <v>2053</v>
      </c>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2053</v>
      </c>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2053</v>
      </c>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2053</v>
      </c>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2053</v>
      </c>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2079</v>
      </c>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2053</v>
      </c>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t="s">
        <v>2053</v>
      </c>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t="s">
        <v>2053</v>
      </c>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t="s">
        <v>2079</v>
      </c>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t="s">
        <v>2079</v>
      </c>
      <c r="C42" s="1008">
        <v>11</v>
      </c>
      <c r="D42" s="1019" t="s">
        <v>1560</v>
      </c>
      <c r="E42" s="290"/>
    </row>
    <row r="43" spans="1:5" ht="3" customHeight="1" x14ac:dyDescent="0.2">
      <c r="A43" s="998"/>
      <c r="B43" s="1015"/>
      <c r="C43" s="1016"/>
      <c r="D43" s="997"/>
    </row>
    <row r="44" spans="1:5" x14ac:dyDescent="0.2">
      <c r="A44" s="998"/>
      <c r="B44" s="1001" t="s">
        <v>2079</v>
      </c>
      <c r="C44" s="1002">
        <f>C42+1</f>
        <v>12</v>
      </c>
      <c r="D44" s="1013" t="s">
        <v>1206</v>
      </c>
    </row>
    <row r="45" spans="1:5" ht="10.5" customHeight="1" x14ac:dyDescent="0.2">
      <c r="A45" s="998"/>
      <c r="B45" s="1014"/>
      <c r="C45" s="1002"/>
      <c r="D45" s="1013" t="s">
        <v>1971</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t="s">
        <v>2079</v>
      </c>
      <c r="C48" s="1002">
        <f>C44+1</f>
        <v>13</v>
      </c>
      <c r="D48" s="1013" t="s">
        <v>1561</v>
      </c>
    </row>
    <row r="49" spans="1:4" ht="3" customHeight="1" x14ac:dyDescent="0.2">
      <c r="A49" s="998"/>
      <c r="B49" s="1005"/>
      <c r="C49" s="1002"/>
      <c r="D49" s="1013"/>
    </row>
    <row r="50" spans="1:4" x14ac:dyDescent="0.2">
      <c r="A50" s="998"/>
      <c r="B50" s="1001" t="s">
        <v>2079</v>
      </c>
      <c r="C50" s="1002">
        <f>C48+1</f>
        <v>14</v>
      </c>
      <c r="D50" s="1013" t="s">
        <v>1204</v>
      </c>
    </row>
    <row r="51" spans="1:4" ht="3" customHeight="1" x14ac:dyDescent="0.2">
      <c r="A51" s="998"/>
      <c r="B51" s="1005"/>
      <c r="C51" s="1002"/>
      <c r="D51" s="1013"/>
    </row>
    <row r="52" spans="1:4" x14ac:dyDescent="0.2">
      <c r="A52" s="998"/>
      <c r="B52" s="1001" t="s">
        <v>2079</v>
      </c>
      <c r="C52" s="1002">
        <f>C50+1</f>
        <v>15</v>
      </c>
      <c r="D52" s="1013" t="s">
        <v>1203</v>
      </c>
    </row>
    <row r="53" spans="1:4" ht="3" customHeight="1" x14ac:dyDescent="0.2">
      <c r="A53" s="998"/>
      <c r="B53" s="1005"/>
      <c r="C53" s="1002"/>
      <c r="D53" s="1013"/>
    </row>
    <row r="54" spans="1:4" x14ac:dyDescent="0.2">
      <c r="A54" s="998"/>
      <c r="B54" s="1001" t="s">
        <v>2079</v>
      </c>
      <c r="C54" s="1002">
        <f>C52+1</f>
        <v>16</v>
      </c>
      <c r="D54" s="1013" t="s">
        <v>1202</v>
      </c>
    </row>
    <row r="55" spans="1:4" ht="3" customHeight="1" x14ac:dyDescent="0.2">
      <c r="A55" s="998"/>
      <c r="B55" s="1005"/>
      <c r="C55" s="1002"/>
      <c r="D55" s="1013"/>
    </row>
    <row r="56" spans="1:4" x14ac:dyDescent="0.2">
      <c r="A56" s="998"/>
      <c r="B56" s="1001" t="s">
        <v>2079</v>
      </c>
      <c r="C56" s="1002">
        <f>C54+1</f>
        <v>17</v>
      </c>
      <c r="D56" s="997" t="s">
        <v>1689</v>
      </c>
    </row>
    <row r="57" spans="1:4" ht="10.5" customHeight="1" x14ac:dyDescent="0.2">
      <c r="A57" s="998"/>
      <c r="D57" s="1013" t="s">
        <v>1690</v>
      </c>
    </row>
    <row r="58" spans="1:4" x14ac:dyDescent="0.2">
      <c r="A58" s="998"/>
      <c r="C58" s="1001" t="s">
        <v>2079</v>
      </c>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01" t="s">
        <v>2079</v>
      </c>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01" t="s">
        <v>2079</v>
      </c>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01" t="s">
        <v>2079</v>
      </c>
      <c r="D69" s="1013" t="s">
        <v>1694</v>
      </c>
    </row>
    <row r="70" spans="1:4" x14ac:dyDescent="0.2">
      <c r="A70" s="998"/>
      <c r="D70" s="1022" t="s">
        <v>1198</v>
      </c>
    </row>
    <row r="71" spans="1:4" ht="3" customHeight="1" x14ac:dyDescent="0.2">
      <c r="A71" s="998"/>
      <c r="D71" s="997"/>
    </row>
    <row r="72" spans="1:4" x14ac:dyDescent="0.2">
      <c r="A72" s="998"/>
      <c r="B72" s="1001" t="s">
        <v>2053</v>
      </c>
      <c r="C72" s="1002">
        <f>C56+1</f>
        <v>18</v>
      </c>
      <c r="D72" s="1023" t="s">
        <v>1695</v>
      </c>
    </row>
    <row r="73" spans="1:4" ht="3" customHeight="1" x14ac:dyDescent="0.2">
      <c r="A73" s="998"/>
      <c r="B73" s="1005"/>
      <c r="C73" s="1002"/>
      <c r="D73" s="1023"/>
    </row>
    <row r="74" spans="1:4" x14ac:dyDescent="0.2">
      <c r="A74" s="998"/>
      <c r="B74" s="1001" t="s">
        <v>2053</v>
      </c>
      <c r="C74" s="1002">
        <f>C72+1</f>
        <v>19</v>
      </c>
      <c r="D74" s="1013" t="s">
        <v>1197</v>
      </c>
    </row>
    <row r="75" spans="1:4" ht="3" customHeight="1" x14ac:dyDescent="0.2">
      <c r="A75" s="998"/>
      <c r="B75" s="1005"/>
      <c r="C75" s="1002"/>
      <c r="D75" s="1013"/>
    </row>
    <row r="76" spans="1:4" x14ac:dyDescent="0.2">
      <c r="A76" s="998"/>
      <c r="B76" s="1001" t="s">
        <v>2053</v>
      </c>
      <c r="C76" s="1002">
        <f>C74+1</f>
        <v>20</v>
      </c>
      <c r="D76" s="1024" t="s">
        <v>1696</v>
      </c>
    </row>
    <row r="77" spans="1:4" ht="3" customHeight="1" x14ac:dyDescent="0.2">
      <c r="A77" s="998"/>
      <c r="B77" s="1005"/>
      <c r="C77" s="1002"/>
      <c r="D77" s="1024"/>
    </row>
    <row r="78" spans="1:4" x14ac:dyDescent="0.2">
      <c r="A78" s="998"/>
      <c r="B78" s="1001" t="s">
        <v>2053</v>
      </c>
      <c r="C78" s="1002">
        <f>C76+1</f>
        <v>21</v>
      </c>
      <c r="D78" s="997" t="s">
        <v>1697</v>
      </c>
    </row>
    <row r="79" spans="1:4" ht="3" customHeight="1" x14ac:dyDescent="0.2">
      <c r="A79" s="998"/>
      <c r="B79" s="1005"/>
      <c r="C79" s="1002"/>
      <c r="D79" s="997"/>
    </row>
    <row r="80" spans="1:4" x14ac:dyDescent="0.2">
      <c r="A80" s="998"/>
      <c r="B80" s="1001" t="s">
        <v>2053</v>
      </c>
      <c r="C80" s="1002">
        <f>C78+1</f>
        <v>22</v>
      </c>
      <c r="D80" s="1025" t="s">
        <v>1698</v>
      </c>
    </row>
    <row r="81" spans="1:4" ht="3" customHeight="1" x14ac:dyDescent="0.2">
      <c r="A81" s="998"/>
      <c r="B81" s="1005"/>
      <c r="C81" s="1002"/>
      <c r="D81" s="1025"/>
    </row>
    <row r="82" spans="1:4" x14ac:dyDescent="0.2">
      <c r="A82" s="998"/>
      <c r="B82" s="1001" t="s">
        <v>2053</v>
      </c>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t="s">
        <v>2053</v>
      </c>
      <c r="C85" s="1002">
        <f>C82+1</f>
        <v>24</v>
      </c>
      <c r="D85" s="1013" t="s">
        <v>1195</v>
      </c>
    </row>
    <row r="86" spans="1:4" ht="3" customHeight="1" x14ac:dyDescent="0.2">
      <c r="A86" s="998"/>
      <c r="B86" s="1005"/>
      <c r="C86" s="1002"/>
      <c r="D86" s="1013"/>
    </row>
    <row r="87" spans="1:4" x14ac:dyDescent="0.2">
      <c r="A87" s="998"/>
      <c r="B87" s="1001" t="s">
        <v>2053</v>
      </c>
      <c r="C87" s="1002">
        <f>C85+1</f>
        <v>25</v>
      </c>
      <c r="D87" s="1013" t="s">
        <v>1194</v>
      </c>
    </row>
    <row r="88" spans="1:4" ht="3" customHeight="1" x14ac:dyDescent="0.2">
      <c r="A88" s="998"/>
      <c r="B88" s="1005"/>
      <c r="C88" s="1002"/>
      <c r="D88" s="1013"/>
    </row>
    <row r="89" spans="1:4" x14ac:dyDescent="0.2">
      <c r="A89" s="998"/>
      <c r="B89" s="1001" t="s">
        <v>2053</v>
      </c>
      <c r="C89" s="1002">
        <f>C87+1</f>
        <v>26</v>
      </c>
      <c r="D89" s="1013" t="s">
        <v>1193</v>
      </c>
    </row>
    <row r="90" spans="1:4" ht="3" customHeight="1" x14ac:dyDescent="0.2">
      <c r="A90" s="998"/>
      <c r="B90" s="1005"/>
      <c r="C90" s="1002"/>
      <c r="D90" s="1013"/>
    </row>
    <row r="91" spans="1:4" x14ac:dyDescent="0.2">
      <c r="A91" s="998"/>
      <c r="B91" s="1001" t="s">
        <v>2079</v>
      </c>
      <c r="C91" s="1002">
        <f>C89+1</f>
        <v>27</v>
      </c>
      <c r="D91" s="1013" t="s">
        <v>1700</v>
      </c>
    </row>
    <row r="92" spans="1:4" x14ac:dyDescent="0.2">
      <c r="A92" s="998"/>
      <c r="B92" s="1026"/>
      <c r="C92" s="1020" t="s">
        <v>2079</v>
      </c>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t="s">
        <v>2053</v>
      </c>
      <c r="C96" s="1002">
        <f>C91+1</f>
        <v>28</v>
      </c>
      <c r="D96" s="1013" t="s">
        <v>1701</v>
      </c>
    </row>
    <row r="97" spans="1:4" ht="3" customHeight="1" x14ac:dyDescent="0.2">
      <c r="A97" s="998"/>
      <c r="B97" s="1005"/>
      <c r="C97" s="1002"/>
      <c r="D97" s="1013"/>
    </row>
    <row r="98" spans="1:4" x14ac:dyDescent="0.2">
      <c r="A98" s="998"/>
      <c r="B98" s="1001" t="s">
        <v>2053</v>
      </c>
      <c r="C98" s="1002">
        <f>C96+1</f>
        <v>29</v>
      </c>
      <c r="D98" s="1027" t="s">
        <v>1702</v>
      </c>
    </row>
    <row r="99" spans="1:4" ht="3" customHeight="1" x14ac:dyDescent="0.2">
      <c r="A99" s="998"/>
      <c r="B99" s="1005"/>
      <c r="C99" s="1002"/>
      <c r="D99" s="1027"/>
    </row>
    <row r="100" spans="1:4" x14ac:dyDescent="0.2">
      <c r="A100" s="998"/>
      <c r="B100" s="1001" t="s">
        <v>2053</v>
      </c>
      <c r="C100" s="1002">
        <f>C98+1</f>
        <v>30</v>
      </c>
      <c r="D100" s="1013" t="s">
        <v>1703</v>
      </c>
    </row>
    <row r="101" spans="1:4" ht="3" customHeight="1" x14ac:dyDescent="0.2">
      <c r="A101" s="998"/>
      <c r="B101" s="1005"/>
      <c r="C101" s="1002"/>
      <c r="D101" s="1028"/>
    </row>
    <row r="102" spans="1:4" x14ac:dyDescent="0.2">
      <c r="A102" s="998"/>
      <c r="B102" s="1001" t="s">
        <v>2053</v>
      </c>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t="s">
        <v>2079</v>
      </c>
      <c r="C106" s="1002">
        <f>C102+1</f>
        <v>32</v>
      </c>
      <c r="D106" s="997" t="s">
        <v>1566</v>
      </c>
    </row>
    <row r="107" spans="1:4" ht="3" customHeight="1" x14ac:dyDescent="0.2">
      <c r="A107" s="998"/>
      <c r="B107" s="1005"/>
      <c r="C107" s="1002"/>
      <c r="D107" s="997"/>
    </row>
    <row r="108" spans="1:4" x14ac:dyDescent="0.2">
      <c r="A108" s="998"/>
      <c r="B108" s="1001" t="s">
        <v>2079</v>
      </c>
      <c r="C108" s="1002">
        <v>33</v>
      </c>
      <c r="D108" s="997" t="s">
        <v>1704</v>
      </c>
    </row>
    <row r="109" spans="1:4" ht="3" customHeight="1" x14ac:dyDescent="0.2">
      <c r="A109" s="998"/>
      <c r="B109" s="1005"/>
      <c r="C109" s="1002"/>
      <c r="D109" s="997"/>
    </row>
    <row r="110" spans="1:4" x14ac:dyDescent="0.2">
      <c r="A110" s="998"/>
      <c r="B110" s="1001" t="s">
        <v>2079</v>
      </c>
      <c r="C110" s="1002">
        <f>C108+1</f>
        <v>34</v>
      </c>
      <c r="D110" s="997" t="s">
        <v>1190</v>
      </c>
    </row>
    <row r="111" spans="1:4" ht="3" customHeight="1" x14ac:dyDescent="0.2">
      <c r="A111" s="998"/>
      <c r="B111" s="1005"/>
      <c r="C111" s="1002"/>
      <c r="D111" s="997"/>
    </row>
    <row r="112" spans="1:4" x14ac:dyDescent="0.2">
      <c r="A112" s="998"/>
      <c r="B112" s="1001" t="s">
        <v>2079</v>
      </c>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t="s">
        <v>2079</v>
      </c>
      <c r="C115" s="1002">
        <f>C112+1</f>
        <v>36</v>
      </c>
      <c r="D115" s="1013" t="s">
        <v>1187</v>
      </c>
    </row>
    <row r="116" spans="1:4" ht="3" customHeight="1" x14ac:dyDescent="0.2">
      <c r="A116" s="998"/>
      <c r="B116" s="1005"/>
      <c r="C116" s="1002"/>
      <c r="D116" s="1013"/>
    </row>
    <row r="117" spans="1:4" x14ac:dyDescent="0.2">
      <c r="A117" s="998"/>
      <c r="B117" s="1001" t="s">
        <v>2079</v>
      </c>
      <c r="C117" s="1002">
        <f>C115+1</f>
        <v>37</v>
      </c>
      <c r="D117" s="1013" t="s">
        <v>1705</v>
      </c>
    </row>
    <row r="118" spans="1:4" ht="3" customHeight="1" x14ac:dyDescent="0.2">
      <c r="A118" s="998"/>
      <c r="B118" s="1005"/>
      <c r="C118" s="1002"/>
      <c r="D118" s="1013"/>
    </row>
    <row r="119" spans="1:4" x14ac:dyDescent="0.2">
      <c r="A119" s="998"/>
      <c r="B119" s="1001" t="s">
        <v>2079</v>
      </c>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t="s">
        <v>2079</v>
      </c>
      <c r="C123" s="1002">
        <f>C119+1</f>
        <v>39</v>
      </c>
      <c r="D123" s="1023" t="s">
        <v>1812</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25" sqref="G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792" t="str">
        <f>'Single Audit Cover'!A7</f>
        <v xml:space="preserve"> Kirby SD 140</v>
      </c>
      <c r="B1" s="2792"/>
      <c r="C1" s="2792"/>
      <c r="D1" s="2792"/>
      <c r="E1" s="2792"/>
    </row>
    <row r="2" spans="1:5" x14ac:dyDescent="0.2">
      <c r="A2" s="2793">
        <f>'Single Audit Cover'!E7</f>
        <v>7016140002</v>
      </c>
      <c r="B2" s="2793"/>
      <c r="C2" s="2793"/>
      <c r="D2" s="2793"/>
      <c r="E2" s="2793"/>
    </row>
    <row r="3" spans="1:5" ht="4.5" customHeight="1" x14ac:dyDescent="0.2"/>
    <row r="4" spans="1:5" x14ac:dyDescent="0.2">
      <c r="A4" s="2792" t="s">
        <v>1236</v>
      </c>
      <c r="B4" s="2792"/>
      <c r="C4" s="2792"/>
      <c r="D4" s="2792"/>
      <c r="E4" s="2792"/>
    </row>
    <row r="5" spans="1:5" x14ac:dyDescent="0.2">
      <c r="A5" s="2795" t="str">
        <f>'Single Audit Cover'!A4</f>
        <v>Year Ending June 30, 2020</v>
      </c>
      <c r="B5" s="2795"/>
      <c r="C5" s="2795"/>
      <c r="D5" s="2795"/>
      <c r="E5" s="2795"/>
    </row>
    <row r="6" spans="1:5" x14ac:dyDescent="0.2">
      <c r="A6" s="2792" t="s">
        <v>1235</v>
      </c>
      <c r="B6" s="2792"/>
      <c r="C6" s="2792"/>
      <c r="D6" s="2792"/>
      <c r="E6" s="2792"/>
    </row>
    <row r="8" spans="1:5" x14ac:dyDescent="0.2">
      <c r="A8" s="1036" t="s">
        <v>1234</v>
      </c>
    </row>
    <row r="10" spans="1:5" x14ac:dyDescent="0.2">
      <c r="A10" s="1037" t="s">
        <v>1233</v>
      </c>
      <c r="B10" s="1038" t="s">
        <v>1232</v>
      </c>
      <c r="C10" s="1038"/>
      <c r="D10" s="1039">
        <f>SUM('Acct Summary 7-8'!C7:K7)</f>
        <v>2291396</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2006</v>
      </c>
      <c r="B14" s="1038"/>
      <c r="C14" s="1038"/>
      <c r="D14" s="1040">
        <f>'ICR Computation 30'!E11</f>
        <v>0</v>
      </c>
    </row>
    <row r="15" spans="1:5" x14ac:dyDescent="0.2">
      <c r="A15" s="1037"/>
      <c r="B15" s="1038"/>
      <c r="C15" s="1038"/>
    </row>
    <row r="16" spans="1:5" x14ac:dyDescent="0.2">
      <c r="A16" s="1037" t="s">
        <v>1817</v>
      </c>
      <c r="B16" s="1038"/>
      <c r="C16" s="1038"/>
    </row>
    <row r="17" spans="1:4" x14ac:dyDescent="0.2">
      <c r="A17" s="1037" t="s">
        <v>1966</v>
      </c>
      <c r="B17" s="1038" t="s">
        <v>1227</v>
      </c>
      <c r="C17" s="1038"/>
      <c r="D17" s="1040">
        <f>-SUM('Revenues 9-14'!C264:D264,'Revenues 9-14'!F264:G264)</f>
        <v>-177205</v>
      </c>
    </row>
    <row r="19" spans="1:4" ht="13.5" thickBot="1" x14ac:dyDescent="0.25">
      <c r="A19" s="1041" t="s">
        <v>1226</v>
      </c>
      <c r="D19" s="1042">
        <f>SUM(D10:D17)</f>
        <v>2114191</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794"/>
      <c r="B24" s="2794"/>
      <c r="D24" s="1044"/>
    </row>
    <row r="25" spans="1:4" x14ac:dyDescent="0.2">
      <c r="A25" s="2791"/>
      <c r="B25" s="2791"/>
      <c r="D25" s="1044"/>
    </row>
    <row r="26" spans="1:4" x14ac:dyDescent="0.2">
      <c r="A26" s="2791"/>
      <c r="B26" s="2791"/>
      <c r="D26" s="1044"/>
    </row>
    <row r="27" spans="1:4" x14ac:dyDescent="0.2">
      <c r="A27" s="2791"/>
      <c r="B27" s="2791"/>
      <c r="D27" s="1044"/>
    </row>
    <row r="28" spans="1:4" x14ac:dyDescent="0.2">
      <c r="A28" s="2791"/>
      <c r="B28" s="2791"/>
      <c r="D28" s="1044"/>
    </row>
    <row r="29" spans="1:4" x14ac:dyDescent="0.2">
      <c r="A29" s="2791"/>
      <c r="B29" s="2791"/>
      <c r="D29" s="1044"/>
    </row>
    <row r="30" spans="1:4" x14ac:dyDescent="0.2">
      <c r="A30" s="2791"/>
      <c r="B30" s="2791"/>
      <c r="D30" s="1044"/>
    </row>
    <row r="32" spans="1:4" x14ac:dyDescent="0.2">
      <c r="A32" s="1036" t="s">
        <v>1224</v>
      </c>
      <c r="D32" s="1039">
        <f>SUM(D19:D30)</f>
        <v>2114191</v>
      </c>
    </row>
    <row r="33" spans="1:4" x14ac:dyDescent="0.2">
      <c r="D33" s="1045"/>
    </row>
    <row r="34" spans="1:4" x14ac:dyDescent="0.2">
      <c r="A34" s="295" t="s">
        <v>1223</v>
      </c>
    </row>
    <row r="35" spans="1:4" x14ac:dyDescent="0.2">
      <c r="A35" s="295" t="s">
        <v>1222</v>
      </c>
      <c r="B35" s="1034" t="s">
        <v>1221</v>
      </c>
      <c r="D35" s="1046">
        <f>' SEFA (3)'!F27</f>
        <v>2114191</v>
      </c>
    </row>
    <row r="37" spans="1:4" x14ac:dyDescent="0.2">
      <c r="A37" s="1036" t="s">
        <v>1220</v>
      </c>
    </row>
    <row r="39" spans="1:4" ht="13.35" customHeight="1" x14ac:dyDescent="0.2">
      <c r="A39" s="1043" t="s">
        <v>1219</v>
      </c>
    </row>
    <row r="40" spans="1:4" x14ac:dyDescent="0.2">
      <c r="A40" s="2791"/>
      <c r="B40" s="2791"/>
      <c r="D40" s="1044"/>
    </row>
    <row r="41" spans="1:4" x14ac:dyDescent="0.2">
      <c r="A41" s="2791"/>
      <c r="B41" s="2791"/>
      <c r="D41" s="1047"/>
    </row>
    <row r="42" spans="1:4" x14ac:dyDescent="0.2">
      <c r="A42" s="2791"/>
      <c r="B42" s="2791"/>
      <c r="D42" s="1047"/>
    </row>
    <row r="43" spans="1:4" x14ac:dyDescent="0.2">
      <c r="A43" s="2791"/>
      <c r="B43" s="2791"/>
      <c r="D43" s="1047"/>
    </row>
    <row r="44" spans="1:4" x14ac:dyDescent="0.2">
      <c r="A44" s="2791"/>
      <c r="B44" s="2791"/>
      <c r="D44" s="1047"/>
    </row>
    <row r="45" spans="1:4" x14ac:dyDescent="0.2">
      <c r="A45" s="2791"/>
      <c r="B45" s="2791"/>
      <c r="D45" s="1047"/>
    </row>
    <row r="47" spans="1:4" x14ac:dyDescent="0.2">
      <c r="B47" s="1048" t="s">
        <v>1218</v>
      </c>
      <c r="C47" s="1048"/>
      <c r="D47" s="1049">
        <f>SUM(D35:D45)</f>
        <v>2114191</v>
      </c>
    </row>
    <row r="49" spans="2:4" x14ac:dyDescent="0.2">
      <c r="B49" s="1048" t="s">
        <v>1217</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F21" sqref="F21:F2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751" t="str">
        <f>'Single Audit Cover'!A7</f>
        <v xml:space="preserve"> Kirby SD 140</v>
      </c>
      <c r="C1" s="2796"/>
      <c r="D1" s="2796"/>
      <c r="E1" s="2796"/>
      <c r="F1" s="2796"/>
      <c r="G1" s="2796"/>
      <c r="H1" s="2796"/>
      <c r="I1" s="2796"/>
      <c r="J1" s="2796"/>
      <c r="K1" s="2796"/>
      <c r="L1" s="2796"/>
      <c r="M1" s="2796"/>
    </row>
    <row r="2" spans="2:14" ht="15" x14ac:dyDescent="0.2">
      <c r="B2" s="2797">
        <f>'Single Audit Cover'!E7</f>
        <v>7016140002</v>
      </c>
      <c r="C2" s="2797"/>
      <c r="D2" s="2797"/>
      <c r="E2" s="2797"/>
      <c r="F2" s="2797"/>
      <c r="G2" s="2797"/>
      <c r="H2" s="2797"/>
      <c r="I2" s="2797"/>
      <c r="J2" s="2797"/>
      <c r="K2" s="2797"/>
      <c r="L2" s="2797"/>
      <c r="M2" s="2797"/>
      <c r="N2" s="1078"/>
    </row>
    <row r="3" spans="2:14" ht="15" x14ac:dyDescent="0.2">
      <c r="B3" s="2798" t="s">
        <v>1210</v>
      </c>
      <c r="C3" s="2798"/>
      <c r="D3" s="2798"/>
      <c r="E3" s="2798"/>
      <c r="F3" s="2798"/>
      <c r="G3" s="2798"/>
      <c r="H3" s="2798"/>
      <c r="I3" s="2798"/>
      <c r="J3" s="2798"/>
      <c r="K3" s="2798"/>
      <c r="L3" s="2798"/>
      <c r="M3" s="2798"/>
      <c r="N3" s="1078"/>
    </row>
    <row r="4" spans="2:14" ht="15" x14ac:dyDescent="0.2">
      <c r="B4" s="2799" t="str">
        <f>'Single Audit Cover'!A4</f>
        <v>Year Ending June 30, 2020</v>
      </c>
      <c r="C4" s="2799"/>
      <c r="D4" s="2799"/>
      <c r="E4" s="2799"/>
      <c r="F4" s="2799"/>
      <c r="G4" s="2799"/>
      <c r="H4" s="2799"/>
      <c r="I4" s="2799"/>
      <c r="J4" s="2799"/>
      <c r="K4" s="2799"/>
      <c r="L4" s="2799"/>
      <c r="M4" s="2799"/>
      <c r="N4" s="1078"/>
    </row>
    <row r="5" spans="2:14" x14ac:dyDescent="0.2">
      <c r="H5" s="1914"/>
      <c r="J5" s="1914"/>
    </row>
    <row r="6" spans="2:14" x14ac:dyDescent="0.2">
      <c r="B6" s="1079"/>
      <c r="C6" s="1080"/>
      <c r="D6" s="1081" t="s">
        <v>1256</v>
      </c>
      <c r="E6" s="1082" t="s">
        <v>524</v>
      </c>
      <c r="F6" s="1083"/>
      <c r="G6" s="1084" t="s">
        <v>1713</v>
      </c>
      <c r="H6" s="1082"/>
      <c r="I6" s="1082"/>
      <c r="J6" s="1915"/>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8"/>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1714</v>
      </c>
      <c r="D9" s="1090" t="s">
        <v>1715</v>
      </c>
      <c r="E9" s="1913" t="str">
        <f>"7/1/"&amp;MID('AFR20'!$E$2,3,2)-2&amp;"-6/30/"&amp;MID('AFR20'!$E$2,3,2)-1</f>
        <v>7/1/18-6/30/19</v>
      </c>
      <c r="F9" s="1913" t="str">
        <f>"7/1/"&amp;MID('AFR20'!$E$2,3,2)-1&amp;"-6/30/"&amp;MID('AFR20'!$E$2,3,2)</f>
        <v>7/1/19-6/30/20</v>
      </c>
      <c r="G9" s="1913" t="str">
        <f>"7/1/"&amp;MID('AFR20'!$E$2,3,2)-2&amp;"-6/30/"&amp;MID('AFR20'!$E$2,3,2)-1</f>
        <v>7/1/18-6/30/19</v>
      </c>
      <c r="H9" s="1093" t="s">
        <v>1568</v>
      </c>
      <c r="I9" s="1913"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2039" t="s">
        <v>2080</v>
      </c>
      <c r="C11" s="1820"/>
      <c r="D11" s="1821"/>
      <c r="E11" s="1822"/>
      <c r="F11" s="1822"/>
      <c r="G11" s="1822"/>
      <c r="H11" s="1822"/>
      <c r="I11" s="1822"/>
      <c r="J11" s="1822"/>
      <c r="K11" s="1822"/>
      <c r="L11" s="1822">
        <f>+G11+I11+K11</f>
        <v>0</v>
      </c>
      <c r="M11" s="1822"/>
    </row>
    <row r="12" spans="2:14" ht="20.100000000000001" customHeight="1" x14ac:dyDescent="0.2">
      <c r="B12" s="2039" t="s">
        <v>2081</v>
      </c>
      <c r="C12" s="1823"/>
      <c r="D12" s="1824"/>
      <c r="E12" s="1825"/>
      <c r="F12" s="1825"/>
      <c r="G12" s="1825"/>
      <c r="H12" s="1825"/>
      <c r="I12" s="1825"/>
      <c r="J12" s="1825"/>
      <c r="K12" s="1825"/>
      <c r="L12" s="1822">
        <f t="shared" ref="L12:L27" si="0">+G12+I12+K12</f>
        <v>0</v>
      </c>
      <c r="M12" s="1825"/>
    </row>
    <row r="13" spans="2:14" ht="20.100000000000001" customHeight="1" x14ac:dyDescent="0.2">
      <c r="B13" s="2036" t="s">
        <v>2082</v>
      </c>
      <c r="C13" s="2043">
        <v>84.01</v>
      </c>
      <c r="D13" s="2043" t="s">
        <v>2083</v>
      </c>
      <c r="E13" s="2045">
        <v>16283</v>
      </c>
      <c r="F13" s="2045"/>
      <c r="G13" s="2045">
        <v>16283</v>
      </c>
      <c r="H13" s="2038"/>
      <c r="I13" s="2038"/>
      <c r="J13" s="2038"/>
      <c r="K13" s="2038"/>
      <c r="L13" s="2037">
        <f t="shared" si="0"/>
        <v>16283</v>
      </c>
      <c r="M13" s="1825">
        <v>568411</v>
      </c>
    </row>
    <row r="14" spans="2:14" ht="20.100000000000001" customHeight="1" x14ac:dyDescent="0.2">
      <c r="B14" s="2036" t="s">
        <v>2082</v>
      </c>
      <c r="C14" s="2043">
        <v>84.01</v>
      </c>
      <c r="D14" s="2044" t="s">
        <v>2084</v>
      </c>
      <c r="E14" s="2045">
        <v>545224</v>
      </c>
      <c r="F14" s="2045">
        <v>7085</v>
      </c>
      <c r="G14" s="2045">
        <v>545224</v>
      </c>
      <c r="H14" s="2038"/>
      <c r="I14" s="2038">
        <v>7085</v>
      </c>
      <c r="J14" s="2038"/>
      <c r="K14" s="2038"/>
      <c r="L14" s="2037">
        <f t="shared" si="0"/>
        <v>552309</v>
      </c>
      <c r="M14" s="1825">
        <v>585952</v>
      </c>
    </row>
    <row r="15" spans="2:14" ht="20.100000000000001" customHeight="1" x14ac:dyDescent="0.2">
      <c r="B15" s="2036" t="s">
        <v>2082</v>
      </c>
      <c r="C15" s="2043">
        <v>84.01</v>
      </c>
      <c r="D15" s="2044" t="s">
        <v>2085</v>
      </c>
      <c r="E15" s="2045"/>
      <c r="F15" s="2045">
        <v>505048</v>
      </c>
      <c r="G15" s="2045"/>
      <c r="H15" s="2038"/>
      <c r="I15" s="2038">
        <v>505048</v>
      </c>
      <c r="J15" s="2038"/>
      <c r="K15" s="2038"/>
      <c r="L15" s="2037">
        <f t="shared" si="0"/>
        <v>505048</v>
      </c>
      <c r="M15" s="1825">
        <v>577136</v>
      </c>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2046" t="s">
        <v>2086</v>
      </c>
      <c r="C17" s="2047">
        <v>84.01</v>
      </c>
      <c r="D17" s="2048" t="s">
        <v>2087</v>
      </c>
      <c r="E17" s="2049">
        <v>9525</v>
      </c>
      <c r="F17" s="2049">
        <v>45726</v>
      </c>
      <c r="G17" s="2049">
        <v>9525</v>
      </c>
      <c r="H17" s="1825"/>
      <c r="I17" s="1825">
        <v>45726</v>
      </c>
      <c r="J17" s="1825"/>
      <c r="K17" s="1825"/>
      <c r="L17" s="1822">
        <f>+G17+I17+K17</f>
        <v>55251</v>
      </c>
      <c r="M17" s="1825">
        <v>56735</v>
      </c>
    </row>
    <row r="18" spans="2:14" ht="20.100000000000001" customHeight="1" x14ac:dyDescent="0.2">
      <c r="B18" s="2046" t="s">
        <v>2086</v>
      </c>
      <c r="C18" s="2047">
        <v>84.01</v>
      </c>
      <c r="D18" s="2048" t="s">
        <v>2088</v>
      </c>
      <c r="E18" s="2049"/>
      <c r="F18" s="2049">
        <v>28161</v>
      </c>
      <c r="G18" s="2049"/>
      <c r="H18" s="1825"/>
      <c r="I18" s="1825">
        <v>28161</v>
      </c>
      <c r="J18" s="1825"/>
      <c r="K18" s="1825"/>
      <c r="L18" s="1822">
        <f>+G18+I18+K18</f>
        <v>28161</v>
      </c>
      <c r="M18" s="1825">
        <v>30000</v>
      </c>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2050" t="s">
        <v>2089</v>
      </c>
      <c r="C20" s="2051">
        <v>84.364999999999995</v>
      </c>
      <c r="D20" s="2052" t="s">
        <v>2090</v>
      </c>
      <c r="E20" s="2053">
        <v>7322</v>
      </c>
      <c r="F20" s="2053"/>
      <c r="G20" s="2053">
        <v>7322</v>
      </c>
      <c r="H20" s="2053"/>
      <c r="I20" s="2053"/>
      <c r="J20" s="1825"/>
      <c r="K20" s="1825"/>
      <c r="L20" s="1822">
        <f>+G20+I20+K20</f>
        <v>7322</v>
      </c>
      <c r="M20" s="1825">
        <v>13415</v>
      </c>
    </row>
    <row r="21" spans="2:14" ht="20.100000000000001" customHeight="1" x14ac:dyDescent="0.2">
      <c r="B21" s="2050" t="s">
        <v>2089</v>
      </c>
      <c r="C21" s="2051">
        <v>84.364999999999995</v>
      </c>
      <c r="D21" s="2052" t="s">
        <v>2091</v>
      </c>
      <c r="E21" s="2053">
        <v>7953</v>
      </c>
      <c r="F21" s="2053">
        <v>3064</v>
      </c>
      <c r="G21" s="2053">
        <v>7953</v>
      </c>
      <c r="H21" s="2053"/>
      <c r="I21" s="2053">
        <v>3064</v>
      </c>
      <c r="J21" s="1825"/>
      <c r="K21" s="1825"/>
      <c r="L21" s="1822">
        <f>+G21+I21+K21</f>
        <v>11017</v>
      </c>
      <c r="M21" s="1825">
        <v>17131</v>
      </c>
    </row>
    <row r="22" spans="2:14" ht="20.100000000000001" customHeight="1" x14ac:dyDescent="0.2">
      <c r="B22" s="2050" t="s">
        <v>2089</v>
      </c>
      <c r="C22" s="2051">
        <v>84.364999999999995</v>
      </c>
      <c r="D22" s="2052" t="s">
        <v>2092</v>
      </c>
      <c r="E22" s="2053"/>
      <c r="F22" s="2053">
        <v>17595</v>
      </c>
      <c r="G22" s="2053"/>
      <c r="H22" s="2053"/>
      <c r="I22" s="2054">
        <v>17595</v>
      </c>
      <c r="J22" s="1825"/>
      <c r="K22" s="1825"/>
      <c r="L22" s="1822">
        <f>+G22+I22+K22</f>
        <v>17595</v>
      </c>
      <c r="M22" s="1825">
        <v>20114</v>
      </c>
    </row>
    <row r="23" spans="2:14" ht="20.100000000000001" customHeight="1" x14ac:dyDescent="0.2">
      <c r="B23" s="2100"/>
      <c r="C23" s="2137"/>
      <c r="D23" s="2138"/>
      <c r="E23" s="2139"/>
      <c r="F23" s="2139"/>
      <c r="G23" s="2139"/>
      <c r="H23" s="1825"/>
      <c r="I23" s="1825"/>
      <c r="J23" s="1825"/>
      <c r="K23" s="1825"/>
      <c r="L23" s="1822">
        <f t="shared" si="0"/>
        <v>0</v>
      </c>
      <c r="M23" s="1825"/>
    </row>
    <row r="24" spans="2:14" ht="20.100000000000001" customHeight="1" x14ac:dyDescent="0.2">
      <c r="B24" s="2100" t="s">
        <v>2093</v>
      </c>
      <c r="C24" s="2137" t="s">
        <v>2094</v>
      </c>
      <c r="D24" s="2138" t="s">
        <v>2095</v>
      </c>
      <c r="E24" s="2139">
        <v>23515</v>
      </c>
      <c r="F24" s="2139">
        <v>0</v>
      </c>
      <c r="G24" s="2139">
        <v>23515</v>
      </c>
      <c r="H24" s="1825"/>
      <c r="I24" s="1825">
        <v>0</v>
      </c>
      <c r="J24" s="1825"/>
      <c r="K24" s="1825"/>
      <c r="L24" s="1822">
        <f>+G24+I24+K24</f>
        <v>23515</v>
      </c>
      <c r="M24" s="1825">
        <v>35542</v>
      </c>
    </row>
    <row r="25" spans="2:14" ht="20.100000000000001" customHeight="1" x14ac:dyDescent="0.2">
      <c r="B25" s="2100" t="s">
        <v>2093</v>
      </c>
      <c r="C25" s="2137" t="s">
        <v>2094</v>
      </c>
      <c r="D25" s="2138" t="s">
        <v>2096</v>
      </c>
      <c r="E25" s="2139"/>
      <c r="F25" s="2139">
        <v>39955</v>
      </c>
      <c r="G25" s="2139"/>
      <c r="H25" s="1825"/>
      <c r="I25" s="1825">
        <v>39955</v>
      </c>
      <c r="J25" s="1825"/>
      <c r="K25" s="1825"/>
      <c r="L25" s="1822">
        <f>+G25+I25+K25</f>
        <v>39955</v>
      </c>
      <c r="M25" s="1825">
        <v>45901</v>
      </c>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t="s">
        <v>2102</v>
      </c>
      <c r="C27" s="1823"/>
      <c r="D27" s="1824"/>
      <c r="E27" s="1825">
        <f>E25+E24+E23+E22+E21+E20+E19+E18+E17+E16+E15+E14+E13</f>
        <v>609822</v>
      </c>
      <c r="F27" s="2146">
        <f t="shared" ref="F27:M27" si="1">F25+F24+F23+F22+F21+F20+F19+F18+F17+F16+F15+F14+F13</f>
        <v>646634</v>
      </c>
      <c r="G27" s="2146">
        <f t="shared" si="1"/>
        <v>609822</v>
      </c>
      <c r="H27" s="2146">
        <f t="shared" si="1"/>
        <v>0</v>
      </c>
      <c r="I27" s="2146">
        <f t="shared" si="1"/>
        <v>646634</v>
      </c>
      <c r="J27" s="2146">
        <f t="shared" si="1"/>
        <v>0</v>
      </c>
      <c r="K27" s="2146">
        <f t="shared" si="1"/>
        <v>0</v>
      </c>
      <c r="L27" s="1822">
        <f t="shared" si="0"/>
        <v>1256456</v>
      </c>
      <c r="M27" s="2146">
        <f t="shared" si="1"/>
        <v>1950337</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topLeftCell="A10" zoomScaleNormal="100" workbookViewId="0">
      <selection activeCell="F21" sqref="F21:F22"/>
    </sheetView>
  </sheetViews>
  <sheetFormatPr defaultColWidth="33.5703125" defaultRowHeight="12.75" x14ac:dyDescent="0.2"/>
  <cols>
    <col min="1" max="1" width="0.140625" style="2055" customWidth="1"/>
    <col min="2" max="2" width="32.85546875" style="2055" customWidth="1"/>
    <col min="3" max="3" width="8.7109375" style="2114" customWidth="1"/>
    <col min="4" max="4" width="12.7109375" style="2115" customWidth="1"/>
    <col min="5" max="6" width="11.7109375" style="2055" customWidth="1"/>
    <col min="7" max="7" width="11.7109375" style="2058" customWidth="1"/>
    <col min="8" max="8" width="13.7109375" style="2058" bestFit="1" customWidth="1"/>
    <col min="9" max="9" width="11.7109375" style="2058" customWidth="1"/>
    <col min="10" max="10" width="13.7109375" style="2058" customWidth="1"/>
    <col min="11" max="12" width="11.7109375" style="2058" customWidth="1"/>
    <col min="13" max="13" width="11.7109375" style="2055" customWidth="1"/>
    <col min="14" max="14" width="2.7109375" style="2055" customWidth="1"/>
    <col min="15" max="16384" width="33.5703125" style="2055"/>
  </cols>
  <sheetData>
    <row r="1" spans="2:14" ht="11.85" customHeight="1" x14ac:dyDescent="0.2">
      <c r="B1" s="2751" t="str">
        <f>'Single Audit Cover'!A7</f>
        <v xml:space="preserve"> Kirby SD 140</v>
      </c>
      <c r="C1" s="2796"/>
      <c r="D1" s="2796"/>
      <c r="E1" s="2796"/>
      <c r="F1" s="2796"/>
      <c r="G1" s="2796"/>
      <c r="H1" s="2796"/>
      <c r="I1" s="2796"/>
      <c r="J1" s="2796"/>
      <c r="K1" s="2796"/>
      <c r="L1" s="2796"/>
      <c r="M1" s="2796"/>
    </row>
    <row r="2" spans="2:14" ht="15" x14ac:dyDescent="0.2">
      <c r="B2" s="2797">
        <f>'Single Audit Cover'!E7</f>
        <v>7016140002</v>
      </c>
      <c r="C2" s="2797"/>
      <c r="D2" s="2797"/>
      <c r="E2" s="2797"/>
      <c r="F2" s="2797"/>
      <c r="G2" s="2797"/>
      <c r="H2" s="2797"/>
      <c r="I2" s="2797"/>
      <c r="J2" s="2797"/>
      <c r="K2" s="2797"/>
      <c r="L2" s="2797"/>
      <c r="M2" s="2797"/>
      <c r="N2" s="2065"/>
    </row>
    <row r="3" spans="2:14" ht="15" x14ac:dyDescent="0.2">
      <c r="B3" s="2798" t="s">
        <v>1210</v>
      </c>
      <c r="C3" s="2798"/>
      <c r="D3" s="2798"/>
      <c r="E3" s="2798"/>
      <c r="F3" s="2798"/>
      <c r="G3" s="2798"/>
      <c r="H3" s="2798"/>
      <c r="I3" s="2798"/>
      <c r="J3" s="2798"/>
      <c r="K3" s="2798"/>
      <c r="L3" s="2798"/>
      <c r="M3" s="2798"/>
      <c r="N3" s="2065"/>
    </row>
    <row r="4" spans="2:14" ht="15" x14ac:dyDescent="0.2">
      <c r="B4" s="2799" t="str">
        <f>'Single Audit Cover'!A4</f>
        <v>Year Ending June 30, 2020</v>
      </c>
      <c r="C4" s="2799"/>
      <c r="D4" s="2799"/>
      <c r="E4" s="2799"/>
      <c r="F4" s="2799"/>
      <c r="G4" s="2799"/>
      <c r="H4" s="2799"/>
      <c r="I4" s="2799"/>
      <c r="J4" s="2799"/>
      <c r="K4" s="2799"/>
      <c r="L4" s="2799"/>
      <c r="M4" s="2799"/>
      <c r="N4" s="2065"/>
    </row>
    <row r="5" spans="2:14" x14ac:dyDescent="0.2">
      <c r="H5" s="2141"/>
      <c r="J5" s="2141"/>
    </row>
    <row r="6" spans="2:14" x14ac:dyDescent="0.2">
      <c r="B6" s="2066"/>
      <c r="C6" s="2067"/>
      <c r="D6" s="2068" t="s">
        <v>1256</v>
      </c>
      <c r="E6" s="2069" t="s">
        <v>524</v>
      </c>
      <c r="F6" s="2070"/>
      <c r="G6" s="2071" t="s">
        <v>1713</v>
      </c>
      <c r="H6" s="2069"/>
      <c r="I6" s="2069"/>
      <c r="J6" s="2142"/>
      <c r="K6" s="2072"/>
      <c r="L6" s="2073"/>
      <c r="M6" s="2074"/>
    </row>
    <row r="7" spans="2:14" x14ac:dyDescent="0.2">
      <c r="B7" s="2075" t="s">
        <v>1567</v>
      </c>
      <c r="C7" s="2076"/>
      <c r="D7" s="2077"/>
      <c r="E7" s="2078"/>
      <c r="F7" s="2079"/>
      <c r="G7" s="2078"/>
      <c r="H7" s="2080" t="s">
        <v>1253</v>
      </c>
      <c r="I7" s="2078"/>
      <c r="J7" s="2081" t="s">
        <v>1253</v>
      </c>
      <c r="K7" s="2082"/>
      <c r="L7" s="2083" t="s">
        <v>1251</v>
      </c>
      <c r="M7" s="2084"/>
    </row>
    <row r="8" spans="2:14" x14ac:dyDescent="0.2">
      <c r="B8" s="2131"/>
      <c r="C8" s="2076" t="s">
        <v>1255</v>
      </c>
      <c r="D8" s="2077" t="s">
        <v>1254</v>
      </c>
      <c r="E8" s="2085" t="s">
        <v>1253</v>
      </c>
      <c r="F8" s="2086" t="s">
        <v>1253</v>
      </c>
      <c r="G8" s="2087" t="s">
        <v>1253</v>
      </c>
      <c r="H8" s="2132" t="str">
        <f>"7/1/"&amp;MID('AFR20'!$E$2,3,2)-2&amp;"-6/30/"&amp;MID('AFR20'!$E$2,3,2)-1</f>
        <v>7/1/18-6/30/19</v>
      </c>
      <c r="I8" s="2082" t="s">
        <v>1253</v>
      </c>
      <c r="J8" s="2133" t="str">
        <f>"7/1/"&amp;MID('AFR20'!$E$2,3,2)-1&amp;"-6/30/"&amp;MID('AFR20'!$E$2,3,2)</f>
        <v>7/1/19-6/30/20</v>
      </c>
      <c r="K8" s="2082" t="s">
        <v>1252</v>
      </c>
      <c r="L8" s="2083" t="s">
        <v>1248</v>
      </c>
      <c r="M8" s="2084" t="s">
        <v>30</v>
      </c>
    </row>
    <row r="9" spans="2:14" ht="14.25" x14ac:dyDescent="0.2">
      <c r="B9" s="2088" t="s">
        <v>1250</v>
      </c>
      <c r="C9" s="2076" t="s">
        <v>1714</v>
      </c>
      <c r="D9" s="2077" t="s">
        <v>1715</v>
      </c>
      <c r="E9" s="2140" t="str">
        <f>"7/1/"&amp;MID('AFR20'!$E$2,3,2)-2&amp;"-6/30/"&amp;MID('AFR20'!$E$2,3,2)-1</f>
        <v>7/1/18-6/30/19</v>
      </c>
      <c r="F9" s="2140" t="str">
        <f>"7/1/"&amp;MID('AFR20'!$E$2,3,2)-1&amp;"-6/30/"&amp;MID('AFR20'!$E$2,3,2)</f>
        <v>7/1/19-6/30/20</v>
      </c>
      <c r="G9" s="2140" t="str">
        <f>"7/1/"&amp;MID('AFR20'!$E$2,3,2)-2&amp;"-6/30/"&amp;MID('AFR20'!$E$2,3,2)-1</f>
        <v>7/1/18-6/30/19</v>
      </c>
      <c r="H9" s="2080" t="s">
        <v>1568</v>
      </c>
      <c r="I9" s="2140" t="str">
        <f>"7/1/"&amp;MID('AFR20'!$E$2,3,2)-1&amp;"-6/30/"&amp;MID('AFR20'!$E$2,3,2)</f>
        <v>7/1/19-6/30/20</v>
      </c>
      <c r="J9" s="2081" t="s">
        <v>1568</v>
      </c>
      <c r="K9" s="2082" t="s">
        <v>1249</v>
      </c>
      <c r="L9" s="2089" t="s">
        <v>1569</v>
      </c>
      <c r="M9" s="2084"/>
    </row>
    <row r="10" spans="2:14" ht="11.85" customHeight="1" x14ac:dyDescent="0.2">
      <c r="B10" s="2088" t="s">
        <v>1247</v>
      </c>
      <c r="C10" s="2090" t="s">
        <v>1246</v>
      </c>
      <c r="D10" s="2091" t="s">
        <v>1245</v>
      </c>
      <c r="E10" s="2092" t="s">
        <v>1244</v>
      </c>
      <c r="F10" s="2093" t="s">
        <v>1243</v>
      </c>
      <c r="G10" s="2094" t="s">
        <v>1242</v>
      </c>
      <c r="H10" s="2095" t="s">
        <v>1257</v>
      </c>
      <c r="I10" s="2096" t="s">
        <v>1241</v>
      </c>
      <c r="J10" s="2097" t="s">
        <v>1257</v>
      </c>
      <c r="K10" s="2098" t="s">
        <v>1240</v>
      </c>
      <c r="L10" s="2098" t="s">
        <v>1239</v>
      </c>
      <c r="M10" s="2099" t="s">
        <v>1238</v>
      </c>
    </row>
    <row r="11" spans="2:14" ht="20.100000000000001" customHeight="1" x14ac:dyDescent="0.2">
      <c r="B11" s="2143" t="s">
        <v>2101</v>
      </c>
      <c r="C11" s="2134"/>
      <c r="D11" s="2135"/>
      <c r="E11" s="2136">
        <f>' SEFA'!E27</f>
        <v>609822</v>
      </c>
      <c r="F11" s="2145">
        <f>' SEFA'!F27</f>
        <v>646634</v>
      </c>
      <c r="G11" s="2145">
        <f>' SEFA'!G27</f>
        <v>609822</v>
      </c>
      <c r="H11" s="2145">
        <f>' SEFA'!H27</f>
        <v>0</v>
      </c>
      <c r="I11" s="2145">
        <f>' SEFA'!I27</f>
        <v>646634</v>
      </c>
      <c r="J11" s="2145">
        <f>' SEFA'!J27</f>
        <v>0</v>
      </c>
      <c r="K11" s="2145">
        <f>' SEFA'!K27</f>
        <v>0</v>
      </c>
      <c r="L11" s="2136">
        <f>+G11+I11+K11</f>
        <v>1256456</v>
      </c>
      <c r="M11" s="2136">
        <f>' SEFA'!M27</f>
        <v>1950337</v>
      </c>
    </row>
    <row r="12" spans="2:14" ht="20.100000000000001" customHeight="1" x14ac:dyDescent="0.2">
      <c r="B12" s="2147" t="s">
        <v>2097</v>
      </c>
      <c r="C12" s="2148" t="s">
        <v>2098</v>
      </c>
      <c r="D12" s="2149" t="s">
        <v>2099</v>
      </c>
      <c r="E12" s="2150">
        <v>51126</v>
      </c>
      <c r="F12" s="2150"/>
      <c r="G12" s="2150">
        <v>51126</v>
      </c>
      <c r="H12" s="2139"/>
      <c r="I12" s="2139"/>
      <c r="J12" s="2139"/>
      <c r="K12" s="2139"/>
      <c r="L12" s="2136">
        <f t="shared" ref="L12:L20" si="0">+G12+I12+K12</f>
        <v>51126</v>
      </c>
      <c r="M12" s="2139">
        <v>80410</v>
      </c>
    </row>
    <row r="13" spans="2:14" ht="20.100000000000001" customHeight="1" x14ac:dyDescent="0.2">
      <c r="B13" s="2147" t="s">
        <v>2097</v>
      </c>
      <c r="C13" s="2148" t="s">
        <v>2098</v>
      </c>
      <c r="D13" s="2149" t="s">
        <v>2100</v>
      </c>
      <c r="E13" s="2150"/>
      <c r="F13" s="2150">
        <v>41933</v>
      </c>
      <c r="G13" s="2150"/>
      <c r="H13" s="2139"/>
      <c r="I13" s="2139">
        <v>41933</v>
      </c>
      <c r="J13" s="2139"/>
      <c r="K13" s="2139"/>
      <c r="L13" s="2136">
        <f t="shared" si="0"/>
        <v>41933</v>
      </c>
      <c r="M13" s="2139">
        <v>93707</v>
      </c>
    </row>
    <row r="14" spans="2:14" ht="20.100000000000001" customHeight="1" x14ac:dyDescent="0.2">
      <c r="B14" s="2151" t="s">
        <v>2103</v>
      </c>
      <c r="C14" s="2152" t="s">
        <v>2104</v>
      </c>
      <c r="D14" s="2153" t="s">
        <v>2105</v>
      </c>
      <c r="E14" s="2154">
        <v>107272</v>
      </c>
      <c r="F14" s="2154"/>
      <c r="G14" s="2154">
        <v>107272</v>
      </c>
      <c r="H14" s="2139"/>
      <c r="I14" s="2139">
        <v>0</v>
      </c>
      <c r="J14" s="2139"/>
      <c r="K14" s="2139"/>
      <c r="L14" s="2136">
        <f t="shared" si="0"/>
        <v>107272</v>
      </c>
      <c r="M14" s="2139">
        <v>1562536</v>
      </c>
    </row>
    <row r="15" spans="2:14" ht="20.100000000000001" customHeight="1" x14ac:dyDescent="0.2">
      <c r="B15" s="2151" t="s">
        <v>2103</v>
      </c>
      <c r="C15" s="2152" t="s">
        <v>2104</v>
      </c>
      <c r="D15" s="2153" t="s">
        <v>2106</v>
      </c>
      <c r="E15" s="2154">
        <v>847500</v>
      </c>
      <c r="F15" s="2154">
        <v>21705</v>
      </c>
      <c r="G15" s="2154">
        <v>847500</v>
      </c>
      <c r="H15" s="2139"/>
      <c r="I15" s="2139">
        <v>21705</v>
      </c>
      <c r="J15" s="2139"/>
      <c r="K15" s="2139"/>
      <c r="L15" s="2136">
        <f t="shared" si="0"/>
        <v>869205</v>
      </c>
      <c r="M15" s="2139">
        <v>1382458</v>
      </c>
    </row>
    <row r="16" spans="2:14" ht="20.100000000000001" customHeight="1" x14ac:dyDescent="0.2">
      <c r="B16" s="2151" t="s">
        <v>2107</v>
      </c>
      <c r="C16" s="2152" t="s">
        <v>2104</v>
      </c>
      <c r="D16" s="2153" t="s">
        <v>2108</v>
      </c>
      <c r="E16" s="2154"/>
      <c r="F16" s="2154">
        <v>998516</v>
      </c>
      <c r="G16" s="2154"/>
      <c r="H16" s="2139"/>
      <c r="I16" s="2139">
        <v>998516</v>
      </c>
      <c r="J16" s="2139"/>
      <c r="K16" s="2139"/>
      <c r="L16" s="2136">
        <f t="shared" si="0"/>
        <v>998516</v>
      </c>
      <c r="M16" s="2139">
        <v>1428967</v>
      </c>
    </row>
    <row r="17" spans="2:14" ht="20.100000000000001" customHeight="1" x14ac:dyDescent="0.2">
      <c r="B17" s="2155" t="s">
        <v>2109</v>
      </c>
      <c r="C17" s="2156" t="s">
        <v>2104</v>
      </c>
      <c r="D17" s="2156" t="s">
        <v>2110</v>
      </c>
      <c r="E17" s="2158">
        <v>34946</v>
      </c>
      <c r="F17" s="2158"/>
      <c r="G17" s="2158">
        <v>34946</v>
      </c>
      <c r="H17" s="2139"/>
      <c r="I17" s="2139">
        <v>0</v>
      </c>
      <c r="J17" s="2139"/>
      <c r="K17" s="2139"/>
      <c r="L17" s="2136">
        <f t="shared" si="0"/>
        <v>34946</v>
      </c>
      <c r="M17" s="2139" t="s">
        <v>2079</v>
      </c>
    </row>
    <row r="18" spans="2:14" ht="20.100000000000001" customHeight="1" x14ac:dyDescent="0.2">
      <c r="B18" s="2155" t="s">
        <v>2109</v>
      </c>
      <c r="C18" s="2156" t="s">
        <v>2104</v>
      </c>
      <c r="D18" s="2157" t="s">
        <v>2111</v>
      </c>
      <c r="E18" s="2158">
        <v>76775</v>
      </c>
      <c r="F18" s="2158">
        <v>8531</v>
      </c>
      <c r="G18" s="2158">
        <v>76775</v>
      </c>
      <c r="H18" s="2139"/>
      <c r="I18" s="2139">
        <v>8530</v>
      </c>
      <c r="J18" s="2139"/>
      <c r="K18" s="2139"/>
      <c r="L18" s="2136">
        <f t="shared" si="0"/>
        <v>85305</v>
      </c>
      <c r="M18" s="2139" t="s">
        <v>2079</v>
      </c>
    </row>
    <row r="19" spans="2:14" ht="20.100000000000001" customHeight="1" x14ac:dyDescent="0.2">
      <c r="B19" s="2159" t="s">
        <v>2112</v>
      </c>
      <c r="C19" s="2160" t="s">
        <v>2113</v>
      </c>
      <c r="D19" s="2161" t="s">
        <v>2114</v>
      </c>
      <c r="E19" s="2162">
        <v>0</v>
      </c>
      <c r="F19" s="2162">
        <v>276734</v>
      </c>
      <c r="G19" s="2139">
        <v>0</v>
      </c>
      <c r="H19" s="2139"/>
      <c r="I19" s="2139">
        <v>276734</v>
      </c>
      <c r="J19" s="2139"/>
      <c r="K19" s="2139"/>
      <c r="L19" s="2136">
        <f t="shared" si="0"/>
        <v>276734</v>
      </c>
      <c r="M19" s="2139">
        <v>373134</v>
      </c>
    </row>
    <row r="20" spans="2:14" ht="20.100000000000001" customHeight="1" x14ac:dyDescent="0.2">
      <c r="B20" s="2100" t="s">
        <v>2122</v>
      </c>
      <c r="C20" s="2137"/>
      <c r="D20" s="2138"/>
      <c r="E20" s="2139">
        <f>E11+E12+E13+E14+E15+E16+E17+E18+E19</f>
        <v>1727441</v>
      </c>
      <c r="F20" s="2246">
        <f t="shared" ref="F20:K20" si="1">F11+F12+F13+F14+F15+F16+F17+F18+F19</f>
        <v>1994053</v>
      </c>
      <c r="G20" s="2246">
        <f t="shared" si="1"/>
        <v>1727441</v>
      </c>
      <c r="H20" s="2246">
        <f t="shared" si="1"/>
        <v>0</v>
      </c>
      <c r="I20" s="2246">
        <f t="shared" si="1"/>
        <v>1994052</v>
      </c>
      <c r="J20" s="2246">
        <f t="shared" si="1"/>
        <v>0</v>
      </c>
      <c r="K20" s="2246">
        <f t="shared" si="1"/>
        <v>0</v>
      </c>
      <c r="L20" s="2136">
        <f t="shared" si="0"/>
        <v>3721493</v>
      </c>
      <c r="M20" s="2246">
        <f>M11+M12+M13+M14+M15+M16+M19</f>
        <v>6871549</v>
      </c>
    </row>
    <row r="21" spans="2:14" ht="20.100000000000001" customHeight="1" x14ac:dyDescent="0.2">
      <c r="B21" s="2164"/>
      <c r="C21" s="2042"/>
      <c r="D21" s="2041"/>
      <c r="E21" s="2164"/>
      <c r="F21" s="2164"/>
      <c r="G21" s="2040"/>
      <c r="H21" s="2040"/>
      <c r="I21" s="2040"/>
      <c r="J21" s="2040"/>
      <c r="K21" s="2040"/>
      <c r="L21" s="2040"/>
      <c r="M21" s="2164"/>
    </row>
    <row r="22" spans="2:14" ht="20.100000000000001" customHeight="1" x14ac:dyDescent="0.2">
      <c r="B22" s="2251" t="s">
        <v>2115</v>
      </c>
      <c r="C22" s="2244"/>
      <c r="D22" s="2245"/>
      <c r="E22" s="2246"/>
      <c r="F22" s="2246"/>
      <c r="G22" s="2246"/>
      <c r="H22" s="2139"/>
      <c r="I22" s="2139"/>
      <c r="J22" s="2139"/>
      <c r="K22" s="2139"/>
      <c r="L22" s="2136">
        <f t="shared" ref="L22:L27" si="2">+G22+I22+K22</f>
        <v>0</v>
      </c>
      <c r="M22" s="2139"/>
    </row>
    <row r="23" spans="2:14" ht="20.100000000000001" customHeight="1" x14ac:dyDescent="0.2">
      <c r="B23" s="2251" t="s">
        <v>2116</v>
      </c>
      <c r="C23" s="2244"/>
      <c r="D23" s="2245"/>
      <c r="E23" s="2246"/>
      <c r="F23" s="2246"/>
      <c r="G23" s="2246"/>
      <c r="H23" s="2139"/>
      <c r="I23" s="2144"/>
      <c r="J23" s="2139"/>
      <c r="K23" s="2139"/>
      <c r="L23" s="2136">
        <f t="shared" si="2"/>
        <v>0</v>
      </c>
      <c r="M23" s="2139"/>
    </row>
    <row r="24" spans="2:14" ht="20.100000000000001" customHeight="1" x14ac:dyDescent="0.2">
      <c r="B24" s="2209" t="s">
        <v>2117</v>
      </c>
      <c r="C24" s="2244">
        <v>10.555999999999999</v>
      </c>
      <c r="D24" s="2245" t="s">
        <v>2118</v>
      </c>
      <c r="E24" s="2246">
        <v>8005</v>
      </c>
      <c r="F24" s="2246"/>
      <c r="G24" s="2246">
        <v>8005</v>
      </c>
      <c r="H24" s="2139"/>
      <c r="I24" s="2139"/>
      <c r="J24" s="2139"/>
      <c r="K24" s="2139"/>
      <c r="L24" s="2136">
        <f t="shared" si="2"/>
        <v>8005</v>
      </c>
      <c r="M24" s="2139" t="s">
        <v>2079</v>
      </c>
    </row>
    <row r="25" spans="2:14" ht="20.100000000000001" customHeight="1" x14ac:dyDescent="0.2">
      <c r="B25" s="2209" t="s">
        <v>2117</v>
      </c>
      <c r="C25" s="2244">
        <v>10.555999999999999</v>
      </c>
      <c r="D25" s="2245" t="s">
        <v>2119</v>
      </c>
      <c r="E25" s="2246">
        <v>53155</v>
      </c>
      <c r="F25" s="2246">
        <v>9953</v>
      </c>
      <c r="G25" s="2246">
        <v>53155</v>
      </c>
      <c r="H25" s="2139"/>
      <c r="I25" s="2139">
        <v>9953</v>
      </c>
      <c r="J25" s="2139"/>
      <c r="K25" s="2139"/>
      <c r="L25" s="2136">
        <f t="shared" si="2"/>
        <v>63108</v>
      </c>
      <c r="M25" s="2139" t="s">
        <v>2079</v>
      </c>
    </row>
    <row r="26" spans="2:14" ht="20.100000000000001" customHeight="1" x14ac:dyDescent="0.2">
      <c r="B26" s="2209" t="s">
        <v>2117</v>
      </c>
      <c r="C26" s="2244">
        <v>10.555999999999999</v>
      </c>
      <c r="D26" s="2245" t="s">
        <v>2120</v>
      </c>
      <c r="E26" s="2246"/>
      <c r="F26" s="2246">
        <v>36261</v>
      </c>
      <c r="G26" s="2246"/>
      <c r="H26" s="2139"/>
      <c r="I26" s="2139">
        <v>36261</v>
      </c>
      <c r="J26" s="2139"/>
      <c r="K26" s="2139"/>
      <c r="L26" s="2136">
        <f t="shared" si="2"/>
        <v>36261</v>
      </c>
      <c r="M26" s="2139" t="s">
        <v>2079</v>
      </c>
    </row>
    <row r="27" spans="2:14" ht="20.100000000000001" customHeight="1" x14ac:dyDescent="0.2">
      <c r="B27" s="2251" t="s">
        <v>2121</v>
      </c>
      <c r="C27" s="2244"/>
      <c r="D27" s="2245"/>
      <c r="E27" s="2250">
        <f>E24+E25</f>
        <v>61160</v>
      </c>
      <c r="F27" s="2250">
        <f>F25+F26</f>
        <v>46214</v>
      </c>
      <c r="G27" s="2250">
        <f>G24+G25+G26</f>
        <v>61160</v>
      </c>
      <c r="H27" s="2139"/>
      <c r="I27" s="2139">
        <f>I25+I26</f>
        <v>46214</v>
      </c>
      <c r="J27" s="2139"/>
      <c r="K27" s="2139"/>
      <c r="L27" s="2136">
        <f t="shared" si="2"/>
        <v>107374</v>
      </c>
      <c r="M27" s="2139"/>
      <c r="N27" s="2101"/>
    </row>
    <row r="28" spans="2:14" ht="12.75" customHeight="1" x14ac:dyDescent="0.2">
      <c r="B28" s="2102"/>
      <c r="C28" s="2103"/>
      <c r="D28" s="2104"/>
      <c r="E28" s="2105"/>
      <c r="F28" s="2105"/>
      <c r="G28" s="2105"/>
      <c r="H28" s="2105"/>
      <c r="I28" s="2105"/>
      <c r="J28" s="2105"/>
      <c r="K28" s="2105"/>
      <c r="L28" s="2105"/>
      <c r="M28" s="2105"/>
      <c r="N28" s="2101"/>
    </row>
    <row r="29" spans="2:14" x14ac:dyDescent="0.2">
      <c r="B29" s="2057"/>
      <c r="C29" s="2106"/>
      <c r="D29" s="2107"/>
      <c r="E29" s="2057"/>
      <c r="F29" s="2057"/>
      <c r="G29" s="2056"/>
      <c r="H29" s="2056"/>
      <c r="I29" s="2056"/>
      <c r="J29" s="2056"/>
      <c r="K29" s="2056"/>
      <c r="L29" s="2056"/>
      <c r="M29" s="2057"/>
      <c r="N29" s="2101"/>
    </row>
    <row r="30" spans="2:14" ht="13.5" customHeight="1" x14ac:dyDescent="0.2">
      <c r="B30" s="2062" t="s">
        <v>1716</v>
      </c>
      <c r="C30" s="2106"/>
      <c r="D30" s="2107"/>
      <c r="E30" s="2057"/>
      <c r="F30" s="2057"/>
      <c r="G30" s="2056"/>
      <c r="H30" s="2056"/>
      <c r="I30" s="2056"/>
      <c r="J30" s="2056"/>
      <c r="K30" s="2056"/>
      <c r="L30" s="2056"/>
      <c r="M30" s="2057"/>
      <c r="N30" s="2101"/>
    </row>
    <row r="31" spans="2:14" ht="8.25" customHeight="1" x14ac:dyDescent="0.2">
      <c r="B31" s="2062"/>
      <c r="C31" s="2106"/>
      <c r="D31" s="2107"/>
      <c r="E31" s="2057"/>
      <c r="F31" s="2057"/>
      <c r="G31" s="2056"/>
      <c r="H31" s="2056"/>
      <c r="I31" s="2056"/>
      <c r="J31" s="2056"/>
      <c r="K31" s="2056"/>
      <c r="L31" s="2056"/>
      <c r="M31" s="2057"/>
      <c r="N31" s="2101"/>
    </row>
    <row r="32" spans="2:14" x14ac:dyDescent="0.2">
      <c r="B32" s="2108" t="s">
        <v>1814</v>
      </c>
      <c r="C32" s="2109"/>
      <c r="D32" s="2110"/>
      <c r="E32" s="2111"/>
      <c r="F32" s="2111"/>
      <c r="G32" s="2111"/>
      <c r="H32" s="2111"/>
      <c r="I32" s="2055"/>
      <c r="J32" s="2055"/>
    </row>
    <row r="33" spans="2:13" x14ac:dyDescent="0.2">
      <c r="B33" s="2060"/>
      <c r="C33" s="2112"/>
      <c r="D33" s="2113"/>
      <c r="E33" s="2061"/>
      <c r="F33" s="2061"/>
      <c r="G33" s="2055"/>
      <c r="H33" s="2055"/>
      <c r="I33" s="2055"/>
      <c r="J33" s="2055"/>
    </row>
    <row r="34" spans="2:13" ht="13.5" customHeight="1" x14ac:dyDescent="0.2">
      <c r="B34" s="2059" t="s">
        <v>1237</v>
      </c>
      <c r="G34" s="2055"/>
      <c r="H34" s="2055"/>
      <c r="I34" s="2055"/>
      <c r="J34" s="2055"/>
    </row>
    <row r="35" spans="2:13" ht="13.5" customHeight="1" x14ac:dyDescent="0.2">
      <c r="B35" s="2116"/>
      <c r="C35" s="2117"/>
      <c r="D35" s="2118"/>
      <c r="E35" s="2063"/>
      <c r="F35" s="2063"/>
      <c r="G35" s="2063"/>
      <c r="H35" s="2063"/>
      <c r="I35" s="2063"/>
      <c r="J35" s="2063"/>
      <c r="K35" s="2119"/>
      <c r="L35" s="2119"/>
      <c r="M35" s="2063"/>
    </row>
    <row r="36" spans="2:13" ht="9.6" customHeight="1" x14ac:dyDescent="0.2">
      <c r="B36" s="2120"/>
      <c r="G36" s="2055"/>
      <c r="H36" s="2055"/>
      <c r="I36" s="2055"/>
      <c r="J36" s="2055"/>
    </row>
    <row r="37" spans="2:13" ht="11.25" customHeight="1" x14ac:dyDescent="0.2">
      <c r="B37" s="2121" t="s">
        <v>1717</v>
      </c>
      <c r="C37" s="2122"/>
      <c r="D37" s="2122"/>
      <c r="E37" s="2122"/>
      <c r="F37" s="2122"/>
      <c r="G37" s="2122"/>
      <c r="H37" s="2122"/>
      <c r="I37" s="2123"/>
      <c r="J37" s="2123"/>
      <c r="K37" s="2123"/>
      <c r="L37" s="2123"/>
      <c r="M37" s="2123"/>
    </row>
    <row r="38" spans="2:13" ht="11.25" customHeight="1" x14ac:dyDescent="0.2">
      <c r="B38" s="2124" t="s">
        <v>1570</v>
      </c>
      <c r="C38" s="2123"/>
      <c r="D38" s="2123"/>
      <c r="E38" s="2123"/>
      <c r="F38" s="2123"/>
      <c r="G38" s="2123"/>
      <c r="H38" s="2123"/>
      <c r="I38" s="2123"/>
      <c r="J38" s="2123"/>
      <c r="K38" s="2123"/>
      <c r="L38" s="2123"/>
      <c r="M38" s="2123"/>
    </row>
    <row r="39" spans="2:13" ht="3.95" customHeight="1" x14ac:dyDescent="0.2">
      <c r="B39" s="2124"/>
      <c r="C39" s="2123"/>
      <c r="D39" s="2123"/>
      <c r="E39" s="2123"/>
      <c r="F39" s="2123"/>
      <c r="G39" s="2123"/>
      <c r="H39" s="2123"/>
      <c r="I39" s="2123"/>
      <c r="J39" s="2123"/>
      <c r="K39" s="2123"/>
      <c r="L39" s="2123"/>
      <c r="M39" s="2123"/>
    </row>
    <row r="40" spans="2:13" ht="11.25" customHeight="1" x14ac:dyDescent="0.2">
      <c r="B40" s="2121" t="s">
        <v>1718</v>
      </c>
      <c r="C40" s="2123"/>
      <c r="D40" s="2123"/>
      <c r="E40" s="2123"/>
      <c r="F40" s="2123"/>
      <c r="G40" s="2123"/>
      <c r="H40" s="2123"/>
      <c r="I40" s="2123"/>
      <c r="J40" s="2123"/>
      <c r="K40" s="2123"/>
      <c r="L40" s="2123"/>
      <c r="M40" s="2123"/>
    </row>
    <row r="41" spans="2:13" ht="11.25" customHeight="1" x14ac:dyDescent="0.2">
      <c r="B41" s="2064" t="s">
        <v>1571</v>
      </c>
      <c r="C41" s="2125"/>
      <c r="D41" s="2126"/>
      <c r="E41" s="2064"/>
      <c r="F41" s="2064"/>
      <c r="G41" s="2064"/>
      <c r="H41" s="2064"/>
      <c r="I41" s="2064"/>
      <c r="J41" s="2064"/>
      <c r="K41" s="2127"/>
      <c r="L41" s="2127"/>
      <c r="M41" s="2064"/>
    </row>
    <row r="42" spans="2:13" ht="3.95" customHeight="1" x14ac:dyDescent="0.2">
      <c r="B42" s="2064"/>
      <c r="C42" s="2125"/>
      <c r="D42" s="2126"/>
      <c r="E42" s="2064"/>
      <c r="F42" s="2064"/>
      <c r="G42" s="2064"/>
      <c r="H42" s="2064"/>
      <c r="I42" s="2064"/>
      <c r="J42" s="2064"/>
      <c r="K42" s="2127"/>
      <c r="L42" s="2127"/>
      <c r="M42" s="2064"/>
    </row>
    <row r="43" spans="2:13" ht="11.25" customHeight="1" x14ac:dyDescent="0.2">
      <c r="B43" s="2128" t="s">
        <v>1719</v>
      </c>
      <c r="C43" s="2125"/>
      <c r="D43" s="2126"/>
      <c r="E43" s="2064"/>
      <c r="F43" s="2064"/>
      <c r="G43" s="2064"/>
      <c r="H43" s="2064"/>
      <c r="I43" s="2064"/>
      <c r="J43" s="2064"/>
      <c r="K43" s="2127"/>
      <c r="L43" s="2127"/>
      <c r="M43" s="2064"/>
    </row>
    <row r="44" spans="2:13" ht="3.95" customHeight="1" x14ac:dyDescent="0.2">
      <c r="B44" s="2128"/>
      <c r="C44" s="2125"/>
      <c r="D44" s="2126"/>
      <c r="E44" s="2064"/>
      <c r="F44" s="2064"/>
      <c r="G44" s="2064"/>
      <c r="H44" s="2064"/>
      <c r="I44" s="2064"/>
      <c r="J44" s="2064"/>
      <c r="K44" s="2127"/>
      <c r="L44" s="2127"/>
      <c r="M44" s="2064"/>
    </row>
    <row r="45" spans="2:13" ht="11.25" customHeight="1" x14ac:dyDescent="0.2">
      <c r="B45" s="2129" t="s">
        <v>1720</v>
      </c>
      <c r="C45" s="2125"/>
      <c r="D45" s="2126"/>
      <c r="E45" s="2064"/>
      <c r="F45" s="2064"/>
      <c r="G45" s="2064"/>
      <c r="H45" s="2064"/>
      <c r="I45" s="2064"/>
      <c r="J45" s="2064"/>
      <c r="K45" s="2127"/>
      <c r="L45" s="2127"/>
      <c r="M45" s="2064"/>
    </row>
    <row r="46" spans="2:13" ht="11.25" customHeight="1" x14ac:dyDescent="0.2">
      <c r="B46" s="2064" t="s">
        <v>1572</v>
      </c>
      <c r="G46" s="2055"/>
      <c r="H46" s="2055"/>
      <c r="I46" s="2055"/>
      <c r="J46" s="2055"/>
    </row>
    <row r="47" spans="2:13" ht="11.1" customHeight="1" x14ac:dyDescent="0.2">
      <c r="B47" s="2064"/>
      <c r="G47" s="2055"/>
      <c r="H47" s="2055"/>
      <c r="I47" s="2055"/>
      <c r="J47" s="2055"/>
    </row>
    <row r="48" spans="2:13" ht="11.1" customHeight="1" x14ac:dyDescent="0.2">
      <c r="B48" s="2064"/>
      <c r="G48" s="2055"/>
      <c r="H48" s="2055"/>
      <c r="I48" s="2055"/>
      <c r="J48" s="2055"/>
    </row>
    <row r="49" spans="7:13" ht="13.5" customHeight="1" x14ac:dyDescent="0.2">
      <c r="M49" s="2130"/>
    </row>
    <row r="50" spans="7:13" ht="13.5" customHeight="1" x14ac:dyDescent="0.2">
      <c r="M50" s="2130"/>
    </row>
    <row r="51" spans="7:13" ht="13.5" customHeight="1" x14ac:dyDescent="0.2">
      <c r="M51" s="2130"/>
    </row>
    <row r="52" spans="7:13" ht="13.5" customHeight="1" x14ac:dyDescent="0.2">
      <c r="G52" s="2055"/>
      <c r="H52" s="2055"/>
      <c r="I52" s="2055"/>
      <c r="J52" s="2055"/>
    </row>
    <row r="53" spans="7:13" ht="13.5" customHeight="1" x14ac:dyDescent="0.2">
      <c r="G53" s="2055"/>
      <c r="H53" s="2055"/>
      <c r="I53" s="2055"/>
      <c r="J53" s="2055"/>
    </row>
    <row r="54" spans="7:13" ht="13.5" customHeight="1" x14ac:dyDescent="0.2">
      <c r="G54" s="2055"/>
      <c r="H54" s="2055"/>
      <c r="I54" s="2055"/>
      <c r="J54" s="2055"/>
    </row>
    <row r="55" spans="7:13" ht="13.5" customHeight="1" x14ac:dyDescent="0.2">
      <c r="G55" s="2055"/>
      <c r="H55" s="2055"/>
      <c r="I55" s="2055"/>
      <c r="J55" s="2055"/>
    </row>
    <row r="56" spans="7:13" ht="13.5" customHeight="1" x14ac:dyDescent="0.2">
      <c r="G56" s="2055"/>
      <c r="H56" s="2055"/>
      <c r="I56" s="2055"/>
      <c r="J56" s="2055"/>
    </row>
    <row r="57" spans="7:13" ht="13.5" customHeight="1" x14ac:dyDescent="0.2">
      <c r="G57" s="2055"/>
      <c r="H57" s="2055"/>
      <c r="I57" s="2055"/>
      <c r="J57" s="2055"/>
    </row>
    <row r="58" spans="7:13" ht="13.5" customHeight="1" x14ac:dyDescent="0.2">
      <c r="G58" s="2055"/>
      <c r="H58" s="2055"/>
      <c r="I58" s="2055"/>
      <c r="J58" s="205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view="pageBreakPreview" topLeftCell="A7" zoomScale="60" zoomScaleNormal="100" workbookViewId="0">
      <selection activeCell="F21" sqref="F21:F22"/>
    </sheetView>
  </sheetViews>
  <sheetFormatPr defaultColWidth="33.5703125" defaultRowHeight="12.75" x14ac:dyDescent="0.2"/>
  <cols>
    <col min="1" max="1" width="0.140625" style="2163" customWidth="1"/>
    <col min="2" max="2" width="32.85546875" style="2163" customWidth="1"/>
    <col min="3" max="3" width="8.7109375" style="2223" customWidth="1"/>
    <col min="4" max="4" width="12.7109375" style="2224" customWidth="1"/>
    <col min="5" max="6" width="11.7109375" style="2163" customWidth="1"/>
    <col min="7" max="7" width="11.7109375" style="2167" customWidth="1"/>
    <col min="8" max="8" width="13.7109375" style="2167" bestFit="1" customWidth="1"/>
    <col min="9" max="9" width="11.7109375" style="2167" customWidth="1"/>
    <col min="10" max="10" width="13.7109375" style="2167" customWidth="1"/>
    <col min="11" max="12" width="11.7109375" style="2167" customWidth="1"/>
    <col min="13" max="13" width="11.7109375" style="2163" customWidth="1"/>
    <col min="14" max="14" width="2.7109375" style="2163" customWidth="1"/>
    <col min="15" max="16384" width="33.5703125" style="2163"/>
  </cols>
  <sheetData>
    <row r="1" spans="2:14" ht="11.85" customHeight="1" x14ac:dyDescent="0.2">
      <c r="B1" s="2751" t="str">
        <f>'Single Audit Cover'!A7</f>
        <v xml:space="preserve"> Kirby SD 140</v>
      </c>
      <c r="C1" s="2796"/>
      <c r="D1" s="2796"/>
      <c r="E1" s="2796"/>
      <c r="F1" s="2796"/>
      <c r="G1" s="2796"/>
      <c r="H1" s="2796"/>
      <c r="I1" s="2796"/>
      <c r="J1" s="2796"/>
      <c r="K1" s="2796"/>
      <c r="L1" s="2796"/>
      <c r="M1" s="2796"/>
    </row>
    <row r="2" spans="2:14" ht="15" x14ac:dyDescent="0.2">
      <c r="B2" s="2797">
        <f>'Single Audit Cover'!E7</f>
        <v>7016140002</v>
      </c>
      <c r="C2" s="2797"/>
      <c r="D2" s="2797"/>
      <c r="E2" s="2797"/>
      <c r="F2" s="2797"/>
      <c r="G2" s="2797"/>
      <c r="H2" s="2797"/>
      <c r="I2" s="2797"/>
      <c r="J2" s="2797"/>
      <c r="K2" s="2797"/>
      <c r="L2" s="2797"/>
      <c r="M2" s="2797"/>
      <c r="N2" s="2174"/>
    </row>
    <row r="3" spans="2:14" ht="15" x14ac:dyDescent="0.2">
      <c r="B3" s="2798" t="s">
        <v>1210</v>
      </c>
      <c r="C3" s="2798"/>
      <c r="D3" s="2798"/>
      <c r="E3" s="2798"/>
      <c r="F3" s="2798"/>
      <c r="G3" s="2798"/>
      <c r="H3" s="2798"/>
      <c r="I3" s="2798"/>
      <c r="J3" s="2798"/>
      <c r="K3" s="2798"/>
      <c r="L3" s="2798"/>
      <c r="M3" s="2798"/>
      <c r="N3" s="2174"/>
    </row>
    <row r="4" spans="2:14" ht="15" x14ac:dyDescent="0.2">
      <c r="B4" s="2799" t="str">
        <f>'Single Audit Cover'!A4</f>
        <v>Year Ending June 30, 2020</v>
      </c>
      <c r="C4" s="2799"/>
      <c r="D4" s="2799"/>
      <c r="E4" s="2799"/>
      <c r="F4" s="2799"/>
      <c r="G4" s="2799"/>
      <c r="H4" s="2799"/>
      <c r="I4" s="2799"/>
      <c r="J4" s="2799"/>
      <c r="K4" s="2799"/>
      <c r="L4" s="2799"/>
      <c r="M4" s="2799"/>
      <c r="N4" s="2174"/>
    </row>
    <row r="5" spans="2:14" x14ac:dyDescent="0.2">
      <c r="H5" s="2248"/>
      <c r="J5" s="2248"/>
    </row>
    <row r="6" spans="2:14" x14ac:dyDescent="0.2">
      <c r="B6" s="2175"/>
      <c r="C6" s="2176"/>
      <c r="D6" s="2177" t="s">
        <v>1256</v>
      </c>
      <c r="E6" s="2178" t="s">
        <v>524</v>
      </c>
      <c r="F6" s="2179"/>
      <c r="G6" s="2180" t="s">
        <v>1713</v>
      </c>
      <c r="H6" s="2178"/>
      <c r="I6" s="2178"/>
      <c r="J6" s="2249"/>
      <c r="K6" s="2181"/>
      <c r="L6" s="2182"/>
      <c r="M6" s="2183"/>
    </row>
    <row r="7" spans="2:14" x14ac:dyDescent="0.2">
      <c r="B7" s="2184" t="s">
        <v>1567</v>
      </c>
      <c r="C7" s="2185"/>
      <c r="D7" s="2186"/>
      <c r="E7" s="2187"/>
      <c r="F7" s="2188"/>
      <c r="G7" s="2187"/>
      <c r="H7" s="2189" t="s">
        <v>1253</v>
      </c>
      <c r="I7" s="2187"/>
      <c r="J7" s="2190" t="s">
        <v>1253</v>
      </c>
      <c r="K7" s="2191"/>
      <c r="L7" s="2192" t="s">
        <v>1251</v>
      </c>
      <c r="M7" s="2193"/>
    </row>
    <row r="8" spans="2:14" x14ac:dyDescent="0.2">
      <c r="B8" s="2240"/>
      <c r="C8" s="2185" t="s">
        <v>1255</v>
      </c>
      <c r="D8" s="2186" t="s">
        <v>1254</v>
      </c>
      <c r="E8" s="2194" t="s">
        <v>1253</v>
      </c>
      <c r="F8" s="2195" t="s">
        <v>1253</v>
      </c>
      <c r="G8" s="2196" t="s">
        <v>1253</v>
      </c>
      <c r="H8" s="2241" t="str">
        <f>"7/1/"&amp;MID('AFR20'!$E$2,3,2)-2&amp;"-6/30/"&amp;MID('AFR20'!$E$2,3,2)-1</f>
        <v>7/1/18-6/30/19</v>
      </c>
      <c r="I8" s="2191" t="s">
        <v>1253</v>
      </c>
      <c r="J8" s="2242" t="str">
        <f>"7/1/"&amp;MID('AFR20'!$E$2,3,2)-1&amp;"-6/30/"&amp;MID('AFR20'!$E$2,3,2)</f>
        <v>7/1/19-6/30/20</v>
      </c>
      <c r="K8" s="2191" t="s">
        <v>1252</v>
      </c>
      <c r="L8" s="2192" t="s">
        <v>1248</v>
      </c>
      <c r="M8" s="2193" t="s">
        <v>30</v>
      </c>
    </row>
    <row r="9" spans="2:14" ht="14.25" x14ac:dyDescent="0.2">
      <c r="B9" s="2197" t="s">
        <v>1250</v>
      </c>
      <c r="C9" s="2185" t="s">
        <v>1714</v>
      </c>
      <c r="D9" s="2186" t="s">
        <v>1715</v>
      </c>
      <c r="E9" s="2247" t="str">
        <f>"7/1/"&amp;MID('AFR20'!$E$2,3,2)-2&amp;"-6/30/"&amp;MID('AFR20'!$E$2,3,2)-1</f>
        <v>7/1/18-6/30/19</v>
      </c>
      <c r="F9" s="2247" t="str">
        <f>"7/1/"&amp;MID('AFR20'!$E$2,3,2)-1&amp;"-6/30/"&amp;MID('AFR20'!$E$2,3,2)</f>
        <v>7/1/19-6/30/20</v>
      </c>
      <c r="G9" s="2247" t="str">
        <f>"7/1/"&amp;MID('AFR20'!$E$2,3,2)-2&amp;"-6/30/"&amp;MID('AFR20'!$E$2,3,2)-1</f>
        <v>7/1/18-6/30/19</v>
      </c>
      <c r="H9" s="2189" t="s">
        <v>1568</v>
      </c>
      <c r="I9" s="2247" t="str">
        <f>"7/1/"&amp;MID('AFR20'!$E$2,3,2)-1&amp;"-6/30/"&amp;MID('AFR20'!$E$2,3,2)</f>
        <v>7/1/19-6/30/20</v>
      </c>
      <c r="J9" s="2190" t="s">
        <v>1568</v>
      </c>
      <c r="K9" s="2191" t="s">
        <v>1249</v>
      </c>
      <c r="L9" s="2198" t="s">
        <v>1569</v>
      </c>
      <c r="M9" s="2193"/>
    </row>
    <row r="10" spans="2:14" ht="11.85" customHeight="1" x14ac:dyDescent="0.2">
      <c r="B10" s="2197" t="s">
        <v>1247</v>
      </c>
      <c r="C10" s="2199" t="s">
        <v>1246</v>
      </c>
      <c r="D10" s="2200" t="s">
        <v>1245</v>
      </c>
      <c r="E10" s="2201" t="s">
        <v>1244</v>
      </c>
      <c r="F10" s="2202" t="s">
        <v>1243</v>
      </c>
      <c r="G10" s="2203" t="s">
        <v>1242</v>
      </c>
      <c r="H10" s="2204" t="s">
        <v>1257</v>
      </c>
      <c r="I10" s="2205" t="s">
        <v>1241</v>
      </c>
      <c r="J10" s="2206" t="s">
        <v>1257</v>
      </c>
      <c r="K10" s="2207" t="s">
        <v>1240</v>
      </c>
      <c r="L10" s="2207" t="s">
        <v>1239</v>
      </c>
      <c r="M10" s="2208" t="s">
        <v>1238</v>
      </c>
    </row>
    <row r="11" spans="2:14" ht="20.100000000000001" customHeight="1" x14ac:dyDescent="0.2">
      <c r="B11" s="2258" t="s">
        <v>2123</v>
      </c>
      <c r="C11" s="2254"/>
      <c r="D11" s="2255"/>
      <c r="E11" s="2257"/>
      <c r="F11" s="2257"/>
      <c r="G11" s="2257"/>
      <c r="H11" s="2243"/>
      <c r="I11" s="2243"/>
      <c r="J11" s="2243"/>
      <c r="K11" s="2243"/>
      <c r="L11" s="2243">
        <f>+G11+I11+K11</f>
        <v>0</v>
      </c>
      <c r="M11" s="2243"/>
    </row>
    <row r="12" spans="2:14" ht="20.100000000000001" customHeight="1" x14ac:dyDescent="0.2">
      <c r="B12" s="2258" t="s">
        <v>2124</v>
      </c>
      <c r="C12" s="2254"/>
      <c r="D12" s="2255"/>
      <c r="E12" s="2257"/>
      <c r="F12" s="2257"/>
      <c r="G12" s="2257"/>
      <c r="H12" s="2246"/>
      <c r="I12" s="2246"/>
      <c r="J12" s="2246"/>
      <c r="K12" s="2246"/>
      <c r="L12" s="2243">
        <f t="shared" ref="L12:L20" si="0">+G12+I12+K12</f>
        <v>0</v>
      </c>
      <c r="M12" s="2246"/>
    </row>
    <row r="13" spans="2:14" ht="20.100000000000001" customHeight="1" x14ac:dyDescent="0.2">
      <c r="B13" s="2258" t="s">
        <v>2125</v>
      </c>
      <c r="C13" s="2254"/>
      <c r="D13" s="2255"/>
      <c r="E13" s="2256"/>
      <c r="F13" s="2256"/>
      <c r="G13" s="2256"/>
      <c r="H13" s="2246"/>
      <c r="I13" s="2246"/>
      <c r="J13" s="2246"/>
      <c r="K13" s="2246"/>
      <c r="L13" s="2243">
        <f t="shared" si="0"/>
        <v>0</v>
      </c>
      <c r="M13" s="2246"/>
    </row>
    <row r="14" spans="2:14" ht="20.100000000000001" customHeight="1" x14ac:dyDescent="0.2">
      <c r="B14" s="2253" t="s">
        <v>2126</v>
      </c>
      <c r="C14" s="2254">
        <v>93.778000000000006</v>
      </c>
      <c r="D14" s="2255">
        <v>2019</v>
      </c>
      <c r="E14" s="2256">
        <v>52077</v>
      </c>
      <c r="F14" s="2256"/>
      <c r="G14" s="2256">
        <v>52077</v>
      </c>
      <c r="H14" s="2246"/>
      <c r="I14" s="2246"/>
      <c r="J14" s="2246"/>
      <c r="K14" s="2246"/>
      <c r="L14" s="2243">
        <f t="shared" si="0"/>
        <v>52077</v>
      </c>
      <c r="M14" s="2246" t="s">
        <v>2079</v>
      </c>
    </row>
    <row r="15" spans="2:14" ht="20.100000000000001" customHeight="1" x14ac:dyDescent="0.2">
      <c r="B15" s="2253" t="s">
        <v>2126</v>
      </c>
      <c r="C15" s="2254">
        <v>93.778000000000006</v>
      </c>
      <c r="D15" s="2255">
        <v>2020</v>
      </c>
      <c r="E15" s="2256"/>
      <c r="F15" s="2256">
        <v>73924</v>
      </c>
      <c r="G15" s="2256"/>
      <c r="H15" s="2246"/>
      <c r="I15" s="2246">
        <v>73924</v>
      </c>
      <c r="J15" s="2246"/>
      <c r="K15" s="2246"/>
      <c r="L15" s="2243">
        <f t="shared" si="0"/>
        <v>73924</v>
      </c>
      <c r="M15" s="2246" t="s">
        <v>2079</v>
      </c>
    </row>
    <row r="16" spans="2:14" ht="20.100000000000001" customHeight="1" x14ac:dyDescent="0.2">
      <c r="B16" s="2258" t="s">
        <v>2127</v>
      </c>
      <c r="C16" s="2254"/>
      <c r="D16" s="2259"/>
      <c r="E16" s="2257">
        <v>52077</v>
      </c>
      <c r="F16" s="2257">
        <v>73924</v>
      </c>
      <c r="G16" s="2257">
        <v>52077</v>
      </c>
      <c r="H16" s="2246">
        <v>0</v>
      </c>
      <c r="I16" s="2246">
        <f>I15+I14</f>
        <v>73924</v>
      </c>
      <c r="J16" s="2246">
        <v>0</v>
      </c>
      <c r="K16" s="2246">
        <v>0</v>
      </c>
      <c r="L16" s="2243">
        <f t="shared" si="0"/>
        <v>126001</v>
      </c>
      <c r="M16" s="2246"/>
    </row>
    <row r="17" spans="2:14" ht="20.100000000000001" customHeight="1" x14ac:dyDescent="0.2">
      <c r="B17" s="2209"/>
      <c r="C17" s="2244"/>
      <c r="D17" s="2244"/>
      <c r="E17" s="2246"/>
      <c r="F17" s="2246"/>
      <c r="G17" s="2246"/>
      <c r="H17" s="2246"/>
      <c r="I17" s="2246"/>
      <c r="J17" s="2246"/>
      <c r="K17" s="2246"/>
      <c r="L17" s="2243">
        <f t="shared" si="0"/>
        <v>0</v>
      </c>
      <c r="M17" s="2246"/>
    </row>
    <row r="18" spans="2:14" ht="20.100000000000001" customHeight="1" x14ac:dyDescent="0.2">
      <c r="B18" s="2209"/>
      <c r="C18" s="2244"/>
      <c r="D18" s="2245"/>
      <c r="E18" s="2246"/>
      <c r="F18" s="2246"/>
      <c r="G18" s="2246"/>
      <c r="H18" s="2246"/>
      <c r="I18" s="2246"/>
      <c r="J18" s="2246"/>
      <c r="K18" s="2246"/>
      <c r="L18" s="2243">
        <f t="shared" si="0"/>
        <v>0</v>
      </c>
      <c r="M18" s="2246"/>
    </row>
    <row r="19" spans="2:14" ht="20.100000000000001" customHeight="1" x14ac:dyDescent="0.2">
      <c r="B19" s="2209"/>
      <c r="C19" s="2244"/>
      <c r="D19" s="2245"/>
      <c r="E19" s="2246"/>
      <c r="F19" s="2246"/>
      <c r="G19" s="2246"/>
      <c r="H19" s="2246"/>
      <c r="I19" s="2246"/>
      <c r="J19" s="2246"/>
      <c r="K19" s="2246"/>
      <c r="L19" s="2243">
        <f t="shared" si="0"/>
        <v>0</v>
      </c>
      <c r="M19" s="2246"/>
    </row>
    <row r="20" spans="2:14" ht="20.100000000000001" customHeight="1" x14ac:dyDescent="0.2">
      <c r="B20" s="2209"/>
      <c r="C20" s="2244"/>
      <c r="D20" s="2245"/>
      <c r="E20" s="2246"/>
      <c r="F20" s="2246"/>
      <c r="G20" s="2246"/>
      <c r="H20" s="2246"/>
      <c r="I20" s="2246"/>
      <c r="J20" s="2246"/>
      <c r="K20" s="2246"/>
      <c r="L20" s="2243">
        <f t="shared" si="0"/>
        <v>0</v>
      </c>
      <c r="M20" s="2246"/>
    </row>
    <row r="21" spans="2:14" ht="20.100000000000001" customHeight="1" x14ac:dyDescent="0.2">
      <c r="B21" s="2164"/>
      <c r="C21" s="2042"/>
      <c r="D21" s="2041"/>
      <c r="E21" s="2164"/>
      <c r="F21" s="2164"/>
      <c r="G21" s="2040"/>
      <c r="H21" s="2040"/>
      <c r="I21" s="2040"/>
      <c r="J21" s="2040"/>
      <c r="K21" s="2040"/>
      <c r="L21" s="2040"/>
      <c r="M21" s="2164"/>
    </row>
    <row r="22" spans="2:14" ht="20.100000000000001" customHeight="1" x14ac:dyDescent="0.2">
      <c r="B22" s="2251"/>
      <c r="C22" s="2244"/>
      <c r="D22" s="2245"/>
      <c r="E22" s="2246"/>
      <c r="F22" s="2246"/>
      <c r="G22" s="2246"/>
      <c r="H22" s="2246"/>
      <c r="I22" s="2246"/>
      <c r="J22" s="2246"/>
      <c r="K22" s="2246"/>
      <c r="L22" s="2243">
        <f t="shared" ref="L22:L27" si="1">+G22+I22+K22</f>
        <v>0</v>
      </c>
      <c r="M22" s="2246"/>
    </row>
    <row r="23" spans="2:14" ht="20.100000000000001" customHeight="1" x14ac:dyDescent="0.2">
      <c r="B23" s="2251"/>
      <c r="C23" s="2244"/>
      <c r="D23" s="2245"/>
      <c r="E23" s="2246"/>
      <c r="F23" s="2246"/>
      <c r="G23" s="2246"/>
      <c r="H23" s="2246"/>
      <c r="I23" s="2252"/>
      <c r="J23" s="2246"/>
      <c r="K23" s="2246"/>
      <c r="L23" s="2243">
        <f t="shared" si="1"/>
        <v>0</v>
      </c>
      <c r="M23" s="2246"/>
    </row>
    <row r="24" spans="2:14" ht="20.100000000000001" customHeight="1" x14ac:dyDescent="0.2">
      <c r="B24" s="2209"/>
      <c r="C24" s="2244"/>
      <c r="D24" s="2245"/>
      <c r="E24" s="2246"/>
      <c r="F24" s="2246"/>
      <c r="G24" s="2246"/>
      <c r="H24" s="2246"/>
      <c r="I24" s="2246"/>
      <c r="J24" s="2246"/>
      <c r="K24" s="2246"/>
      <c r="L24" s="2243">
        <f t="shared" si="1"/>
        <v>0</v>
      </c>
      <c r="M24" s="2246"/>
    </row>
    <row r="25" spans="2:14" ht="20.100000000000001" customHeight="1" x14ac:dyDescent="0.2">
      <c r="B25" s="2209"/>
      <c r="C25" s="2244"/>
      <c r="D25" s="2245"/>
      <c r="E25" s="2246"/>
      <c r="F25" s="2246"/>
      <c r="G25" s="2246"/>
      <c r="H25" s="2246"/>
      <c r="I25" s="2246"/>
      <c r="J25" s="2246"/>
      <c r="K25" s="2246"/>
      <c r="L25" s="2243">
        <f t="shared" si="1"/>
        <v>0</v>
      </c>
      <c r="M25" s="2246"/>
    </row>
    <row r="26" spans="2:14" ht="20.100000000000001" customHeight="1" x14ac:dyDescent="0.2">
      <c r="B26" s="2209"/>
      <c r="C26" s="2244"/>
      <c r="D26" s="2245"/>
      <c r="E26" s="2246"/>
      <c r="F26" s="2246"/>
      <c r="G26" s="2246"/>
      <c r="H26" s="2246"/>
      <c r="I26" s="2246"/>
      <c r="J26" s="2246"/>
      <c r="K26" s="2246"/>
      <c r="L26" s="2243">
        <f t="shared" si="1"/>
        <v>0</v>
      </c>
      <c r="M26" s="2246"/>
    </row>
    <row r="27" spans="2:14" ht="20.100000000000001" customHeight="1" x14ac:dyDescent="0.2">
      <c r="B27" s="2251" t="s">
        <v>2128</v>
      </c>
      <c r="C27" s="2244"/>
      <c r="D27" s="2245"/>
      <c r="E27" s="2250">
        <f>' SEFA (2)'!E20+' SEFA (2)'!E27+' SEFA (3)'!E16</f>
        <v>1840678</v>
      </c>
      <c r="F27" s="2257">
        <f>' SEFA (2)'!F20+' SEFA (2)'!F27+' SEFA (3)'!F16</f>
        <v>2114191</v>
      </c>
      <c r="G27" s="2257">
        <f>' SEFA (2)'!G20+' SEFA (2)'!G27+' SEFA (3)'!G16</f>
        <v>1840678</v>
      </c>
      <c r="H27" s="2257">
        <f>' SEFA (2)'!H20+' SEFA (2)'!H27+' SEFA (3)'!H16</f>
        <v>0</v>
      </c>
      <c r="I27" s="2257">
        <f>' SEFA (2)'!I20+' SEFA (2)'!I27+' SEFA (3)'!I16</f>
        <v>2114190</v>
      </c>
      <c r="J27" s="2257">
        <f>' SEFA (2)'!J20+' SEFA (2)'!J27+' SEFA (3)'!J16</f>
        <v>0</v>
      </c>
      <c r="K27" s="2257">
        <f>' SEFA (2)'!K20+' SEFA (2)'!K27+' SEFA (3)'!K16</f>
        <v>0</v>
      </c>
      <c r="L27" s="2243">
        <f t="shared" si="1"/>
        <v>3954868</v>
      </c>
      <c r="M27" s="2257"/>
      <c r="N27" s="2210"/>
    </row>
    <row r="28" spans="2:14" ht="12.75" customHeight="1" x14ac:dyDescent="0.2">
      <c r="B28" s="2211"/>
      <c r="C28" s="2212"/>
      <c r="D28" s="2213"/>
      <c r="E28" s="2214"/>
      <c r="F28" s="2214"/>
      <c r="G28" s="2214"/>
      <c r="H28" s="2214"/>
      <c r="I28" s="2214"/>
      <c r="J28" s="2214"/>
      <c r="K28" s="2214"/>
      <c r="L28" s="2214"/>
      <c r="M28" s="2214"/>
      <c r="N28" s="2210"/>
    </row>
    <row r="29" spans="2:14" x14ac:dyDescent="0.2">
      <c r="B29" s="2166"/>
      <c r="C29" s="2215"/>
      <c r="D29" s="2216"/>
      <c r="E29" s="2166"/>
      <c r="F29" s="2166"/>
      <c r="G29" s="2165"/>
      <c r="H29" s="2165"/>
      <c r="I29" s="2165"/>
      <c r="J29" s="2165"/>
      <c r="K29" s="2165"/>
      <c r="L29" s="2165"/>
      <c r="M29" s="2166"/>
      <c r="N29" s="2210"/>
    </row>
    <row r="30" spans="2:14" ht="13.5" customHeight="1" x14ac:dyDescent="0.2">
      <c r="B30" s="2171" t="s">
        <v>1716</v>
      </c>
      <c r="C30" s="2215"/>
      <c r="D30" s="2216"/>
      <c r="E30" s="2166"/>
      <c r="F30" s="2166"/>
      <c r="G30" s="2165"/>
      <c r="H30" s="2165"/>
      <c r="I30" s="2165"/>
      <c r="J30" s="2165"/>
      <c r="K30" s="2165"/>
      <c r="L30" s="2165"/>
      <c r="M30" s="2166"/>
      <c r="N30" s="2210"/>
    </row>
    <row r="31" spans="2:14" ht="8.25" customHeight="1" x14ac:dyDescent="0.2">
      <c r="B31" s="2171"/>
      <c r="C31" s="2215"/>
      <c r="D31" s="2216"/>
      <c r="E31" s="2166"/>
      <c r="F31" s="2166"/>
      <c r="G31" s="2165"/>
      <c r="H31" s="2165"/>
      <c r="I31" s="2165"/>
      <c r="J31" s="2165"/>
      <c r="K31" s="2165"/>
      <c r="L31" s="2165"/>
      <c r="M31" s="2166"/>
      <c r="N31" s="2210"/>
    </row>
    <row r="32" spans="2:14" x14ac:dyDescent="0.2">
      <c r="B32" s="2217" t="s">
        <v>1814</v>
      </c>
      <c r="C32" s="2218"/>
      <c r="D32" s="2219"/>
      <c r="E32" s="2220"/>
      <c r="F32" s="2220"/>
      <c r="G32" s="2220"/>
      <c r="H32" s="2220"/>
      <c r="I32" s="2163"/>
      <c r="J32" s="2163"/>
    </row>
    <row r="33" spans="2:13" x14ac:dyDescent="0.2">
      <c r="B33" s="2169"/>
      <c r="C33" s="2221"/>
      <c r="D33" s="2222"/>
      <c r="E33" s="2170"/>
      <c r="F33" s="2170"/>
      <c r="G33" s="2163"/>
      <c r="H33" s="2163"/>
      <c r="I33" s="2163"/>
      <c r="J33" s="2163"/>
    </row>
    <row r="34" spans="2:13" ht="13.5" customHeight="1" x14ac:dyDescent="0.2">
      <c r="B34" s="2168" t="s">
        <v>1237</v>
      </c>
      <c r="G34" s="2163"/>
      <c r="H34" s="2163"/>
      <c r="I34" s="2163"/>
      <c r="J34" s="2163"/>
    </row>
    <row r="35" spans="2:13" ht="13.5" customHeight="1" x14ac:dyDescent="0.2">
      <c r="B35" s="2225"/>
      <c r="C35" s="2226"/>
      <c r="D35" s="2227"/>
      <c r="E35" s="2172"/>
      <c r="F35" s="2172"/>
      <c r="G35" s="2172"/>
      <c r="H35" s="2172"/>
      <c r="I35" s="2172"/>
      <c r="J35" s="2172"/>
      <c r="K35" s="2228"/>
      <c r="L35" s="2228"/>
      <c r="M35" s="2172"/>
    </row>
    <row r="36" spans="2:13" ht="9.6" customHeight="1" x14ac:dyDescent="0.2">
      <c r="B36" s="2229"/>
      <c r="G36" s="2163"/>
      <c r="H36" s="2163"/>
      <c r="I36" s="2163"/>
      <c r="J36" s="2163"/>
    </row>
    <row r="37" spans="2:13" ht="11.25" customHeight="1" x14ac:dyDescent="0.2">
      <c r="B37" s="2230" t="s">
        <v>1717</v>
      </c>
      <c r="C37" s="2231"/>
      <c r="D37" s="2231"/>
      <c r="E37" s="2231"/>
      <c r="F37" s="2231"/>
      <c r="G37" s="2231"/>
      <c r="H37" s="2231"/>
      <c r="I37" s="2232"/>
      <c r="J37" s="2232"/>
      <c r="K37" s="2232"/>
      <c r="L37" s="2232"/>
      <c r="M37" s="2232"/>
    </row>
    <row r="38" spans="2:13" ht="11.25" customHeight="1" x14ac:dyDescent="0.2">
      <c r="B38" s="2233" t="s">
        <v>1570</v>
      </c>
      <c r="C38" s="2232"/>
      <c r="D38" s="2232"/>
      <c r="E38" s="2232"/>
      <c r="F38" s="2232"/>
      <c r="G38" s="2232"/>
      <c r="H38" s="2232"/>
      <c r="I38" s="2232"/>
      <c r="J38" s="2232"/>
      <c r="K38" s="2232"/>
      <c r="L38" s="2232"/>
      <c r="M38" s="2232"/>
    </row>
    <row r="39" spans="2:13" ht="3.95" customHeight="1" x14ac:dyDescent="0.2">
      <c r="B39" s="2233"/>
      <c r="C39" s="2232"/>
      <c r="D39" s="2232"/>
      <c r="E39" s="2232"/>
      <c r="F39" s="2232"/>
      <c r="G39" s="2232"/>
      <c r="H39" s="2232"/>
      <c r="I39" s="2232"/>
      <c r="J39" s="2232"/>
      <c r="K39" s="2232"/>
      <c r="L39" s="2232"/>
      <c r="M39" s="2232"/>
    </row>
    <row r="40" spans="2:13" ht="11.25" customHeight="1" x14ac:dyDescent="0.2">
      <c r="B40" s="2230" t="s">
        <v>1718</v>
      </c>
      <c r="C40" s="2232"/>
      <c r="D40" s="2232"/>
      <c r="E40" s="2232"/>
      <c r="F40" s="2232"/>
      <c r="G40" s="2232"/>
      <c r="H40" s="2232"/>
      <c r="I40" s="2232"/>
      <c r="J40" s="2232"/>
      <c r="K40" s="2232"/>
      <c r="L40" s="2232"/>
      <c r="M40" s="2232"/>
    </row>
    <row r="41" spans="2:13" ht="11.25" customHeight="1" x14ac:dyDescent="0.2">
      <c r="B41" s="2173" t="s">
        <v>1571</v>
      </c>
      <c r="C41" s="2234"/>
      <c r="D41" s="2235"/>
      <c r="E41" s="2173"/>
      <c r="F41" s="2173"/>
      <c r="G41" s="2173"/>
      <c r="H41" s="2173"/>
      <c r="I41" s="2173"/>
      <c r="J41" s="2173"/>
      <c r="K41" s="2236"/>
      <c r="L41" s="2236"/>
      <c r="M41" s="2173"/>
    </row>
    <row r="42" spans="2:13" ht="3.95" customHeight="1" x14ac:dyDescent="0.2">
      <c r="B42" s="2173"/>
      <c r="C42" s="2234"/>
      <c r="D42" s="2235"/>
      <c r="E42" s="2173"/>
      <c r="F42" s="2173"/>
      <c r="G42" s="2173"/>
      <c r="H42" s="2173"/>
      <c r="I42" s="2173"/>
      <c r="J42" s="2173"/>
      <c r="K42" s="2236"/>
      <c r="L42" s="2236"/>
      <c r="M42" s="2173"/>
    </row>
    <row r="43" spans="2:13" ht="11.25" customHeight="1" x14ac:dyDescent="0.2">
      <c r="B43" s="2237" t="s">
        <v>1719</v>
      </c>
      <c r="C43" s="2234"/>
      <c r="D43" s="2235"/>
      <c r="E43" s="2173"/>
      <c r="F43" s="2173"/>
      <c r="G43" s="2173"/>
      <c r="H43" s="2173"/>
      <c r="I43" s="2173"/>
      <c r="J43" s="2173"/>
      <c r="K43" s="2236"/>
      <c r="L43" s="2236"/>
      <c r="M43" s="2173"/>
    </row>
    <row r="44" spans="2:13" ht="3.95" customHeight="1" x14ac:dyDescent="0.2">
      <c r="B44" s="2237"/>
      <c r="C44" s="2234"/>
      <c r="D44" s="2235"/>
      <c r="E44" s="2173"/>
      <c r="F44" s="2173"/>
      <c r="G44" s="2173"/>
      <c r="H44" s="2173"/>
      <c r="I44" s="2173"/>
      <c r="J44" s="2173"/>
      <c r="K44" s="2236"/>
      <c r="L44" s="2236"/>
      <c r="M44" s="2173"/>
    </row>
    <row r="45" spans="2:13" ht="11.25" customHeight="1" x14ac:dyDescent="0.2">
      <c r="B45" s="2238" t="s">
        <v>1720</v>
      </c>
      <c r="C45" s="2234"/>
      <c r="D45" s="2235"/>
      <c r="E45" s="2173"/>
      <c r="F45" s="2173"/>
      <c r="G45" s="2173"/>
      <c r="H45" s="2173"/>
      <c r="I45" s="2173"/>
      <c r="J45" s="2173"/>
      <c r="K45" s="2236"/>
      <c r="L45" s="2236"/>
      <c r="M45" s="2173"/>
    </row>
    <row r="46" spans="2:13" ht="11.25" customHeight="1" x14ac:dyDescent="0.2">
      <c r="B46" s="2173" t="s">
        <v>1572</v>
      </c>
      <c r="G46" s="2163"/>
      <c r="H46" s="2163"/>
      <c r="I46" s="2163"/>
      <c r="J46" s="2163"/>
    </row>
    <row r="47" spans="2:13" ht="11.1" customHeight="1" x14ac:dyDescent="0.2">
      <c r="B47" s="2173"/>
      <c r="G47" s="2163"/>
      <c r="H47" s="2163"/>
      <c r="I47" s="2163"/>
      <c r="J47" s="2163"/>
    </row>
    <row r="48" spans="2:13" ht="11.1" customHeight="1" x14ac:dyDescent="0.2">
      <c r="B48" s="2173"/>
      <c r="G48" s="2163"/>
      <c r="H48" s="2163"/>
      <c r="I48" s="2163"/>
      <c r="J48" s="2163"/>
    </row>
    <row r="49" spans="7:13" ht="13.5" customHeight="1" x14ac:dyDescent="0.2">
      <c r="M49" s="2239"/>
    </row>
    <row r="50" spans="7:13" ht="13.5" customHeight="1" x14ac:dyDescent="0.2">
      <c r="M50" s="2239"/>
    </row>
    <row r="51" spans="7:13" ht="13.5" customHeight="1" x14ac:dyDescent="0.2">
      <c r="M51" s="2239"/>
    </row>
    <row r="52" spans="7:13" ht="13.5" customHeight="1" x14ac:dyDescent="0.2">
      <c r="G52" s="2163"/>
      <c r="H52" s="2163"/>
      <c r="I52" s="2163"/>
      <c r="J52" s="2163"/>
    </row>
    <row r="53" spans="7:13" ht="13.5" customHeight="1" x14ac:dyDescent="0.2">
      <c r="G53" s="2163"/>
      <c r="H53" s="2163"/>
      <c r="I53" s="2163"/>
      <c r="J53" s="2163"/>
    </row>
    <row r="54" spans="7:13" ht="13.5" customHeight="1" x14ac:dyDescent="0.2">
      <c r="G54" s="2163"/>
      <c r="H54" s="2163"/>
      <c r="I54" s="2163"/>
      <c r="J54" s="2163"/>
    </row>
    <row r="55" spans="7:13" ht="13.5" customHeight="1" x14ac:dyDescent="0.2">
      <c r="G55" s="2163"/>
      <c r="H55" s="2163"/>
      <c r="I55" s="2163"/>
      <c r="J55" s="2163"/>
    </row>
    <row r="56" spans="7:13" ht="13.5" customHeight="1" x14ac:dyDescent="0.2">
      <c r="G56" s="2163"/>
      <c r="H56" s="2163"/>
      <c r="I56" s="2163"/>
      <c r="J56" s="2163"/>
    </row>
    <row r="57" spans="7:13" ht="13.5" customHeight="1" x14ac:dyDescent="0.2">
      <c r="G57" s="2163"/>
      <c r="H57" s="2163"/>
      <c r="I57" s="2163"/>
      <c r="J57" s="2163"/>
    </row>
    <row r="58" spans="7:13" ht="13.5" customHeight="1" x14ac:dyDescent="0.2">
      <c r="G58" s="2163"/>
      <c r="H58" s="2163"/>
      <c r="I58" s="2163"/>
      <c r="J58" s="2163"/>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31"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801" t="str">
        <f>'Single Audit Cover'!A7</f>
        <v xml:space="preserve"> Kirby SD 140</v>
      </c>
      <c r="B1" s="2801"/>
      <c r="C1" s="2801"/>
      <c r="D1" s="2801"/>
      <c r="E1" s="2801"/>
      <c r="F1" s="2801"/>
    </row>
    <row r="2" spans="1:7" ht="13.5" customHeight="1" x14ac:dyDescent="0.2">
      <c r="A2" s="2797">
        <f>'Single Audit Cover'!E7</f>
        <v>7016140002</v>
      </c>
      <c r="B2" s="2797"/>
      <c r="C2" s="2797"/>
      <c r="D2" s="2797"/>
      <c r="E2" s="2797"/>
      <c r="F2" s="2797"/>
      <c r="G2" s="1051"/>
    </row>
    <row r="3" spans="1:7" ht="15.75" customHeight="1" x14ac:dyDescent="0.2">
      <c r="A3" s="2802" t="s">
        <v>1262</v>
      </c>
      <c r="B3" s="2802"/>
      <c r="C3" s="2802"/>
      <c r="D3" s="2802"/>
      <c r="E3" s="2802"/>
      <c r="F3" s="2802"/>
    </row>
    <row r="4" spans="1:7" ht="13.5" customHeight="1" x14ac:dyDescent="0.2">
      <c r="A4" s="2803" t="str">
        <f>'Single Audit Cover'!A4</f>
        <v>Year Ending June 30, 2020</v>
      </c>
      <c r="B4" s="2803"/>
      <c r="C4" s="2803"/>
      <c r="D4" s="2803"/>
      <c r="E4" s="2803"/>
      <c r="F4" s="2803"/>
    </row>
    <row r="5" spans="1:7" ht="8.25" customHeight="1" x14ac:dyDescent="0.2">
      <c r="C5" s="295"/>
      <c r="D5" s="295"/>
    </row>
    <row r="6" spans="1:7" ht="13.5" customHeight="1" x14ac:dyDescent="0.2">
      <c r="A6" s="1052" t="s">
        <v>1708</v>
      </c>
      <c r="C6" s="295"/>
      <c r="D6" s="295"/>
    </row>
    <row r="7" spans="1:7" ht="60.95" customHeight="1" x14ac:dyDescent="0.2">
      <c r="A7" s="2800" t="s">
        <v>2129</v>
      </c>
      <c r="B7" s="2800"/>
      <c r="C7" s="2800"/>
      <c r="D7" s="2800"/>
      <c r="E7" s="2800"/>
      <c r="F7" s="2800"/>
    </row>
    <row r="8" spans="1:7" ht="12" customHeight="1" x14ac:dyDescent="0.2">
      <c r="A8" s="1052"/>
      <c r="B8" s="1058"/>
      <c r="C8" s="1058"/>
      <c r="D8" s="1058"/>
    </row>
    <row r="9" spans="1:7" ht="15" customHeight="1" x14ac:dyDescent="0.2">
      <c r="A9" s="1053" t="s">
        <v>1709</v>
      </c>
      <c r="B9" s="1056"/>
      <c r="C9" s="1056"/>
      <c r="D9" s="1056"/>
      <c r="E9" s="1054"/>
      <c r="F9" s="1054"/>
      <c r="G9" s="1054"/>
    </row>
    <row r="10" spans="1:7" ht="15" customHeight="1" x14ac:dyDescent="0.2">
      <c r="A10" s="1055" t="s">
        <v>1533</v>
      </c>
      <c r="B10" s="1056"/>
      <c r="C10" s="1057"/>
      <c r="D10" s="1056" t="s">
        <v>1534</v>
      </c>
      <c r="E10" s="1057" t="s">
        <v>2053</v>
      </c>
      <c r="F10" s="1056" t="s">
        <v>99</v>
      </c>
      <c r="G10" s="1054"/>
    </row>
    <row r="11" spans="1:7" ht="12" customHeight="1" x14ac:dyDescent="0.2">
      <c r="A11" s="1055"/>
      <c r="B11" s="1056"/>
      <c r="C11" s="1524"/>
      <c r="D11" s="1056"/>
      <c r="E11" s="1524"/>
      <c r="F11" s="1056"/>
      <c r="G11" s="1054"/>
    </row>
    <row r="12" spans="1:7" x14ac:dyDescent="0.2">
      <c r="A12" s="1052" t="s">
        <v>1573</v>
      </c>
      <c r="C12" s="1036"/>
      <c r="D12" s="1036"/>
    </row>
    <row r="13" spans="1:7" ht="15" customHeight="1" x14ac:dyDescent="0.2">
      <c r="A13" s="2800" t="s">
        <v>1710</v>
      </c>
      <c r="B13" s="2800"/>
      <c r="C13" s="2800"/>
      <c r="D13" s="2800"/>
      <c r="E13" s="2800"/>
      <c r="F13" s="2800"/>
    </row>
    <row r="14" spans="1:7" ht="9.75" customHeight="1" x14ac:dyDescent="0.2">
      <c r="C14" s="1036"/>
      <c r="D14" s="1036"/>
    </row>
    <row r="15" spans="1:7" ht="13.5" customHeight="1" x14ac:dyDescent="0.2">
      <c r="C15" s="1475" t="s">
        <v>1261</v>
      </c>
      <c r="D15" s="2805" t="s">
        <v>1260</v>
      </c>
      <c r="E15" s="2805"/>
      <c r="F15" s="2805"/>
    </row>
    <row r="16" spans="1:7" ht="13.5" customHeight="1" x14ac:dyDescent="0.2">
      <c r="A16" s="1058"/>
      <c r="B16" s="1052" t="s">
        <v>1259</v>
      </c>
      <c r="C16" s="1475" t="s">
        <v>1258</v>
      </c>
      <c r="D16" s="2806" t="s">
        <v>1574</v>
      </c>
      <c r="E16" s="2806"/>
      <c r="F16" s="2806"/>
    </row>
    <row r="17" spans="1:6" ht="20.45" customHeight="1" x14ac:dyDescent="0.2">
      <c r="A17" s="1059"/>
      <c r="B17" s="1060" t="s">
        <v>2130</v>
      </c>
      <c r="C17" s="1061"/>
      <c r="D17" s="2804"/>
      <c r="E17" s="2804"/>
      <c r="F17" s="2804"/>
    </row>
    <row r="18" spans="1:6" ht="20.65" customHeight="1" x14ac:dyDescent="0.2">
      <c r="A18" s="1059"/>
      <c r="B18" s="1060"/>
      <c r="C18" s="1061"/>
      <c r="D18" s="2804"/>
      <c r="E18" s="2804"/>
      <c r="F18" s="2804"/>
    </row>
    <row r="19" spans="1:6" ht="20.65" customHeight="1" x14ac:dyDescent="0.2">
      <c r="A19" s="1059"/>
      <c r="B19" s="1060"/>
      <c r="C19" s="1061"/>
      <c r="D19" s="2804"/>
      <c r="E19" s="2804"/>
      <c r="F19" s="2804"/>
    </row>
    <row r="20" spans="1:6" ht="20.65" customHeight="1" x14ac:dyDescent="0.2">
      <c r="A20" s="1059"/>
      <c r="B20" s="1060"/>
      <c r="C20" s="1061"/>
      <c r="D20" s="2804"/>
      <c r="E20" s="2804"/>
      <c r="F20" s="2804"/>
    </row>
    <row r="21" spans="1:6" ht="20.65" customHeight="1" x14ac:dyDescent="0.2">
      <c r="A21" s="1059"/>
      <c r="B21" s="1060"/>
      <c r="C21" s="1061"/>
      <c r="D21" s="2804"/>
      <c r="E21" s="2804"/>
      <c r="F21" s="2804"/>
    </row>
    <row r="22" spans="1:6" ht="20.65" customHeight="1" x14ac:dyDescent="0.2">
      <c r="A22" s="1059"/>
      <c r="B22" s="1060"/>
      <c r="C22" s="1061"/>
      <c r="D22" s="2804"/>
      <c r="E22" s="2804"/>
      <c r="F22" s="2804"/>
    </row>
    <row r="23" spans="1:6" ht="20.65" customHeight="1" x14ac:dyDescent="0.2">
      <c r="A23" s="1059"/>
      <c r="B23" s="1060"/>
      <c r="C23" s="1061"/>
      <c r="D23" s="2804"/>
      <c r="E23" s="2804"/>
      <c r="F23" s="2804"/>
    </row>
    <row r="24" spans="1:6" ht="20.65" customHeight="1" x14ac:dyDescent="0.2">
      <c r="A24" s="1059"/>
      <c r="B24" s="1060"/>
      <c r="C24" s="1061"/>
      <c r="D24" s="2804"/>
      <c r="E24" s="2804"/>
      <c r="F24" s="2804"/>
    </row>
    <row r="25" spans="1:6" ht="20.65" customHeight="1" x14ac:dyDescent="0.2">
      <c r="A25" s="1059"/>
      <c r="B25" s="1060"/>
      <c r="C25" s="1061"/>
      <c r="D25" s="2804"/>
      <c r="E25" s="2804"/>
      <c r="F25" s="2804"/>
    </row>
    <row r="26" spans="1:6" ht="20.65" customHeight="1" x14ac:dyDescent="0.2">
      <c r="A26" s="1059"/>
      <c r="B26" s="1060"/>
      <c r="C26" s="1061"/>
      <c r="D26" s="2804"/>
      <c r="E26" s="2804"/>
      <c r="F26" s="2804"/>
    </row>
    <row r="27" spans="1:6" ht="20.65" customHeight="1" x14ac:dyDescent="0.2">
      <c r="A27" s="1059"/>
      <c r="B27" s="1060"/>
      <c r="C27" s="1061"/>
      <c r="D27" s="2804"/>
      <c r="E27" s="2804"/>
      <c r="F27" s="2804"/>
    </row>
    <row r="28" spans="1:6" ht="20.65" customHeight="1" x14ac:dyDescent="0.2">
      <c r="A28" s="1059"/>
      <c r="B28" s="1060"/>
      <c r="C28" s="1061"/>
      <c r="D28" s="2804"/>
      <c r="E28" s="2804"/>
      <c r="F28" s="2804"/>
    </row>
    <row r="29" spans="1:6" ht="20.65" customHeight="1" x14ac:dyDescent="0.2">
      <c r="A29" s="1059"/>
      <c r="B29" s="1060"/>
      <c r="C29" s="1061"/>
      <c r="D29" s="2804"/>
      <c r="E29" s="2804"/>
      <c r="F29" s="2804"/>
    </row>
    <row r="30" spans="1:6" ht="12" customHeight="1" x14ac:dyDescent="0.2">
      <c r="A30" s="306"/>
      <c r="B30" s="306"/>
      <c r="C30" s="1233"/>
      <c r="D30" s="1525"/>
      <c r="E30" s="1062"/>
    </row>
    <row r="31" spans="1:6" ht="12" customHeight="1" x14ac:dyDescent="0.2">
      <c r="A31" s="1063" t="s">
        <v>1535</v>
      </c>
      <c r="B31" s="306"/>
      <c r="C31" s="1233"/>
      <c r="D31" s="1525"/>
      <c r="E31" s="1062"/>
    </row>
    <row r="32" spans="1:6" ht="30" customHeight="1" x14ac:dyDescent="0.2">
      <c r="A32" s="2808" t="s">
        <v>1711</v>
      </c>
      <c r="B32" s="2808"/>
      <c r="C32" s="2808"/>
      <c r="D32" s="2808"/>
      <c r="E32" s="2808"/>
      <c r="F32" s="2808"/>
    </row>
    <row r="33" spans="1:6" ht="13.5" customHeight="1" x14ac:dyDescent="0.2">
      <c r="A33" s="306" t="s">
        <v>1420</v>
      </c>
      <c r="B33" s="306"/>
      <c r="C33" s="1064">
        <v>0</v>
      </c>
      <c r="D33" s="1525"/>
      <c r="E33" s="1062"/>
    </row>
    <row r="34" spans="1:6" ht="13.5" customHeight="1" x14ac:dyDescent="0.2">
      <c r="A34" s="306" t="s">
        <v>1813</v>
      </c>
      <c r="B34" s="306"/>
      <c r="C34" s="1065">
        <v>0</v>
      </c>
      <c r="D34" s="1525" t="s">
        <v>1575</v>
      </c>
      <c r="E34" s="2809">
        <f>+C33+C34</f>
        <v>0</v>
      </c>
      <c r="F34" s="2810"/>
    </row>
    <row r="35" spans="1:6" ht="12" customHeight="1" x14ac:dyDescent="0.2">
      <c r="A35" s="306"/>
      <c r="B35" s="306"/>
      <c r="C35" s="1526"/>
      <c r="D35" s="1525"/>
      <c r="E35" s="1066"/>
      <c r="F35" s="1067"/>
    </row>
    <row r="36" spans="1:6" ht="13.5" customHeight="1" x14ac:dyDescent="0.2">
      <c r="A36" s="1063" t="s">
        <v>1536</v>
      </c>
      <c r="B36" s="306"/>
      <c r="C36" s="1233"/>
      <c r="D36" s="1525"/>
      <c r="E36" s="1062"/>
    </row>
    <row r="37" spans="1:6" ht="14.25" customHeight="1" x14ac:dyDescent="0.2">
      <c r="A37" s="306" t="s">
        <v>1470</v>
      </c>
      <c r="B37" s="306"/>
      <c r="C37" s="1527"/>
      <c r="D37" s="1525"/>
      <c r="E37" s="1062"/>
    </row>
    <row r="38" spans="1:6" ht="14.25" customHeight="1" x14ac:dyDescent="0.2">
      <c r="A38" s="306"/>
      <c r="B38" s="306" t="s">
        <v>1421</v>
      </c>
      <c r="C38" s="1068">
        <v>0</v>
      </c>
      <c r="D38" s="1525"/>
      <c r="E38" s="1062"/>
    </row>
    <row r="39" spans="1:6" ht="14.25" customHeight="1" x14ac:dyDescent="0.2">
      <c r="A39" s="306"/>
      <c r="B39" s="306" t="s">
        <v>1422</v>
      </c>
      <c r="C39" s="1068">
        <v>0</v>
      </c>
      <c r="D39" s="1525"/>
      <c r="E39" s="1062"/>
    </row>
    <row r="40" spans="1:6" ht="14.25" customHeight="1" x14ac:dyDescent="0.2">
      <c r="A40" s="306"/>
      <c r="B40" s="306" t="s">
        <v>1423</v>
      </c>
      <c r="C40" s="1068">
        <v>0</v>
      </c>
      <c r="D40" s="1525"/>
      <c r="E40" s="1062"/>
    </row>
    <row r="41" spans="1:6" ht="14.25" customHeight="1" x14ac:dyDescent="0.2">
      <c r="A41" s="306"/>
      <c r="B41" s="306" t="s">
        <v>1424</v>
      </c>
      <c r="C41" s="1068">
        <v>0</v>
      </c>
      <c r="D41" s="1525"/>
      <c r="E41" s="1062"/>
    </row>
    <row r="42" spans="1:6" ht="14.25" customHeight="1" x14ac:dyDescent="0.2">
      <c r="A42" s="306" t="s">
        <v>1425</v>
      </c>
      <c r="B42" s="306"/>
      <c r="C42" s="1523">
        <v>0</v>
      </c>
      <c r="D42" s="1525"/>
      <c r="E42" s="1062"/>
    </row>
    <row r="43" spans="1:6" ht="14.25" customHeight="1" x14ac:dyDescent="0.2">
      <c r="A43" s="306" t="s">
        <v>1426</v>
      </c>
      <c r="B43" s="306"/>
      <c r="C43" s="1069" t="s">
        <v>380</v>
      </c>
      <c r="D43" s="1525"/>
      <c r="E43" s="1062"/>
    </row>
    <row r="44" spans="1:6" ht="14.25" customHeight="1" x14ac:dyDescent="0.2">
      <c r="A44" s="306"/>
      <c r="B44" s="306"/>
      <c r="C44" s="1527" t="s">
        <v>1427</v>
      </c>
      <c r="D44" s="1525"/>
      <c r="E44" s="1062"/>
    </row>
    <row r="45" spans="1:6" ht="13.5" customHeight="1" x14ac:dyDescent="0.2">
      <c r="B45" s="300"/>
      <c r="C45" s="1070"/>
      <c r="D45" s="1070"/>
    </row>
    <row r="46" spans="1:6" x14ac:dyDescent="0.2">
      <c r="A46" s="1071" t="s">
        <v>1712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811" t="s">
        <v>1576</v>
      </c>
      <c r="C49" s="2811"/>
      <c r="D49" s="2811"/>
      <c r="E49" s="1168"/>
    </row>
    <row r="50" spans="1:5" s="1076" customFormat="1" ht="3.75" customHeight="1" x14ac:dyDescent="0.2">
      <c r="A50" s="1075"/>
      <c r="B50" s="1474"/>
      <c r="C50" s="1474"/>
      <c r="D50" s="1474"/>
      <c r="E50" s="1168"/>
    </row>
    <row r="51" spans="1:5" s="1076" customFormat="1" ht="20.25" customHeight="1" x14ac:dyDescent="0.2">
      <c r="A51" s="1077">
        <v>6</v>
      </c>
      <c r="B51" s="2807" t="s">
        <v>1537</v>
      </c>
      <c r="C51" s="2807"/>
      <c r="D51" s="2807"/>
    </row>
    <row r="52" spans="1:5" ht="14.25" customHeight="1" x14ac:dyDescent="0.2">
      <c r="A52" s="1077"/>
      <c r="B52" s="2807"/>
      <c r="C52" s="2807"/>
      <c r="D52" s="280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63"/>
  <sheetViews>
    <sheetView showGridLines="0" view="pageBreakPreview" topLeftCell="A22" zoomScale="60" zoomScaleNormal="110" workbookViewId="0">
      <selection activeCell="E52" sqref="E5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816" t="str">
        <f>'Single Audit Cover'!A7</f>
        <v xml:space="preserve"> Kirby SD 140</v>
      </c>
      <c r="C1" s="2817"/>
      <c r="D1" s="2817"/>
      <c r="E1" s="2817"/>
      <c r="F1" s="2817"/>
      <c r="G1" s="2817"/>
      <c r="H1" s="2817"/>
      <c r="I1" s="2817"/>
      <c r="J1" s="1178"/>
    </row>
    <row r="2" spans="2:10" s="295" customFormat="1" ht="12.75" customHeight="1" x14ac:dyDescent="0.2">
      <c r="B2" s="2818">
        <f>'Single Audit Cover'!E7</f>
        <v>7016140002</v>
      </c>
      <c r="C2" s="2819"/>
      <c r="D2" s="2819"/>
      <c r="E2" s="2819"/>
      <c r="F2" s="2819"/>
      <c r="G2" s="2819"/>
      <c r="H2" s="2819"/>
      <c r="I2" s="2819"/>
      <c r="J2" s="1178"/>
    </row>
    <row r="3" spans="2:10" s="295" customFormat="1" ht="12.75" customHeight="1" x14ac:dyDescent="0.2">
      <c r="B3" s="2820" t="s">
        <v>1276</v>
      </c>
      <c r="C3" s="2821"/>
      <c r="D3" s="2821"/>
      <c r="E3" s="2821"/>
      <c r="F3" s="2821"/>
      <c r="G3" s="2821"/>
      <c r="H3" s="2821"/>
      <c r="I3" s="2821"/>
      <c r="J3" s="1179"/>
    </row>
    <row r="4" spans="2:10" s="295" customFormat="1" ht="12.75" customHeight="1" x14ac:dyDescent="0.2">
      <c r="B4" s="2820" t="str">
        <f>'Single Audit Cover'!A4</f>
        <v>Year Ending June 30, 2020</v>
      </c>
      <c r="C4" s="2821"/>
      <c r="D4" s="2821"/>
      <c r="E4" s="2821"/>
      <c r="F4" s="2821"/>
      <c r="G4" s="2821"/>
      <c r="H4" s="2821"/>
      <c r="I4" s="2821"/>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820" t="s">
        <v>1275</v>
      </c>
      <c r="C7" s="2821"/>
      <c r="D7" s="2821"/>
      <c r="E7" s="2821"/>
      <c r="F7" s="2821"/>
      <c r="G7" s="2821"/>
      <c r="H7" s="2821"/>
      <c r="I7" s="2821"/>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822" t="s">
        <v>2131</v>
      </c>
      <c r="D11" s="2822"/>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2078</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2078</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2078</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t="s">
        <v>2078</v>
      </c>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t="s">
        <v>2078</v>
      </c>
      <c r="H27" s="1076" t="s">
        <v>1267</v>
      </c>
      <c r="I27" s="1076"/>
    </row>
    <row r="28" spans="2:9" s="295" customFormat="1" ht="12.75" customHeight="1" x14ac:dyDescent="0.2">
      <c r="B28" s="1138"/>
      <c r="C28" s="1058"/>
      <c r="E28" s="1034"/>
    </row>
    <row r="29" spans="2:9" s="295" customFormat="1" ht="12.75" customHeight="1" x14ac:dyDescent="0.2">
      <c r="B29" s="1138" t="s">
        <v>1266</v>
      </c>
      <c r="C29" s="1058"/>
      <c r="D29" s="2823" t="s">
        <v>2131</v>
      </c>
      <c r="E29" s="2823"/>
      <c r="F29" s="2823"/>
      <c r="G29" s="2823"/>
      <c r="H29" s="2823"/>
      <c r="I29" s="2823"/>
    </row>
    <row r="30" spans="2:9" s="295" customFormat="1" x14ac:dyDescent="0.2">
      <c r="B30" s="1138"/>
      <c r="C30" s="300"/>
      <c r="D30" s="1189" t="s">
        <v>1727</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t="s">
        <v>2078</v>
      </c>
      <c r="H33" s="1076" t="s">
        <v>99</v>
      </c>
    </row>
    <row r="35" spans="2:9" x14ac:dyDescent="0.2">
      <c r="B35" s="1197" t="s">
        <v>1728</v>
      </c>
      <c r="C35" s="1198"/>
      <c r="D35" s="1043"/>
    </row>
    <row r="36" spans="2:9" ht="6" customHeight="1" x14ac:dyDescent="0.2">
      <c r="B36" s="1197"/>
      <c r="C36" s="1198"/>
      <c r="D36" s="1043"/>
    </row>
    <row r="37" spans="2:9" ht="17.25" customHeight="1" x14ac:dyDescent="0.2">
      <c r="B37" s="1199" t="s">
        <v>1729</v>
      </c>
      <c r="C37" s="2824" t="s">
        <v>1730</v>
      </c>
      <c r="D37" s="2825"/>
      <c r="E37" s="2825"/>
      <c r="F37" s="2826"/>
      <c r="G37" s="2824" t="s">
        <v>1578</v>
      </c>
      <c r="H37" s="2825"/>
      <c r="I37" s="2826"/>
    </row>
    <row r="38" spans="2:9" ht="16.5" customHeight="1" x14ac:dyDescent="0.2">
      <c r="B38" s="1200"/>
      <c r="C38" s="2812" t="s">
        <v>2132</v>
      </c>
      <c r="D38" s="2813"/>
      <c r="E38" s="2813"/>
      <c r="F38" s="2814"/>
      <c r="G38" s="2827"/>
      <c r="H38" s="2828"/>
      <c r="I38" s="2829"/>
    </row>
    <row r="39" spans="2:9" ht="16.5" customHeight="1" x14ac:dyDescent="0.2">
      <c r="B39" s="1200">
        <v>84.027000000000001</v>
      </c>
      <c r="C39" s="2812" t="s">
        <v>2135</v>
      </c>
      <c r="D39" s="2813"/>
      <c r="E39" s="2813"/>
      <c r="F39" s="2814"/>
      <c r="G39" s="2815">
        <f>21705+998516</f>
        <v>1020221</v>
      </c>
      <c r="H39" s="2815"/>
      <c r="I39" s="2815"/>
    </row>
    <row r="40" spans="2:9" ht="16.5" customHeight="1" x14ac:dyDescent="0.2">
      <c r="B40" s="1200">
        <v>84.027000000000001</v>
      </c>
      <c r="C40" s="2812" t="s">
        <v>2133</v>
      </c>
      <c r="D40" s="2813"/>
      <c r="E40" s="2813"/>
      <c r="F40" s="2814"/>
      <c r="G40" s="2815">
        <v>8530</v>
      </c>
      <c r="H40" s="2815"/>
      <c r="I40" s="2815"/>
    </row>
    <row r="41" spans="2:9" ht="16.5" customHeight="1" x14ac:dyDescent="0.2">
      <c r="B41" s="1200">
        <v>84.173000000000002</v>
      </c>
      <c r="C41" s="2812" t="s">
        <v>2134</v>
      </c>
      <c r="D41" s="2813"/>
      <c r="E41" s="2813"/>
      <c r="F41" s="2814"/>
      <c r="G41" s="2815">
        <v>41933</v>
      </c>
      <c r="H41" s="2815"/>
      <c r="I41" s="2815"/>
    </row>
    <row r="42" spans="2:9" ht="16.5" customHeight="1" x14ac:dyDescent="0.2">
      <c r="B42" s="1200"/>
      <c r="C42" s="2812"/>
      <c r="D42" s="2813"/>
      <c r="E42" s="2813"/>
      <c r="F42" s="2814"/>
      <c r="G42" s="2815"/>
      <c r="H42" s="2815"/>
      <c r="I42" s="2815"/>
    </row>
    <row r="43" spans="2:9" ht="16.5" customHeight="1" x14ac:dyDescent="0.2">
      <c r="B43" s="1200"/>
      <c r="C43" s="2830" t="s">
        <v>1579</v>
      </c>
      <c r="D43" s="2831"/>
      <c r="E43" s="2831"/>
      <c r="F43" s="2832"/>
      <c r="G43" s="2833">
        <f>SUM(G38:I42)</f>
        <v>1070684</v>
      </c>
      <c r="H43" s="2833"/>
      <c r="I43" s="2833"/>
    </row>
    <row r="44" spans="2:9" ht="12.75" customHeight="1" x14ac:dyDescent="0.2"/>
    <row r="45" spans="2:9" ht="12.75" customHeight="1" x14ac:dyDescent="0.2">
      <c r="B45" s="1916" t="str">
        <f>"Total Federal Expenditures for 7/1/"&amp;MID('AFR20'!E2,3,2)-1&amp;"-6/30/"&amp;MID('AFR20'!E2,3,2)</f>
        <v>Total Federal Expenditures for 7/1/19-6/30/20</v>
      </c>
      <c r="C45" s="1917"/>
      <c r="D45" s="2834">
        <v>2114190</v>
      </c>
      <c r="E45" s="2835"/>
    </row>
    <row r="46" spans="2:9" ht="5.25" customHeight="1" x14ac:dyDescent="0.2">
      <c r="B46" s="1201"/>
      <c r="D46" s="1202"/>
      <c r="E46" s="1203"/>
    </row>
    <row r="47" spans="2:9" ht="12.75" customHeight="1" x14ac:dyDescent="0.2">
      <c r="B47" s="1076" t="s">
        <v>1580</v>
      </c>
      <c r="C47" s="1076"/>
      <c r="D47" s="1204">
        <f>+G43/D45</f>
        <v>0.50642752070532926</v>
      </c>
      <c r="E47" s="1205"/>
      <c r="F47" s="1206"/>
      <c r="I47" s="1207"/>
    </row>
    <row r="48" spans="2:9" ht="9.9499999999999993" customHeight="1" x14ac:dyDescent="0.2"/>
    <row r="49" spans="1:9" x14ac:dyDescent="0.2">
      <c r="B49" s="1138" t="s">
        <v>1264</v>
      </c>
      <c r="C49" s="1058"/>
      <c r="D49" s="1058"/>
      <c r="E49" s="2836">
        <v>750000</v>
      </c>
      <c r="F49" s="2836"/>
      <c r="G49" s="2836"/>
      <c r="H49" s="300"/>
    </row>
    <row r="51" spans="1:9" ht="13.5" customHeight="1" x14ac:dyDescent="0.2">
      <c r="B51" s="1138" t="s">
        <v>1263</v>
      </c>
      <c r="C51" s="1058"/>
      <c r="E51" s="1194" t="s">
        <v>2078</v>
      </c>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1731</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1732</v>
      </c>
      <c r="C58" s="1220"/>
      <c r="D58" s="1220"/>
    </row>
    <row r="59" spans="1:9" s="1217" customFormat="1" ht="3.95" customHeight="1" x14ac:dyDescent="0.2">
      <c r="A59" s="1214"/>
      <c r="B59" s="1219"/>
      <c r="C59" s="1220"/>
      <c r="D59" s="1220"/>
    </row>
    <row r="60" spans="1:9" s="1217" customFormat="1" ht="13.5" customHeight="1" x14ac:dyDescent="0.2">
      <c r="A60" s="1214"/>
      <c r="B60" s="1219" t="s">
        <v>1733</v>
      </c>
      <c r="C60" s="1220"/>
      <c r="D60" s="1220"/>
    </row>
    <row r="61" spans="1:9" s="1217" customFormat="1" ht="3.95" customHeight="1" x14ac:dyDescent="0.2">
      <c r="A61" s="1214"/>
      <c r="B61" s="1219"/>
      <c r="C61" s="1220"/>
      <c r="D61" s="1220"/>
    </row>
    <row r="62" spans="1:9" s="1217" customFormat="1" ht="12.75" customHeight="1" x14ac:dyDescent="0.2">
      <c r="A62" s="1214"/>
      <c r="B62" s="1219" t="s">
        <v>1734</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view="pageBreakPreview" zoomScale="6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816" t="str">
        <f>'Single Audit Cover'!A7</f>
        <v xml:space="preserve"> Kirby SD 140</v>
      </c>
      <c r="C1" s="2816"/>
      <c r="D1" s="2816"/>
      <c r="E1" s="2816"/>
      <c r="F1" s="2816"/>
      <c r="G1" s="2816"/>
      <c r="H1" s="2816"/>
      <c r="I1" s="2816"/>
      <c r="J1" s="2816"/>
      <c r="K1" s="2816"/>
      <c r="L1" s="1144"/>
      <c r="M1" s="1144"/>
    </row>
    <row r="2" spans="1:13" ht="12" customHeight="1" x14ac:dyDescent="0.2">
      <c r="B2" s="2818">
        <f>'Single Audit Cover'!E7</f>
        <v>7016140002</v>
      </c>
      <c r="C2" s="2818"/>
      <c r="D2" s="2818"/>
      <c r="E2" s="2818"/>
      <c r="F2" s="2818"/>
      <c r="G2" s="2818"/>
      <c r="H2" s="2818"/>
      <c r="I2" s="2818"/>
      <c r="J2" s="2818"/>
      <c r="K2" s="2818"/>
      <c r="L2" s="1145"/>
      <c r="M2" s="1146"/>
    </row>
    <row r="3" spans="1:13" ht="10.35" customHeight="1" x14ac:dyDescent="0.2">
      <c r="B3" s="2839" t="s">
        <v>1276</v>
      </c>
      <c r="C3" s="2839"/>
      <c r="D3" s="2839"/>
      <c r="E3" s="2839"/>
      <c r="F3" s="2839"/>
      <c r="G3" s="2839"/>
      <c r="H3" s="2839"/>
      <c r="I3" s="2839"/>
      <c r="J3" s="2839"/>
      <c r="K3" s="2839"/>
      <c r="L3" s="1147"/>
      <c r="M3" s="1147"/>
    </row>
    <row r="4" spans="1:13" ht="14.25" customHeight="1" x14ac:dyDescent="0.2">
      <c r="B4" s="2840" t="str">
        <f>'Single Audit Cover'!A4</f>
        <v>Year Ending June 30, 2020</v>
      </c>
      <c r="C4" s="2840"/>
      <c r="D4" s="2840"/>
      <c r="E4" s="2840"/>
      <c r="F4" s="2840"/>
      <c r="G4" s="2840"/>
      <c r="H4" s="2840"/>
      <c r="I4" s="2840"/>
      <c r="J4" s="2840"/>
      <c r="K4" s="2840"/>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840" t="s">
        <v>1287</v>
      </c>
      <c r="C7" s="2840"/>
      <c r="D7" s="2841"/>
      <c r="E7" s="2841"/>
      <c r="F7" s="2841"/>
      <c r="G7" s="2841"/>
      <c r="H7" s="2841"/>
      <c r="I7" s="2841"/>
      <c r="J7" s="2841"/>
      <c r="K7" s="284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1721</v>
      </c>
      <c r="C10" s="1918"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838" t="s">
        <v>2136</v>
      </c>
      <c r="C14" s="2838"/>
      <c r="D14" s="2838"/>
      <c r="E14" s="2838"/>
      <c r="F14" s="2838"/>
      <c r="G14" s="2838"/>
      <c r="H14" s="2838"/>
      <c r="I14" s="2838"/>
      <c r="J14" s="2838"/>
      <c r="K14" s="283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838"/>
      <c r="C17" s="2838"/>
      <c r="D17" s="2838"/>
      <c r="E17" s="2838"/>
      <c r="F17" s="2838"/>
      <c r="G17" s="2838"/>
      <c r="H17" s="2838"/>
      <c r="I17" s="2838"/>
      <c r="J17" s="2838"/>
      <c r="K17" s="2838"/>
      <c r="L17" s="1151"/>
    </row>
    <row r="18" spans="2:12" ht="4.5" customHeight="1" x14ac:dyDescent="0.2">
      <c r="B18" s="1167"/>
      <c r="C18" s="1167"/>
      <c r="L18" s="1151"/>
    </row>
    <row r="19" spans="2:12" s="1058" customFormat="1" ht="13.5" customHeight="1" x14ac:dyDescent="0.2">
      <c r="B19" s="1162" t="s">
        <v>1722</v>
      </c>
      <c r="C19" s="1162"/>
      <c r="D19" s="1163"/>
      <c r="E19" s="1163"/>
      <c r="F19" s="1163"/>
      <c r="G19" s="1164"/>
      <c r="H19" s="1163"/>
      <c r="I19" s="1164"/>
      <c r="J19" s="1163"/>
      <c r="K19" s="1163"/>
      <c r="L19" s="1165"/>
    </row>
    <row r="20" spans="2:12" ht="45.75" customHeight="1" x14ac:dyDescent="0.2">
      <c r="B20" s="2842"/>
      <c r="C20" s="2842"/>
      <c r="D20" s="2838"/>
      <c r="E20" s="2838"/>
      <c r="F20" s="2838"/>
      <c r="G20" s="2838"/>
      <c r="H20" s="2838"/>
      <c r="I20" s="2838"/>
      <c r="J20" s="2838"/>
      <c r="K20" s="2838"/>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838"/>
      <c r="C23" s="2838"/>
      <c r="D23" s="2838"/>
      <c r="E23" s="2838"/>
      <c r="F23" s="2838"/>
      <c r="G23" s="2838"/>
      <c r="H23" s="2838"/>
      <c r="I23" s="2838"/>
      <c r="J23" s="2838"/>
      <c r="K23" s="2838"/>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838"/>
      <c r="C26" s="2838"/>
      <c r="D26" s="2838"/>
      <c r="E26" s="2838"/>
      <c r="F26" s="2838"/>
      <c r="G26" s="2838"/>
      <c r="H26" s="2838"/>
      <c r="I26" s="2838"/>
      <c r="J26" s="2838"/>
      <c r="K26" s="2838"/>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837"/>
      <c r="C29" s="2837"/>
      <c r="D29" s="2838"/>
      <c r="E29" s="2838"/>
      <c r="F29" s="2838"/>
      <c r="G29" s="2838"/>
      <c r="H29" s="2838"/>
      <c r="I29" s="2838"/>
      <c r="J29" s="2838"/>
      <c r="K29" s="283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1723</v>
      </c>
      <c r="C31" s="1172"/>
      <c r="D31" s="1148"/>
      <c r="E31" s="1149"/>
      <c r="F31" s="1149"/>
      <c r="G31" s="1150"/>
      <c r="H31" s="1149"/>
      <c r="I31" s="1150"/>
      <c r="J31" s="1149"/>
      <c r="K31" s="1149"/>
      <c r="L31" s="1151"/>
    </row>
    <row r="32" spans="2:12" s="300" customFormat="1" ht="44.25" customHeight="1" x14ac:dyDescent="0.2">
      <c r="B32" s="2837"/>
      <c r="C32" s="2837"/>
      <c r="D32" s="2838"/>
      <c r="E32" s="2838"/>
      <c r="F32" s="2838"/>
      <c r="G32" s="2838"/>
      <c r="H32" s="2838"/>
      <c r="I32" s="2838"/>
      <c r="J32" s="2838"/>
      <c r="K32" s="283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1724</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1725</v>
      </c>
      <c r="C38" s="1176"/>
    </row>
    <row r="39" spans="1:13" ht="9.6" customHeight="1" x14ac:dyDescent="0.2">
      <c r="B39" s="1076" t="s">
        <v>1277</v>
      </c>
      <c r="C39" s="1076"/>
      <c r="M39" s="1177"/>
    </row>
    <row r="40" spans="1:13" ht="12.6" customHeight="1" x14ac:dyDescent="0.2">
      <c r="B40" s="1176" t="s">
        <v>1726</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843" t="str">
        <f>'Single Audit Cover'!A7</f>
        <v xml:space="preserve"> Kirby SD 140</v>
      </c>
      <c r="C1" s="2843"/>
      <c r="D1" s="2843"/>
      <c r="E1" s="2843"/>
      <c r="F1" s="2843"/>
      <c r="G1" s="2843"/>
      <c r="H1" s="2843"/>
      <c r="I1" s="2843"/>
      <c r="J1" s="2843"/>
      <c r="K1" s="2843"/>
      <c r="L1" s="1221"/>
    </row>
    <row r="2" spans="1:12" ht="12.75" customHeight="1" x14ac:dyDescent="0.2">
      <c r="B2" s="2844">
        <f>'Single Audit Cover'!E7</f>
        <v>7016140002</v>
      </c>
      <c r="C2" s="2844"/>
      <c r="D2" s="2844"/>
      <c r="E2" s="2844"/>
      <c r="F2" s="2844"/>
      <c r="G2" s="2844"/>
      <c r="H2" s="2844"/>
      <c r="I2" s="2844"/>
      <c r="J2" s="2844"/>
      <c r="K2" s="2844"/>
      <c r="L2" s="1222"/>
    </row>
    <row r="3" spans="1:12" ht="12.75" customHeight="1" x14ac:dyDescent="0.2">
      <c r="B3" s="2839" t="s">
        <v>1276</v>
      </c>
      <c r="C3" s="2839"/>
      <c r="D3" s="2839"/>
      <c r="E3" s="2839"/>
      <c r="F3" s="2839"/>
      <c r="G3" s="2839"/>
      <c r="H3" s="2839"/>
      <c r="I3" s="2839"/>
      <c r="J3" s="2839"/>
      <c r="K3" s="2839"/>
      <c r="L3" s="1147"/>
    </row>
    <row r="4" spans="1:12" ht="12.75" customHeight="1" x14ac:dyDescent="0.2">
      <c r="B4" s="2839" t="str">
        <f>'Single Audit Cover'!A4</f>
        <v>Year Ending June 30, 2020</v>
      </c>
      <c r="C4" s="2839"/>
      <c r="D4" s="2839"/>
      <c r="E4" s="2839"/>
      <c r="F4" s="2839"/>
      <c r="G4" s="2839"/>
      <c r="H4" s="2839"/>
      <c r="I4" s="2839"/>
      <c r="J4" s="2839"/>
      <c r="K4" s="2839"/>
      <c r="L4" s="1147"/>
    </row>
    <row r="5" spans="1:12" ht="5.25" customHeight="1" x14ac:dyDescent="0.2">
      <c r="B5" s="1036" t="s">
        <v>1161</v>
      </c>
      <c r="C5" s="1036"/>
      <c r="L5" s="300"/>
    </row>
    <row r="6" spans="1:12" ht="30.75" customHeight="1" x14ac:dyDescent="0.2">
      <c r="A6" s="300"/>
      <c r="B6" s="2845" t="s">
        <v>1299</v>
      </c>
      <c r="C6" s="2845"/>
      <c r="D6" s="2845"/>
      <c r="E6" s="2845"/>
      <c r="F6" s="2845"/>
      <c r="G6" s="2845"/>
      <c r="H6" s="2845"/>
      <c r="I6" s="2845"/>
      <c r="J6" s="2845"/>
      <c r="K6" s="2845"/>
      <c r="L6" s="300"/>
    </row>
    <row r="7" spans="1:12" ht="4.5" customHeight="1" x14ac:dyDescent="0.2">
      <c r="B7" s="1149"/>
      <c r="C7" s="1149"/>
      <c r="D7" s="1149"/>
      <c r="E7" s="1149"/>
      <c r="F7" s="1149"/>
      <c r="G7" s="1150"/>
      <c r="H7" s="1149"/>
      <c r="I7" s="1150"/>
      <c r="J7" s="1149"/>
      <c r="K7" s="1149"/>
      <c r="L7" s="300"/>
    </row>
    <row r="8" spans="1:12" ht="13.5" customHeight="1" x14ac:dyDescent="0.2">
      <c r="B8" s="1156" t="s">
        <v>1735</v>
      </c>
      <c r="C8" s="1918"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823"/>
      <c r="G12" s="2823"/>
      <c r="H12" s="2823"/>
      <c r="I12" s="2823"/>
      <c r="J12" s="2823"/>
      <c r="K12" s="282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846"/>
      <c r="E14" s="2846"/>
      <c r="F14" s="2846"/>
      <c r="H14" s="1230" t="s">
        <v>1294</v>
      </c>
      <c r="I14" s="2847"/>
      <c r="J14" s="2847"/>
      <c r="K14" s="284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847"/>
      <c r="E16" s="2847"/>
      <c r="F16" s="2847"/>
      <c r="G16" s="2847"/>
      <c r="H16" s="2847"/>
      <c r="I16" s="2847"/>
      <c r="J16" s="2847"/>
      <c r="K16" s="2847"/>
      <c r="L16" s="300"/>
    </row>
    <row r="17" spans="2:12" ht="13.5" customHeight="1" x14ac:dyDescent="0.2">
      <c r="B17" s="1156" t="s">
        <v>1292</v>
      </c>
      <c r="C17" s="1156"/>
      <c r="D17" s="2848"/>
      <c r="E17" s="2848"/>
      <c r="F17" s="2848"/>
      <c r="G17" s="2848"/>
      <c r="H17" s="2848"/>
      <c r="I17" s="2848"/>
      <c r="J17" s="2848"/>
      <c r="K17" s="284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838" t="s">
        <v>2136</v>
      </c>
      <c r="C20" s="2838"/>
      <c r="D20" s="2838"/>
      <c r="E20" s="2838"/>
      <c r="F20" s="2838"/>
      <c r="G20" s="2838"/>
      <c r="H20" s="2838"/>
      <c r="I20" s="2838"/>
      <c r="J20" s="2838"/>
      <c r="K20" s="283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1736</v>
      </c>
      <c r="C22" s="1232"/>
      <c r="D22" s="300"/>
      <c r="E22" s="300"/>
      <c r="F22" s="300"/>
      <c r="G22" s="1153"/>
      <c r="H22" s="300"/>
      <c r="I22" s="1153"/>
      <c r="J22" s="300"/>
      <c r="K22" s="300"/>
      <c r="L22" s="300"/>
    </row>
    <row r="23" spans="2:12" ht="37.5" customHeight="1" x14ac:dyDescent="0.2">
      <c r="B23" s="2838"/>
      <c r="C23" s="2838"/>
      <c r="D23" s="2838"/>
      <c r="E23" s="2838"/>
      <c r="F23" s="2838"/>
      <c r="G23" s="2838"/>
      <c r="H23" s="2838"/>
      <c r="I23" s="2838"/>
      <c r="J23" s="2838"/>
      <c r="K23" s="283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1737</v>
      </c>
      <c r="C25" s="1232"/>
      <c r="D25" s="300"/>
      <c r="E25" s="300"/>
      <c r="F25" s="300"/>
      <c r="G25" s="1153"/>
      <c r="H25" s="300"/>
      <c r="I25" s="1153"/>
      <c r="J25" s="300"/>
      <c r="K25" s="300"/>
      <c r="L25" s="300"/>
    </row>
    <row r="26" spans="2:12" ht="37.5" customHeight="1" x14ac:dyDescent="0.2">
      <c r="B26" s="2838"/>
      <c r="C26" s="2838"/>
      <c r="D26" s="2838"/>
      <c r="E26" s="2838"/>
      <c r="F26" s="2838"/>
      <c r="G26" s="2838"/>
      <c r="H26" s="2838"/>
      <c r="I26" s="2838"/>
      <c r="J26" s="2838"/>
      <c r="K26" s="283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1738</v>
      </c>
      <c r="C28" s="1232"/>
      <c r="D28" s="300"/>
      <c r="E28" s="300"/>
      <c r="F28" s="300"/>
      <c r="G28" s="1153"/>
      <c r="H28" s="300"/>
      <c r="I28" s="1153"/>
      <c r="J28" s="300"/>
      <c r="K28" s="300"/>
      <c r="L28" s="300"/>
    </row>
    <row r="29" spans="2:12" ht="37.5" customHeight="1" x14ac:dyDescent="0.2">
      <c r="B29" s="2838"/>
      <c r="C29" s="2838"/>
      <c r="D29" s="2838"/>
      <c r="E29" s="2838"/>
      <c r="F29" s="2838"/>
      <c r="G29" s="2838"/>
      <c r="H29" s="2838"/>
      <c r="I29" s="2838"/>
      <c r="J29" s="2838"/>
      <c r="K29" s="283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838"/>
      <c r="C32" s="2838"/>
      <c r="D32" s="2838"/>
      <c r="E32" s="2838"/>
      <c r="F32" s="2838"/>
      <c r="G32" s="2838"/>
      <c r="H32" s="2838"/>
      <c r="I32" s="2838"/>
      <c r="J32" s="2838"/>
      <c r="K32" s="283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838"/>
      <c r="C35" s="2838"/>
      <c r="D35" s="2838"/>
      <c r="E35" s="2838"/>
      <c r="F35" s="2838"/>
      <c r="G35" s="2838"/>
      <c r="H35" s="2838"/>
      <c r="I35" s="2838"/>
      <c r="J35" s="2838"/>
      <c r="K35" s="283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838"/>
      <c r="C38" s="2838"/>
      <c r="D38" s="2838"/>
      <c r="E38" s="2838"/>
      <c r="F38" s="2838"/>
      <c r="G38" s="2838"/>
      <c r="H38" s="2838"/>
      <c r="I38" s="2838"/>
      <c r="J38" s="2838"/>
      <c r="K38" s="283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1739</v>
      </c>
      <c r="C40" s="1172"/>
      <c r="D40" s="1148"/>
      <c r="E40" s="1149"/>
      <c r="F40" s="1149"/>
      <c r="G40" s="1150"/>
      <c r="H40" s="1149"/>
      <c r="I40" s="1150"/>
      <c r="J40" s="1149"/>
      <c r="K40" s="1149"/>
    </row>
    <row r="41" spans="2:12" s="300" customFormat="1" ht="33.75" customHeight="1" x14ac:dyDescent="0.2">
      <c r="B41" s="2838"/>
      <c r="C41" s="2838"/>
      <c r="D41" s="2838"/>
      <c r="E41" s="2838"/>
      <c r="F41" s="2838"/>
      <c r="G41" s="2838"/>
      <c r="H41" s="2838"/>
      <c r="I41" s="2838"/>
      <c r="J41" s="2838"/>
      <c r="K41" s="283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1740</v>
      </c>
      <c r="C44" s="1175"/>
      <c r="D44" s="300"/>
      <c r="E44" s="300"/>
      <c r="F44" s="300"/>
    </row>
    <row r="45" spans="2:12" ht="10.5" customHeight="1" x14ac:dyDescent="0.2">
      <c r="B45" s="1176" t="s">
        <v>1741</v>
      </c>
      <c r="C45" s="1176"/>
      <c r="G45" s="295"/>
      <c r="I45" s="295"/>
    </row>
    <row r="46" spans="2:12" ht="11.1" customHeight="1" x14ac:dyDescent="0.2">
      <c r="B46" s="1176" t="s">
        <v>1742</v>
      </c>
      <c r="C46" s="1176"/>
      <c r="G46" s="295"/>
      <c r="I46" s="295"/>
    </row>
    <row r="47" spans="2:12" ht="11.1" customHeight="1" x14ac:dyDescent="0.2">
      <c r="B47" s="1176" t="s">
        <v>1743</v>
      </c>
      <c r="C47" s="1176"/>
      <c r="G47" s="295"/>
      <c r="I47" s="295"/>
    </row>
    <row r="48" spans="2:12" ht="11.1" customHeight="1" x14ac:dyDescent="0.2">
      <c r="B48" s="1176" t="s">
        <v>1744</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C6" sqref="C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816" t="str">
        <f>'Single Audit Cover'!A7</f>
        <v xml:space="preserve"> Kirby SD 140</v>
      </c>
      <c r="C1" s="2816"/>
      <c r="D1" s="2816"/>
      <c r="E1" s="1240"/>
    </row>
    <row r="2" spans="2:5" s="1058" customFormat="1" ht="12.75" customHeight="1" x14ac:dyDescent="0.2">
      <c r="B2" s="2818">
        <f>'Single Audit Cover'!E7</f>
        <v>7016140002</v>
      </c>
      <c r="C2" s="2818"/>
      <c r="D2" s="2818"/>
      <c r="E2" s="1241"/>
    </row>
    <row r="3" spans="2:5" ht="12.75" customHeight="1" x14ac:dyDescent="0.2">
      <c r="B3" s="2839" t="s">
        <v>1745</v>
      </c>
      <c r="C3" s="2839"/>
      <c r="D3" s="2839"/>
      <c r="E3" s="1050"/>
    </row>
    <row r="4" spans="2:5" s="1058" customFormat="1" ht="12.75" customHeight="1" x14ac:dyDescent="0.2">
      <c r="B4" s="2849" t="str">
        <f>'Single Audit Cover'!A4</f>
        <v>Year Ending June 30, 2020</v>
      </c>
      <c r="C4" s="2849"/>
      <c r="D4" s="2849"/>
      <c r="E4" s="1242"/>
    </row>
    <row r="5" spans="2:5" s="1058" customFormat="1" ht="40.15" customHeight="1" x14ac:dyDescent="0.2">
      <c r="B5" s="1243" t="s">
        <v>1746</v>
      </c>
      <c r="C5" s="306"/>
      <c r="D5" s="306"/>
      <c r="E5" s="306"/>
    </row>
    <row r="6" spans="2:5" s="1058" customFormat="1" ht="13.5" customHeight="1" x14ac:dyDescent="0.2">
      <c r="B6" s="1244" t="s">
        <v>1306</v>
      </c>
      <c r="C6" s="1244" t="s">
        <v>1305</v>
      </c>
      <c r="D6" s="1244" t="s">
        <v>1747</v>
      </c>
    </row>
    <row r="7" spans="2:5" ht="13.5" customHeight="1" x14ac:dyDescent="0.2">
      <c r="B7" s="1245"/>
      <c r="C7" s="302"/>
      <c r="D7" s="302"/>
      <c r="E7" s="302"/>
    </row>
    <row r="8" spans="2:5" ht="13.5" customHeight="1" x14ac:dyDescent="0.2">
      <c r="B8" s="2262" t="s">
        <v>2137</v>
      </c>
      <c r="C8" s="2837" t="s">
        <v>2138</v>
      </c>
      <c r="D8" s="2261" t="s">
        <v>2139</v>
      </c>
      <c r="E8" s="2260"/>
    </row>
    <row r="9" spans="2:5" ht="13.5" customHeight="1" x14ac:dyDescent="0.2">
      <c r="B9" s="2263"/>
      <c r="C9" s="2837"/>
      <c r="D9" s="2260" t="s">
        <v>2140</v>
      </c>
      <c r="E9" s="2260"/>
    </row>
    <row r="10" spans="2:5" ht="13.5" customHeight="1" x14ac:dyDescent="0.2">
      <c r="B10" s="2263"/>
      <c r="C10" s="2837"/>
      <c r="D10" s="2260" t="s">
        <v>2141</v>
      </c>
      <c r="E10" s="2260"/>
    </row>
    <row r="11" spans="2:5" ht="13.5" customHeight="1" x14ac:dyDescent="0.2">
      <c r="B11" s="2262"/>
      <c r="C11" s="2260"/>
      <c r="D11" s="2260" t="s">
        <v>2142</v>
      </c>
      <c r="E11" s="2260"/>
    </row>
    <row r="12" spans="2:5" ht="13.5" customHeight="1" x14ac:dyDescent="0.2">
      <c r="B12" s="1245"/>
      <c r="C12" s="301"/>
      <c r="D12" s="301"/>
      <c r="E12" s="301"/>
    </row>
    <row r="13" spans="2:5" ht="13.5" customHeight="1" x14ac:dyDescent="0.2">
      <c r="B13" s="1245"/>
      <c r="C13" s="301"/>
      <c r="D13" s="301"/>
      <c r="E13" s="301"/>
    </row>
    <row r="14" spans="2:5" ht="13.5" customHeight="1" x14ac:dyDescent="0.2">
      <c r="B14" s="2264" t="s">
        <v>2143</v>
      </c>
      <c r="C14" s="2837" t="s">
        <v>2138</v>
      </c>
      <c r="D14" s="2266" t="s">
        <v>2144</v>
      </c>
      <c r="E14" s="301"/>
    </row>
    <row r="15" spans="2:5" ht="13.5" customHeight="1" x14ac:dyDescent="0.2">
      <c r="B15" s="2264"/>
      <c r="C15" s="2837"/>
      <c r="D15" s="2265" t="s">
        <v>2145</v>
      </c>
      <c r="E15" s="301"/>
    </row>
    <row r="16" spans="2:5" ht="13.5" customHeight="1" x14ac:dyDescent="0.2">
      <c r="B16" s="2264"/>
      <c r="C16" s="2837"/>
      <c r="D16" s="2265" t="s">
        <v>2146</v>
      </c>
      <c r="E16" s="301"/>
    </row>
    <row r="17" spans="2:5" ht="13.5" customHeight="1" x14ac:dyDescent="0.2">
      <c r="B17" s="1245"/>
      <c r="C17" s="301"/>
      <c r="D17" s="2265" t="s">
        <v>2147</v>
      </c>
      <c r="E17" s="301"/>
    </row>
    <row r="18" spans="2:5" ht="13.5" customHeight="1" x14ac:dyDescent="0.2">
      <c r="B18" s="1245"/>
      <c r="C18" s="301"/>
      <c r="D18" s="2265" t="s">
        <v>2148</v>
      </c>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1304</v>
      </c>
      <c r="C44" s="300"/>
    </row>
    <row r="45" spans="2:5" ht="12.2" customHeight="1" x14ac:dyDescent="0.2">
      <c r="B45" s="1253" t="s">
        <v>1748</v>
      </c>
    </row>
    <row r="46" spans="2:5" ht="12.2" customHeight="1" x14ac:dyDescent="0.2">
      <c r="B46" s="1253" t="s">
        <v>1749</v>
      </c>
    </row>
    <row r="47" spans="2:5" ht="12.2" customHeight="1" x14ac:dyDescent="0.2">
      <c r="B47" s="1254" t="s">
        <v>1303</v>
      </c>
    </row>
    <row r="48" spans="2:5" ht="12.2" customHeight="1" x14ac:dyDescent="0.2">
      <c r="B48" s="1254" t="s">
        <v>1302</v>
      </c>
    </row>
    <row r="49" spans="2:5" ht="12.2" customHeight="1" x14ac:dyDescent="0.2">
      <c r="B49" s="1254" t="s">
        <v>1301</v>
      </c>
    </row>
    <row r="50" spans="2:5" ht="12.2" customHeight="1" x14ac:dyDescent="0.2">
      <c r="B50" s="1254"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6">
    <mergeCell ref="C14:C16"/>
    <mergeCell ref="B1:D1"/>
    <mergeCell ref="B2:D2"/>
    <mergeCell ref="B3:D3"/>
    <mergeCell ref="B4:D4"/>
    <mergeCell ref="C8:C10"/>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4d435f69-8686-490b-bd6d-b153bf22ab50"/>
    <ds:schemaRef ds:uri="http://purl.org/dc/terms/"/>
    <ds:schemaRef ds:uri="d21dc803-237d-4c68-8692-8d731fd29118"/>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2020-10-10T16:49:45Z</cp:lastPrinted>
  <dcterms:created xsi:type="dcterms:W3CDTF">2003-10-29T19:06:34Z</dcterms:created>
  <dcterms:modified xsi:type="dcterms:W3CDTF">2020-10-20T21:53:37Z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