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23E75B2-0009-4134-B421-4F81B59A7DF5}" xr6:coauthVersionLast="36" xr6:coauthVersionMax="36" xr10:uidLastSave="{00000000-0000-0000-0000-000000000000}"/>
  <bookViews>
    <workbookView xWindow="-15" yWindow="13665" windowWidth="28845"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342" i="29" l="1"/>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D31" i="108"/>
  <c r="E16" i="184"/>
  <c r="H16"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G33" i="108"/>
  <c r="E17" i="184"/>
  <c r="H17" i="184" s="1"/>
  <c r="F67" i="34"/>
  <c r="G26" i="108"/>
  <c r="B1274" i="106"/>
  <c r="D1274" i="106" s="1"/>
  <c r="H15" i="184"/>
  <c r="G30" i="108"/>
  <c r="H12" i="184"/>
  <c r="E19" i="184"/>
  <c r="B7826" i="106"/>
  <c r="D7826"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N57" i="184"/>
  <c r="N68" i="184" s="1"/>
  <c r="E68" i="184"/>
  <c r="L16" i="11"/>
  <c r="B2061" i="106" s="1"/>
  <c r="D2061" i="106" s="1"/>
  <c r="B1381" i="106"/>
  <c r="D1381" i="106" s="1"/>
  <c r="F41" i="108"/>
  <c r="G43" i="108" s="1"/>
  <c r="H19" i="184"/>
  <c r="L20" i="184"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2567" i="106"/>
  <c r="D2567" i="106" s="1"/>
  <c r="D8" i="146" l="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<sst xmlns="http://schemas.openxmlformats.org/spreadsheetml/2006/main" count="5160" uniqueCount="2093">
  <si>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</si>
  <si>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</si>
  <si>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</si>
  <si>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</si>
  <si>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</si>
  <si>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</si>
  <si>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</si>
  <si>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</si>
  <si>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</si>
  <si>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</si>
  <si>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</si>
  <si>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</si>
  <si>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</si>
  <si>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</si>
  <si>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</si>
  <si>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</si>
  <si>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</si>
  <si>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</si>
  <si>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</si>
  <si>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</si>
  <si>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</si>
  <si>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</si>
  <si>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</si>
  <si>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</si>
  <si>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</si>
  <si>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</si>
  <si>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</si>
  <si>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</si>
  <si>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</si>
  <si>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</si>
  <si>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</si>
  <si>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</si>
  <si>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</si>
  <si>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</si>
  <si>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</si>
  <si>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</si>
  <si>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</si>
  <si>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</si>
  <si>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</si>
  <si>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</si>
  <si>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</si>
  <si>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</si>
  <si>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</si>
  <si>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</si>
  <si>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</si>
  <si>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</si>
  <si>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</si>
  <si>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</si>
  <si>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</si>
  <si>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</si>
  <si>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</si>
  <si>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</si>
  <si>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</si>
  <si>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</si>
  <si>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</si>
  <si>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</si>
  <si>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</si>
  <si>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</si>
  <si>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</si>
  <si>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</si>
  <si>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</si>
  <si>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</si>
  <si>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</si>
  <si>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</si>
  <si>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</si>
  <si>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</si>
  <si>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</si>
  <si>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</si>
  <si>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</si>
  <si>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</si>
  <si>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</si>
  <si>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</si>
  <si>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</si>
  <si>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</si>
  <si>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</si>
  <si>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</si>
  <si>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</si>
  <si>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</si>
  <si>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</si>
  <si>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</si>
  <si>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</si>
  <si>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</si>
  <si>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</si>
  <si>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</si>
  <si>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</si>
  <si>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</si>
  <si>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</si>
  <si>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</si>
  <si>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</si>
  <si>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</si>
  <si>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</si>
  <si>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</si>
  <si>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</si>
  <si>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</si>
  <si>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</si>
  <si>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</si>
  <si>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</si>
  <si>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</si>
  <si>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</si>
  <si>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</si>
  <si>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</si>
  <si>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</si>
  <si>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</si>
  <si>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</si>
  <si>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</si>
  <si>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</si>
  <si>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</si>
  <si>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</si>
  <si>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</si>
  <si>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</si>
  <si>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</si>
  <si>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</si>
  <si>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</si>
  <si>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</si>
  <si>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</si>
  <si>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</si>
  <si>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</si>
  <si>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</si>
  <si>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</si>
  <si>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</si>
  <si>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</si>
  <si>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</si>
  <si>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</si>
  <si>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</si>
  <si>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</si>
  <si>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</si>
  <si>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</si>
  <si>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</si>
  <si>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</si>
  <si>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</si>
  <si>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</si>
  <si>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</si>
  <si>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</si>
  <si>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</si>
  <si>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</si>
  <si>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</si>
  <si>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</si>
  <si>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</si>
  <si>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</si>
  <si>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</si>
  <si>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</si>
  <si>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</si>
  <si>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</si>
  <si>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</si>
  <si>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</si>
  <si>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</si>
  <si>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</si>
  <si>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</si>
  <si>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</si>
  <si>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</si>
  <si>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</si>
  <si>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</si>
  <si>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</si>
  <si>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</si>
  <si>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</si>
  <si>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</si>
  <si>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</si>
  <si>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</si>
  <si>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</si>
  <si>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</si>
  <si>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</si>
  <si>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</si>
  <si>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</si>
  <si>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</si>
  <si>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</si>
  <si>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</si>
  <si>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</si>
  <si>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</si>
  <si>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</si>
  <si>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</si>
  <si>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</si>
  <si>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</si>
  <si>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</si>
  <si>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</si>
  <si>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</si>
  <si>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</si>
  <si>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</si>
  <si>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</si>
  <si>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</si>
  <si>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</si>
  <si>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</si>
  <si>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</si>
  <si>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</si>
  <si>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</si>
  <si>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</si>
  <si>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</si>
  <si>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</si>
  <si>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</si>
  <si>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</si>
  <si>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</si>
  <si>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</si>
  <si>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</si>
  <si>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</si>
  <si>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</si>
  <si>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</si>
  <si>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</si>
  <si>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</si>
  <si>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</si>
  <si>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</si>
  <si>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</si>
  <si>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</si>
  <si>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</si>
  <si>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</si>
  <si>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</si>
  <si>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</si>
  <si>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</si>
  <si>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</si>
  <si>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</si>
  <si>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</si>
  <si>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</si>
  <si>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</si>
  <si>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</si>
  <si>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</si>
  <si>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</si>
  <si>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</si>
  <si>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</si>
  <si>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</si>
  <si>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</si>
  <si>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</si>
  <si>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</si>
  <si>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</si>
  <si>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</si>
  <si>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</si>
  <si>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</si>
  <si>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</si>
  <si>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</si>
  <si>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</si>
  <si>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</si>
  <si>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</si>
  <si>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</si>
  <si>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</si>
  <si>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</si>
  <si>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</si>
  <si>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</si>
  <si>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</si>
  <si>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</si>
  <si>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</si>
  <si>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</si>
  <si>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</si>
  <si>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</si>
  <si>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</si>
  <si>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</si>
  <si>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</si>
  <si>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</si>
  <si>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</si>
  <si>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</si>
  <si>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</si>
  <si>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</si>
  <si>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</si>
  <si>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</si>
  <si>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</si>
  <si>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</si>
  <si>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</si>
  <si>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</si>
  <si>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</si>
  <si>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</si>
  <si>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</si>
  <si>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</si>
  <si>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</si>
  <si>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</si>
  <si>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</si>
  <si>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</si>
  <si>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</si>
  <si>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</si>
  <si>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</si>
  <si>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</si>
  <si>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</si>
  <si>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</si>
  <si>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</si>
  <si>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</si>
  <si>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</si>
  <si>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</si>
  <si>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</si>
  <si>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</si>
  <si>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</si>
  <si>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</si>
  <si>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</si>
  <si>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</si>
  <si>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</si>
  <si>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</si>
  <si>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</si>
  <si>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</si>
  <si>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</si>
  <si>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</si>
  <si>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</si>
  <si>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</si>
  <si>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</si>
  <si>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</si>
  <si>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</si>
  <si>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</si>
  <si>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</si>
  <si>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</si>
  <si>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</si>
  <si>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</si>
  <si>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</si>
  <si>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</si>
  <si>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</si>
  <si>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</si>
  <si>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</si>
  <si>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</si>
  <si>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</si>
  <si>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</si>
  <si>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</si>
  <si>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</si>
  <si>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</si>
  <si>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</si>
  <si>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</si>
  <si>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</si>
  <si>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</si>
  <si>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</si>
  <si>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</si>
  <si>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</si>
  <si>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</si>
  <si>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</si>
  <si>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</si>
  <si>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</si>
  <si>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</si>
  <si>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</si>
  <si>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</si>
  <si>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</si>
  <si>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</si>
  <si>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</si>
  <si>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</si>
  <si>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</si>
  <si>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</si>
  <si>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</si>
  <si>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</si>
  <si>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</si>
  <si>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</si>
  <si>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</si>
  <si>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</si>
  <si>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</si>
  <si>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</si>
  <si>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</si>
  <si>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</si>
  <si>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</si>
  <si>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</si>
  <si>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</si>
  <si>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</si>
  <si>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</si>
  <si>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</si>
  <si>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</si>
  <si>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</si>
  <si>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</si>
  <si>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</si>
  <si>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</si>
  <si>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</si>
  <si>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</si>
  <si>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</si>
  <si>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</si>
  <si>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</si>
  <si>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</si>
  <si>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</si>
  <si>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</si>
  <si>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</si>
  <si>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</si>
  <si>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</si>
  <si>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</si>
  <si>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</si>
  <si>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</si>
  <si>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</si>
  <si>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</si>
  <si>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</si>
  <si>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</si>
  <si>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</si>
  <si>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</si>
  <si>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</si>
  <si>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</si>
  <si>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</si>
  <si>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</si>
  <si>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</si>
  <si>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</si>
  <si>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</si>
  <si>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</si>
  <si>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</si>
  <si>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</si>
  <si>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</si>
  <si>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</si>
  <si>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</si>
  <si>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</si>
  <si>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</si>
  <si>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</si>
  <si>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</si>
  <si>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</si>
  <si>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</si>
  <si>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</si>
  <si>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</si>
  <si>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</si>
  <si>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</si>
  <si>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</si>
  <si>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</si>
  <si>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</si>
  <si>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</si>
  <si>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</si>
  <si>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</si>
  <si>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</si>
  <si>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</si>
  <si>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</si>
  <si>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</si>
  <si>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</si>
  <si>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</si>
  <si>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</si>
  <si>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</si>
  <si>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</si>
  <si>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</si>
  <si>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</si>
  <si>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</si>
  <si>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</si>
  <si>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</si>
  <si>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</si>
  <si>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</si>
  <si>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</si>
  <si>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</si>
  <si>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</si>
  <si>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</si>
  <si>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</si>
  <si>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</si>
  <si>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</si>
  <si>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</si>
  <si>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</si>
  <si>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</si>
  <si>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</si>
  <si>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</si>
  <si>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</si>
  <si>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</si>
  <si>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</si>
  <si>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</si>
  <si>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</si>
  <si>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</si>
  <si>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</si>
  <si>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</si>
  <si>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</si>
  <si>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</si>
  <si>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</si>
  <si>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</si>
  <si>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</si>
  <si>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</si>
  <si>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</si>
  <si>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</si>
  <si>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</si>
  <si>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</si>
  <si>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</si>
  <si>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</si>
  <si>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</si>
  <si>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</si>
  <si>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</si>
  <si>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</si>
  <si>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</si>
  <si>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</si>
  <si>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</si>
  <si>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</si>
  <si>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</si>
  <si>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</si>
  <si>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</si>
  <si>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</si>
  <si>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</si>
  <si>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</si>
  <si>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</si>
  <si>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</si>
  <si>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</si>
  <si>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</si>
  <si>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</si>
  <si>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</si>
  <si>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</si>
  <si>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</si>
  <si>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</si>
  <si>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</si>
  <si>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</si>
  <si>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</si>
  <si>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</si>
  <si>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</si>
  <si>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</si>
  <si>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</si>
  <si>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</si>
  <si>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</si>
  <si>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</si>
  <si>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</si>
  <si>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</si>
  <si>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</si>
  <si>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</si>
  <si>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</si>
  <si>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</si>
  <si>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</si>
  <si>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</si>
  <si>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</si>
  <si>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</si>
  <si>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</si>
  <si>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</si>
  <si>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</si>
  <si>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</si>
  <si>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</si>
  <si>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</si>
  <si>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</si>
  <si>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</si>
  <si>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</si>
  <si>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</si>
  <si>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</si>
  <si>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</si>
  <si>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</si>
  <si>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</si>
  <si>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</si>
  <si>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</si>
  <si>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</si>
  <si>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</si>
  <si>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</si>
  <si>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</si>
  <si>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</si>
  <si>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</si>
  <si>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</si>
  <si>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</si>
  <si>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</si>
  <si>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</si>
  <si>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</si>
  <si>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</si>
  <si>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</si>
  <si>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</si>
  <si>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</si>
  <si>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</si>
  <si>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</si>
  <si>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</si>
  <si>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</si>
  <si>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</si>
  <si>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</si>
  <si>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</si>
  <si>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</si>
  <si>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</si>
  <si>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</si>
  <si>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</si>
  <si>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</si>
  <si>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</si>
  <si>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</si>
  <si>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</si>
  <si>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</si>
  <si>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</si>
  <si>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</si>
  <si>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</si>
  <si>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</si>
  <si>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</si>
  <si>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</si>
  <si>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</si>
  <si>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</si>
  <si>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</si>
  <si>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</si>
  <si>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</si>
  <si>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</si>
  <si>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</si>
  <si>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</si>
  <si>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</si>
  <si>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</si>
  <si>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</si>
  <si>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</si>
  <si>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</si>
  <si>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</si>
  <si>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</si>
  <si>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</si>
  <si>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</si>
  <si>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</si>
  <si>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</si>
  <si>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</si>
  <si>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</si>
  <si>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</si>
  <si>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</si>
  <si>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</si>
  <si>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</si>
  <si>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</si>
  <si>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</si>
  <si>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</si>
  <si>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</si>
  <si>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</si>
  <si>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</si>
  <si>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</si>
  <si>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</si>
  <si>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</si>
  <si>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</si>
  <si>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</si>
  <si>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</si>
  <si>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</si>
  <si>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</si>
  <si>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</si>
  <si>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</si>
  <si>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</si>
  <si>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</si>
  <si>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</si>
  <si>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</si>
  <si>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</si>
  <si>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</si>
  <si>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</si>
  <si>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</si>
  <si>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</si>
  <si>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</si>
  <si>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</si>
  <si>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</si>
  <si>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</si>
  <si>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</si>
  <si>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</si>
  <si>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</si>
  <si>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</si>
  <si>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</si>
  <si>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</si>
  <si>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</si>
  <si>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</si>
  <si>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</si>
  <si>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</si>
  <si>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</si>
  <si>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</si>
  <si>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</si>
  <si>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</si>
  <si>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</si>
  <si>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</si>
  <si>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</si>
  <si>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</si>
  <si>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</si>
  <si>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</si>
  <si>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</si>
  <si>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</si>
  <si>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</si>
  <si>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</si>
  <si>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</si>
  <si>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</si>
  <si>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</si>
  <si>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</si>
  <si>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</si>
  <si>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</si>
  <si>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</si>
  <si>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</si>
  <si>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</si>
  <si>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</si>
  <si>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</si>
  <si>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</si>
  <si>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</si>
  <si>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</si>
  <si>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</si>
  <si>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</si>
  <si>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</si>
  <si>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</si>
  <si>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</si>
  <si>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</si>
  <si>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</si>
  <si>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</si>
  <si>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</si>
  <si>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</si>
  <si>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</si>
  <si>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</si>
  <si>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</si>
  <si>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</si>
  <si>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</si>
  <si>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</si>
  <si>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</si>
  <si>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</si>
  <si>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</si>
  <si>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</si>
  <si>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</si>
  <si>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</si>
  <si>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</si>
  <si>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</si>
  <si>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</si>
  <si>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</si>
  <si>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</si>
  <si>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</si>
  <si>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</si>
  <si>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</si>
  <si>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</si>
  <si>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</si>
  <si>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</si>
  <si>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</si>
  <si>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</si>
  <si>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</si>
  <si>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</si>
  <si>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</si>
  <si>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</si>
  <si>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</si>
  <si>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</si>
  <si>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</si>
  <si>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</si>
  <si>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</si>
  <si>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</si>
  <si>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</si>
  <si>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</si>
  <si>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</si>
  <si>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</si>
  <si>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</si>
  <si>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</si>
  <si>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</si>
  <si>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</si>
  <si>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</si>
  <si>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</si>
  <si>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</si>
  <si>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</si>
  <si>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</si>
  <si>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</si>
  <si>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</si>
  <si>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</si>
  <si>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</si>
  <si>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</si>
  <si>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</si>
  <si>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</si>
  <si>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</si>
  <si>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</si>
  <si>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</si>
  <si>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</si>
  <si>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</si>
  <si>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</si>
  <si>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</si>
  <si>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</si>
  <si>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</si>
  <si>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</si>
  <si>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</si>
  <si>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</si>
  <si>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</si>
  <si>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</si>
  <si>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</si>
  <si>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</si>
  <si>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</si>
  <si>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</si>
  <si>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</si>
  <si>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</si>
  <si>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</si>
  <si>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</si>
  <si>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</si>
  <si>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</si>
  <si>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</si>
  <si>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</si>
  <si>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</si>
  <si>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</si>
  <si>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</si>
  <si>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</si>
  <si>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</si>
  <si>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</si>
  <si>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</si>
  <si>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</si>
  <si>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</si>
  <si>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</si>
  <si>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</si>
  <si>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</si>
  <si>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</si>
  <si>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</si>
  <si>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</si>
  <si>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</si>
  <si>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</si>
  <si>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</si>
  <si>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</si>
  <si>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</si>
  <si>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</si>
  <si>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</si>
  <si>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</si>
  <si>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</si>
  <si>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</si>
  <si>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</si>
  <si>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</si>
  <si>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</si>
  <si>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</si>
  <si>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</si>
  <si>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</si>
  <si>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</si>
  <si>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</si>
  <si>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</si>
  <si>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</si>
  <si>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</si>
  <si>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</si>
  <si>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</si>
  <si>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</si>
  <si>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</si>
  <si>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</si>
  <si>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</si>
  <si>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</si>
  <si>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</si>
  <si>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</si>
  <si>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</si>
  <si>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</si>
  <si>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</si>
  <si>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</si>
  <si>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</si>
  <si>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</si>
  <si>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</si>
  <si>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</si>
  <si>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</si>
  <si>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</si>
  <si>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</si>
  <si>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</si>
  <si>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</si>
  <si>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</si>
  <si>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</si>
  <si>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</si>
  <si>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</si>
  <si>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</si>
  <si>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</si>
  <si>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</si>
  <si>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</si>
  <si>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</si>
  <si>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</si>
  <si>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</si>
  <si>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</si>
  <si>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</si>
  <si>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</si>
  <si>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</si>
  <si>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</si>
  <si>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</si>
  <si>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</si>
  <si>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</si>
  <si>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</si>
  <si>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</si>
  <si>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</si>
  <si>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</si>
  <si>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</si>
  <si>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</si>
  <si>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</si>
  <si>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</si>
  <si>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</si>
  <si>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</si>
  <si>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</si>
  <si>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</si>
  <si>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</si>
  <si>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</si>
  <si>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</si>
  <si>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</si>
  <si>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</si>
  <si>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</si>
  <si>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</si>
  <si>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</si>
  <si>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</si>
  <si>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</si>
  <si>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</si>
  <si>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</si>
  <si>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</si>
  <si>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</si>
  <si>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</si>
  <si>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</si>
  <si>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</si>
  <si>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</si>
  <si>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</si>
  <si>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</si>
  <si>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</si>
  <si>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</si>
  <si>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</si>
  <si>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</si>
  <si>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</si>
  <si>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</si>
  <si>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</si>
  <si>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</si>
  <si>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</si>
  <si>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</si>
  <si>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</si>
  <si>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</si>
  <si>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</si>
  <si>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</si>
  <si>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</si>
  <si>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</si>
  <si>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</si>
  <si>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</si>
  <si>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</si>
  <si>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</si>
  <si>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</si>
  <si>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</si>
  <si>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</si>
  <si>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</si>
  <si>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</si>
  <si>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</si>
  <si>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</si>
  <si>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</si>
  <si>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</si>
  <si>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</si>
  <si>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</si>
  <si>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</si>
  <si>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</si>
  <si>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</si>
  <si>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</si>
  <si>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</si>
  <si>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</si>
  <si>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</si>
  <si>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</si>
  <si>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</si>
  <si>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</si>
  <si>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</si>
  <si>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</si>
  <si>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</si>
  <si>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</si>
  <si>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</si>
  <si>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</si>
  <si>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</si>
  <si>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</si>
  <si>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</si>
  <si>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</si>
  <si>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</si>
  <si>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</si>
  <si>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</si>
  <si>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</si>
  <si>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</si>
  <si>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</si>
  <si>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</si>
  <si>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</si>
  <si>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</si>
  <si>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</si>
  <si>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</si>
  <si>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</si>
  <si>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</si>
  <si>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</si>
  <si>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</si>
  <si>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</si>
  <si>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</si>
  <si>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</si>
  <si>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</si>
  <si>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</si>
  <si>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</si>
  <si>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</si>
  <si>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</si>
  <si>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</si>
  <si>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</si>
  <si>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</si>
  <si>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</si>
  <si>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</si>
  <si>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</si>
  <si>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</si>
  <si>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</si>
  <si>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</si>
  <si>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</si>
  <si>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</si>
  <si>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</si>
  <si>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</si>
  <si>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</si>
  <si>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</si>
  <si>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</si>
  <si>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</si>
  <si>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</si>
  <si>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</si>
  <si>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</si>
  <si>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</si>
  <si>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</si>
  <si>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</si>
  <si>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</si>
  <si>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</si>
  <si>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</si>
  <si>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</si>
  <si>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</si>
  <si>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</si>
  <si>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</si>
  <si>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</si>
  <si>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</si>
  <si>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</si>
  <si>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</si>
  <si>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</si>
  <si>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</si>
  <si>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</si>
  <si>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</si>
  <si>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</si>
  <si>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</si>
  <si>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</si>
  <si>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</si>
  <si>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</si>
  <si>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</si>
  <si>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</si>
  <si>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</si>
  <si>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</si>
  <si>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</si>
  <si>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</si>
  <si>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</si>
  <si>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</si>
  <si>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</si>
  <si>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</si>
  <si>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</si>
  <si>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</si>
  <si>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</si>
  <si>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</si>
  <si>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</si>
  <si>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</si>
  <si>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</si>
  <si>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</si>
  <si>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</si>
  <si>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</si>
  <si>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</si>
  <si>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</si>
  <si>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</si>
  <si>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</si>
  <si>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</si>
  <si>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</si>
  <si>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</si>
  <si>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</si>
  <si>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</si>
  <si>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</si>
  <si>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</si>
  <si>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</si>
  <si>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</si>
  <si>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</si>
  <si>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</si>
  <si>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</si>
  <si>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</si>
  <si>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</si>
  <si>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</si>
  <si>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</si>
  <si>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</si>
  <si>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</si>
  <si>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</si>
  <si>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</si>
  <si>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</si>
  <si>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</si>
  <si>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</si>
  <si>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</si>
  <si>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</si>
  <si>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</si>
  <si>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</si>
  <si>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</si>
  <si>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</si>
  <si>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</si>
  <si>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</si>
  <si>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</si>
  <si>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</si>
  <si>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</si>
  <si>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</si>
  <si>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</si>
  <si>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</si>
  <si>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</si>
  <si>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</si>
  <si>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</si>
  <si>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</si>
  <si>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</si>
  <si>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</si>
  <si>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</si>
  <si>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</si>
  <si>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</si>
  <si>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</si>
  <si>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</si>
  <si>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</si>
  <si>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</si>
  <si>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</si>
  <si>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</si>
  <si>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</si>
  <si>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</si>
  <si>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</si>
  <si>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</si>
  <si>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</si>
  <si>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</si>
  <si>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</si>
  <si>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</si>
  <si>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</si>
  <si>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</si>
  <si>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</si>
  <si>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</si>
  <si>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</si>
  <si>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</si>
  <si>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</si>
  <si>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</si>
  <si>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</si>
  <si>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</si>
  <si>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</si>
  <si>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</si>
  <si>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</si>
  <si>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</si>
  <si>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</si>
  <si>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</si>
  <si>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</si>
  <si>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</si>
  <si>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</si>
  <si>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</si>
  <si>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</si>
  <si>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</si>
  <si>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</si>
  <si>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</si>
  <si>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</si>
  <si>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</si>
  <si>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</si>
  <si>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</si>
  <si>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</si>
  <si>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</si>
  <si>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</si>
  <si>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</si>
  <si>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</si>
  <si>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</si>
  <si>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</si>
  <si>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</si>
  <si>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</si>
  <si>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</si>
  <si>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</si>
  <si>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</si>
  <si>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</si>
  <si>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</si>
  <si>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</si>
  <si>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</si>
  <si>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</si>
  <si>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</si>
  <si>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</si>
  <si>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</si>
  <si>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</si>
  <si>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</si>
  <si>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</si>
  <si>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</si>
  <si>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</si>
  <si>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</si>
  <si>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</si>
  <si>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</si>
  <si>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</si>
  <si>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</si>
  <si>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</si>
  <si>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</si>
  <si>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</si>
  <si>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</si>
  <si>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</si>
  <si>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</si>
  <si>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</si>
  <si>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</si>
  <si>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</si>
  <si>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</si>
  <si>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</si>
  <si>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</si>
  <si>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</si>
  <si>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</si>
  <si>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</si>
  <si>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</si>
  <si>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</si>
  <si>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</si>
  <si>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</si>
  <si>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</si>
  <si>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</si>
  <si>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</si>
  <si>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</si>
  <si>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</si>
  <si>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</si>
  <si>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</si>
  <si>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</si>
  <si>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</si>
  <si>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</si>
  <si>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</si>
  <si>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</si>
  <si>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</si>
  <si>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</si>
  <si>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</si>
  <si>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</si>
  <si>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</si>
  <si>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</si>
  <si>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</si>
  <si>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</si>
  <si>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</si>
  <si>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</si>
  <si>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</si>
  <si>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</si>
  <si>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</si>
  <si>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</si>
  <si>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</si>
  <si>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</si>
  <si>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</si>
  <si>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</si>
  <si>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</si>
  <si>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</si>
  <si>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</si>
  <si>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</si>
  <si>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</si>
  <si>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</si>
  <si>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</si>
  <si>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</si>
  <si>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</si>
  <si>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</si>
  <si>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</si>
  <si>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</si>
  <si>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</si>
  <si>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</si>
  <si>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</si>
  <si>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</si>
  <si>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</si>
  <si>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</si>
  <si>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</si>
  <si>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</si>
  <si>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</si>
  <si>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</si>
  <si>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</si>
  <si>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</si>
  <si>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</si>
  <si>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</si>
  <si>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</si>
  <si>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</si>
  <si>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</si>
  <si>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</si>
  <si>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</si>
  <si>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</si>
  <si>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</si>
  <si>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</si>
  <si>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</si>
  <si>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</si>
  <si>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</si>
  <si>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</si>
  <si>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</si>
  <si>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</si>
  <si>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</si>
  <si>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</si>
  <si>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</si>
  <si>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</si>
  <si>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</si>
  <si>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</si>
  <si>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</si>
  <si>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</si>
  <si>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</si>
  <si>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</si>
  <si>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</si>
  <si>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</si>
  <si>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</si>
  <si>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</si>
  <si>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</si>
  <si>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</si>
  <si>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</si>
  <si>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</si>
  <si>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</si>
  <si>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</si>
  <si>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</si>
  <si>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</si>
  <si>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</si>
  <si>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</si>
  <si>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</si>
  <si>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</si>
  <si>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</si>
  <si>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</si>
  <si>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</si>
  <si>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</si>
  <si>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</si>
  <si>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</si>
  <si>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</si>
  <si>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</si>
  <si>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</si>
  <si>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</si>
  <si>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</si>
  <si>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</si>
  <si>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</si>
  <si>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</si>
  <si>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</si>
  <si>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</si>
  <si>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</si>
  <si>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</si>
  <si>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</si>
  <si>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</si>
  <si>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</si>
  <si>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</si>
  <si>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</si>
  <si>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</si>
  <si>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</si>
  <si>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</si>
  <si>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</si>
  <si>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</si>
  <si>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</si>
  <si>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</si>
  <si>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</si>
  <si>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</si>
  <si>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</si>
  <si>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</si>
  <si>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</si>
  <si>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</si>
  <si>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</si>
  <si>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</si>
  <si>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</si>
  <si>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</si>
  <si>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</si>
  <si>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</si>
  <si>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</si>
  <si>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</si>
  <si>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</si>
  <si>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</si>
  <si>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</si>
  <si>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</si>
  <si>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</si>
  <si>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</si>
  <si>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</si>
  <si>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</si>
  <si>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</si>
  <si>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</si>
  <si>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</si>
  <si>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</si>
  <si>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</si>
  <si>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</si>
  <si>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</si>
  <si>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</si>
  <si>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</si>
  <si>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</si>
  <si>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</si>
  <si>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</si>
  <si>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</si>
  <si>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</si>
  <si>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</si>
  <si>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</si>
  <si>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</si>
  <si>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</si>
  <si>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</si>
  <si>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</si>
  <si>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</si>
  <si>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</si>
  <si>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</si>
  <si>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</si>
  <si>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</si>
  <si>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</si>
  <si>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</si>
  <si>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</si>
  <si>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</si>
  <si>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</si>
  <si>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</si>
  <si>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</si>
  <si>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</si>
  <si>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</si>
  <si>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</si>
  <si>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</si>
  <si>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</si>
  <si>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</si>
  <si>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</si>
  <si>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</si>
  <si>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</si>
  <si>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</si>
  <si>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</si>
  <si>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</si>
  <si>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</si>
  <si>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</si>
  <si>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</si>
  <si>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</si>
  <si>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</si>
  <si>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</si>
  <si>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</si>
  <si>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</si>
  <si>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</si>
  <si>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</si>
  <si>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</si>
  <si>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</si>
  <si>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</si>
  <si>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</si>
  <si>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</si>
  <si>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</si>
  <si>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</si>
  <si>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</si>
  <si>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</si>
  <si>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</si>
  <si>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</si>
  <si>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</si>
  <si>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</si>
  <si>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</si>
  <si>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</si>
  <si>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</si>
  <si>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</si>
  <si>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</si>
  <si>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</si>
  <si>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</si>
  <si>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</si>
  <si>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</si>
  <si>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</si>
  <si>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</si>
  <si>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</si>
  <si>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</si>
  <si>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</si>
  <si>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</si>
  <si>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</si>
  <si>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</si>
  <si>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</si>
  <si>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</si>
  <si>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</si>
  <si>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</si>
  <si>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</si>
  <si>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</si>
  <si>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</si>
  <si>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</si>
  <si>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</si>
  <si>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</si>
  <si>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</si>
  <si>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</si>
  <si>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</si>
  <si>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</si>
  <si>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</si>
  <si>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</si>
  <si>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</si>
  <si>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</si>
  <si>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</si>
  <si>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</si>
  <si>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</si>
  <si>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</si>
  <si>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</si>
  <si>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</si>
  <si>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</si>
  <si>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</si>
  <si>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</si>
  <si>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</si>
  <si>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</si>
  <si>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</si>
  <si>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</si>
  <si>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</si>
  <si>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</si>
  <si>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</si>
  <si>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</si>
  <si>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</si>
  <si>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</si>
  <si>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</si>
  <si>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</si>
  <si>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</si>
  <si>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</si>
  <si>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</si>
  <si>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</si>
  <si>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</si>
  <si>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</si>
  <si>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</si>
  <si>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</si>
  <si>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</si>
  <si>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</si>
  <si>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</si>
  <si>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</si>
  <si>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</si>
  <si>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</si>
  <si>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</si>
  <si>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</si>
  <si>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</si>
  <si>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</si>
  <si>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</si>
  <si>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</si>
  <si>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</si>
  <si>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</si>
  <si>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</si>
  <si>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</si>
  <si>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</si>
  <si>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</si>
  <si>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</si>
  <si>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</si>
  <si>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</si>
  <si>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</si>
  <si>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</si>
  <si>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</si>
  <si>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</si>
  <si>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</si>
  <si>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</si>
  <si>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</si>
  <si>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</si>
  <si>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</si>
  <si>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</si>
  <si>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</si>
  <si>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</si>
  <si>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</si>
  <si>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</si>
  <si>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</si>
  <si>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</si>
  <si>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</si>
  <si>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</si>
  <si>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</si>
  <si>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</si>
  <si>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</si>
  <si>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</si>
  <si>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</si>
  <si>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</si>
  <si>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</si>
  <si>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</si>
  <si>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</si>
  <si>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</si>
  <si>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</si>
  <si>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</si>
  <si>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</si>
  <si>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</si>
  <si>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</si>
  <si>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</si>
  <si>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</si>
  <si>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</si>
  <si>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</si>
  <si>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</si>
  <si>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</si>
  <si>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</si>
  <si>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</si>
  <si>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</si>
  <si>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</si>
  <si>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</si>
  <si>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</si>
  <si>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</si>
  <si>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</si>
  <si>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</si>
  <si>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</si>
  <si>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</si>
  <si>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</si>
  <si>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</si>
  <si>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</si>
  <si>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</si>
  <si>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</si>
  <si>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</si>
  <si>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</si>
  <si>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</si>
  <si>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</si>
  <si>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</si>
  <si>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</si>
  <si>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</si>
  <si>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</si>
  <si>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</si>
  <si>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</si>
  <si>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</si>
  <si>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</si>
  <si>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</si>
  <si>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</si>
  <si>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</si>
  <si>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</si>
  <si>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</si>
  <si>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</si>
  <si>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</si>
  <si>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</si>
  <si>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</si>
  <si>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</si>
  <si>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</si>
  <si>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</si>
  <si>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</si>
  <si>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</si>
  <si>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</si>
  <si>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</si>
  <si>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</si>
  <si>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</si>
  <si>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</si>
  <si>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</si>
  <si>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</si>
  <si>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</si>
  <si>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</si>
  <si>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</si>
  <si>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</si>
  <si>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</si>
  <si>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</si>
  <si>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</si>
  <si>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</si>
  <si>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</si>
  <si>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</si>
  <si>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</si>
  <si>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</si>
  <si>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</si>
  <si>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</si>
  <si>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</si>
  <si>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</si>
  <si>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</si>
  <si>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</si>
  <si>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</si>
  <si>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</si>
  <si>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</si>
  <si>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</si>
  <si>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</si>
  <si>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</si>
  <si>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</si>
  <si>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</si>
  <si>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</si>
  <si>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</si>
  <si>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</si>
  <si>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</si>
  <si>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</si>
  <si>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</si>
  <si>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</si>
  <si>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</si>
  <si>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</si>
  <si>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</si>
  <si>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</si>
  <si>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</si>
  <si>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</si>
  <si>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</si>
  <si>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</si>
  <si>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</si>
  <si>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</si>
  <si>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</si>
  <si>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</si>
  <si>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</si>
  <si>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</si>
  <si>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</si>
  <si>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</si>
  <si>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</si>
  <si>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</si>
  <si>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</si>
  <si>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</si>
  <si>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</si>
  <si>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</si>
  <si>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</si>
  <si>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</si>
  <si>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</si>
  <si>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</si>
  <si>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</si>
  <si>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</si>
  <si>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</si>
  <si>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</si>
  <si>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</si>
  <si>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</si>
  <si>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</si>
  <si>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</si>
  <si>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</si>
  <si>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</si>
  <si>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</si>
  <si>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</si>
  <si>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</si>
  <si>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</si>
  <si>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</si>
  <si>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</si>
  <si>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</si>
  <si>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</si>
  <si>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</si>
  <si>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</si>
  <si>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</si>
  <si>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</si>
  <si>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</si>
  <si>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</si>
  <si>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</si>
  <si>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</si>
  <si>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</si>
  <si>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</si>
  <si>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</si>
  <si>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</si>
  <si>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</si>
  <si>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</si>
  <si>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</si>
  <si>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</si>
  <si>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</si>
  <si>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</si>
  <si>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</si>
  <si>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</si>
  <si>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</si>
  <si>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</si>
  <si>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</si>
  <si>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</si>
  <si>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</si>
  <si>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</si>
  <si>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</si>
  <si>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</si>
  <si>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</si>
  <si>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</si>
  <si>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</si>
  <si>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</si>
  <si>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</si>
  <si>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</si>
  <si>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</si>
  <si>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</si>
  <si>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</si>
  <si>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</si>
  <si>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</si>
  <si>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</si>
  <si>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</si>
  <si>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</si>
  <si>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</si>
  <si>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</si>
  <si>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</si>
  <si>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</si>
  <si>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</si>
  <si>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</si>
  <si>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</si>
  <si>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</si>
  <si>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</si>
  <si>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</si>
  <si>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</si>
  <si>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</si>
  <si>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</si>
  <si>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</si>
  <si>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</si>
  <si>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</si>
  <si>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</si>
  <si>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</si>
  <si>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</si>
  <si>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</si>
  <si>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</si>
  <si>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</si>
  <si>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</si>
  <si>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</si>
  <si>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</si>
  <si>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</si>
  <si>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</si>
  <si>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</si>
  <si>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</si>
  <si>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</si>
  <si>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</si>
  <si>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</si>
  <si>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</si>
  <si>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</si>
  <si>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</si>
  <si>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</si>
  <si>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</si>
  <si>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</si>
  <si>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</si>
  <si>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</si>
  <si>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</si>
  <si>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</si>
  <si>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</si>
  <si>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</si>
  <si>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</si>
  <si>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</si>
  <si>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</si>
  <si>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</si>
  <si>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</si>
  <si>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</si>
  <si>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</si>
  <si>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</si>
  <si>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</si>
  <si>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</si>
  <si>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</si>
  <si>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</si>
  <si>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</si>
  <si>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</si>
  <si>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</si>
  <si>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</si>
  <si>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</si>
  <si>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</si>
  <si>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</si>
  <si>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</si>
  <si>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</si>
  <si>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</si>
  <si>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</si>
  <si>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</si>
  <si>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</si>
  <si>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</si>
  <si>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</si>
  <si>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</si>
  <si>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</si>
  <si>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</si>
  <si>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</si>
  <si>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</si>
  <si>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</si>
  <si>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</si>
  <si>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</si>
  <si>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</si>
  <si>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</si>
  <si>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</si>
  <si>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</si>
  <si>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</si>
  <si>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</si>
  <si>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</si>
  <si>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</si>
  <si>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</si>
  <si>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</si>
  <si>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</si>
  <si>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</si>
  <si>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</si>
  <si>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</si>
  <si>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</si>
  <si>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</si>
  <si>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</si>
  <si>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</si>
  <si>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</si>
  <si>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</si>
  <si>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</si>
  <si>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</si>
  <si>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</si>
  <si>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</si>
  <si>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</si>
  <si>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</si>
  <si>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</si>
  <si>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</si>
  <si>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</si>
  <si>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</si>
  <si>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</si>
  <si>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</si>
  <si>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</si>
  <si>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</si>
  <si>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</si>
  <si>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</si>
  <si>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</si>
  <si>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</si>
  <si>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</si>
  <si>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</si>
  <si>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</si>
  <si>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</si>
  <si>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</si>
  <si>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</si>
  <si>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</si>
  <si>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</si>
  <si>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</si>
  <si>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</si>
  <si>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</si>
  <si>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</si>
  <si>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</si>
  <si>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</si>
  <si>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</si>
  <si>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</si>
  <si>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</si>
  <si>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</si>
  <si>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</si>
  <si>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</si>
  <si>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</si>
  <si>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</si>
  <si>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</si>
  <si>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</si>
  <si>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</si>
  <si>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</si>
  <si>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</si>
  <si>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</si>
  <si>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</si>
  <si>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</si>
  <si>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</si>
  <si>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</si>
  <si>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</si>
  <si>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</si>
  <si>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</si>
  <si>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</si>
  <si>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</si>
  <si>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</si>
  <si>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</si>
  <si>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</si>
  <si>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</si>
  <si>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</si>
  <si>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</si>
  <si>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</si>
  <si>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</si>
  <si>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</si>
  <si>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</si>
  <si>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</si>
  <si>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</si>
  <si>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</si>
  <si>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</si>
  <si>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</si>
  <si>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</si>
  <si>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</si>
  <si>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</si>
  <si>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</si>
  <si>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</si>
  <si>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</si>
  <si>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</si>
  <si>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</si>
  <si>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</si>
  <si>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</si>
  <si>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</si>
  <si>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</si>
  <si>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</si>
  <si>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</si>
  <si>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</si>
  <si>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</si>
  <si>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</si>
  <si>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</si>
  <si>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</si>
  <si>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</si>
  <si>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</si>
  <si>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</si>
  <si>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</si>
  <si>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</si>
  <si>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</si>
  <si>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</si>
  <si>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</si>
  <si>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</si>
  <si>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</si>
  <si>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</si>
  <si>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</si>
  <si>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</si>
  <si>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</si>
  <si>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</si>
  <si>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</si>
  <si>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</si>
  <si>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</si>
  <si>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</si>
  <si>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</si>
  <si>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</si>
  <si>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</si>
  <si>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</si>
  <si>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</si>
  <si>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</si>
  <si>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</si>
  <si>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</si>
  <si>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</si>
  <si>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</si>
  <si>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</si>
  <si>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</si>
  <si>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</si>
  <si>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</si>
  <si>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</si>
  <si>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</si>
  <si>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</si>
  <si>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</si>
  <si>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</si>
  <si>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</si>
  <si>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</si>
  <si>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</si>
  <si>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</si>
  <si>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</si>
  <si>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</si>
  <si>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</si>
  <si>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</si>
  <si>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</si>
  <si>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</si>
  <si>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</si>
  <si>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</si>
  <si>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</si>
  <si>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</si>
  <si>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</si>
  <si>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</si>
  <si>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</si>
  <si>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</si>
  <si>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</si>
  <si>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</si>
  <si>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</si>
  <si>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</si>
  <si>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</si>
  <si>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</si>
  <si>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</si>
  <si>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</si>
  <si>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</si>
  <si>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</si>
  <si>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</si>
  <si>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</si>
  <si>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</si>
  <si>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</si>
  <si>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</si>
  <si>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</si>
  <si>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</si>
  <si>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</si>
  <si>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</si>
  <si>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</si>
  <si>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</si>
  <si>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</si>
  <si>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</si>
  <si>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</si>
  <si>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</si>
  <si>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</si>
  <si>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</si>
  <si>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</si>
  <si>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</si>
  <si>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</si>
  <si>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</si>
  <si>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</si>
  <si>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</si>
  <si>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</si>
  <si>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</si>
  <si>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</si>
  <si>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</si>
  <si>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</si>
  <si>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</si>
  <si>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</si>
  <si>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</si>
  <si>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</si>
  <si>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</si>
  <si>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</si>
  <si>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</si>
  <si>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</si>
  <si>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</si>
  <si>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</si>
  <si>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</si>
  <si>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</si>
  <si>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</si>
  <si>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</si>
  <si>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</si>
  <si>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</si>
  <si>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</si>
  <si>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</si>
  <si>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</si>
  <si>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</si>
  <si>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</si>
  <si>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</si>
  <si>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</si>
  <si>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</si>
  <si>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</si>
  <si>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</si>
  <si>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</si>
  <si>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</si>
  <si>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</si>
  <si>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</si>
  <si>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</si>
  <si>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</si>
  <si>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</si>
  <si>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</si>
  <si>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</si>
  <si>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</si>
  <si>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</si>
  <si>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</si>
  <si>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</si>
  <si>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</si>
  <si>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</si>
  <si>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</si>
  <si>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</si>
  <si>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</si>
  <si>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</si>
  <si>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</si>
  <si>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</si>
  <si>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</si>
  <si>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</si>
  <si>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</si>
  <si>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</si>
  <si>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</si>
  <si>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</si>
  <si>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</si>
  <si>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</si>
  <si>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</si>
  <si>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</si>
  <si>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</si>
  <si>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</si>
  <si>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</si>
  <si>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</si>
  <si>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</si>
  <si>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</si>
  <si>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</si>
  <si>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</si>
  <si>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</si>
  <si>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</si>
  <si>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</si>
  <si>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</si>
  <si>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</si>
  <si>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</si>
  <si>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</si>
  <si>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</si>
  <si>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</si>
  <si>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</si>
  <si>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</si>
  <si>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</si>
  <si>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</si>
  <si>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</si>
  <si>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</si>
  <si>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</si>
  <si>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</si>
  <si>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</si>
  <si>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</si>
  <si>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</si>
  <si>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</si>
  <si>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</si>
  <si>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</si>
  <si>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</si>
  <si>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</si>
  <si>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</si>
  <si>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</si>
  <si>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</si>
  <si>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</si>
  <si>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</si>
  <si>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</si>
  <si>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</si>
  <si>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</si>
  <si>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</si>
  <si>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</si>
  <si>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</si>
  <si>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</si>
  <si>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</si>
  <si>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</si>
  <si>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</si>
  <si>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</si>
  <si>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</si>
  <si>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</si>
  <si>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</si>
  <si>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</si>
  <si>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</si>
  <si>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</si>
  <si>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</si>
  <si>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</si>
  <si>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</si>
  <si>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</si>
  <si>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</si>
  <si>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</si>
  <si>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</si>
  <si>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</si>
  <si>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</si>
  <si>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</si>
  <si>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</si>
  <si>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</si>
  <si>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</si>
  <si>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</si>
  <si>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</si>
  <si>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</si>
  <si>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</si>
  <si>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</si>
  <si>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</si>
  <si>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</si>
  <si>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</si>
  <si>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</si>
  <si>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</si>
  <si>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</si>
  <si>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</si>
  <si>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</si>
  <si>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</si>
  <si>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</si>
  <si>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</si>
  <si>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</si>
  <si>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</si>
  <si>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</si>
  <si>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</si>
  <si>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</si>
  <si>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</si>
  <si>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</si>
  <si>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</si>
  <si>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</si>
  <si>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</si>
  <si>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</si>
  <si>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</si>
  <si>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</si>
  <si>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</si>
  <si>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12809 South McVicker</t>
  </si>
  <si>
    <t>Palos Heights</t>
  </si>
  <si>
    <t>Dr. Merryl Brownlow</t>
  </si>
  <si>
    <t>mbrownlow@palos128.org</t>
  </si>
  <si>
    <t>708-597-9040</t>
  </si>
  <si>
    <t>708-587-9089</t>
  </si>
  <si>
    <t>Worth</t>
  </si>
  <si>
    <t>Terrance LaBella</t>
  </si>
  <si>
    <t>talabella@sbcglobal.net</t>
  </si>
  <si>
    <t>708-952-0620</t>
  </si>
  <si>
    <t>708-952-9340</t>
  </si>
  <si>
    <t>RSM US LLP</t>
  </si>
  <si>
    <t>John George</t>
  </si>
  <si>
    <t>One South Wacker Drive, Suite 800</t>
  </si>
  <si>
    <t xml:space="preserve">Chicago </t>
  </si>
  <si>
    <t>IL</t>
  </si>
  <si>
    <t>312-634-4414</t>
  </si>
  <si>
    <t>312-634-5523</t>
  </si>
  <si>
    <t>06-5035081</t>
  </si>
  <si>
    <t>john.george@rsmus.com</t>
  </si>
  <si>
    <t>General Obligation Bond</t>
  </si>
  <si>
    <t>SELF and SSCIP (Palos Heights School District 128)</t>
  </si>
  <si>
    <t>Worth Township Treasurer and Palos Heights School District 128</t>
  </si>
  <si>
    <t>Data Processing Purchase Services</t>
  </si>
  <si>
    <t>Special Ed K-12 Private Tuition</t>
  </si>
  <si>
    <t>Special Ed Transportation</t>
  </si>
  <si>
    <t>Regular Ed Transportation</t>
  </si>
  <si>
    <t>Operations and Maintenance - Electricity</t>
  </si>
  <si>
    <t>Board of Education - Insurance</t>
  </si>
  <si>
    <t>Operations and Maintenance - Supplies</t>
  </si>
  <si>
    <t>Solid State Business Systems, Inc</t>
  </si>
  <si>
    <t>Elim Christian Services</t>
  </si>
  <si>
    <t>Alpha School Bus</t>
  </si>
  <si>
    <t>Illinois School Bus</t>
  </si>
  <si>
    <t>Nextera Energy</t>
  </si>
  <si>
    <t>Suburban School Coop Ins Pool</t>
  </si>
  <si>
    <t>Leaf</t>
  </si>
  <si>
    <t>Unique Products</t>
  </si>
  <si>
    <t>See opinion page for signature</t>
  </si>
  <si>
    <t xml:space="preserve">  Palos Heights SD 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</si>
</sst>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18</xdr:row>
          <xdr:rowOff>113435</xdr:rowOff>
        </xdr:from>
        <xdr:to>
          <xdr:col>1</xdr:col>
          <xdr:colOff>781050</xdr:colOff>
          <xdr:row>23</xdr:row>
          <xdr:rowOff>101312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233795</xdr:colOff>
          <xdr:row>1</xdr:row>
          <xdr:rowOff>103908</xdr:rowOff>
        </xdr:from>
        <xdr:to>
          <xdr:col>1</xdr:col>
          <xdr:colOff>1148195</xdr:colOff>
          <xdr:row>6</xdr:row>
          <xdr:rowOff>63211</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F6EEBC4A-4085-46AD-957B-2B8802CCC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1437409</xdr:colOff>
          <xdr:row>2</xdr:row>
          <xdr:rowOff>43296</xdr:rowOff>
        </xdr:from>
        <xdr:to>
          <xdr:col>1</xdr:col>
          <xdr:colOff>2351809</xdr:colOff>
          <xdr:row>7</xdr:row>
          <xdr:rowOff>2598</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71D1330D-E8A9-4E1A-9D98-8594863924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85" zoomScaleNormal="85" workbookViewId="0">
      <selection activeCell="A14" sqref="A14"/>
    </sheetView>
  </sheetViews>
  <sheetFormatPr defaultColWidth="8.85546875" defaultRowHeight="12.75" x14ac:dyDescent="0.2"/>
  <cols>
    <col min="1" max="1" width="11.85546875" style="26" customWidth="1"/>
    <col min="2" max="2" width="3" style="26" customWidth="1"/>
    <col min="3" max="4" width="9.8554687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31" width="8.85546875" style="26"/>
    <col min="32" max="32" width="25" style="26" bestFit="1" customWidth="1"/>
    <col min="33" max="16384" width="8.855468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7016128002</v>
      </c>
      <c r="B13" s="2101"/>
      <c r="C13" s="2101"/>
      <c r="D13" s="2101"/>
      <c r="E13" s="2101"/>
      <c r="F13" s="2101"/>
      <c r="G13" s="2101"/>
      <c r="H13" s="2102"/>
      <c r="I13" s="31"/>
      <c r="J13" s="30"/>
      <c r="K13" s="28"/>
      <c r="L13" s="30"/>
      <c r="M13" s="30"/>
      <c r="N13" s="30"/>
      <c r="O13" s="30"/>
      <c r="P13" s="30"/>
      <c r="Q13" s="30"/>
      <c r="R13" s="30"/>
      <c r="S13" s="30"/>
      <c r="T13" s="2106" t="s">
        <v>2064</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2065</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2092</v>
      </c>
      <c r="B17" s="2074"/>
      <c r="C17" s="2074"/>
      <c r="D17" s="2074"/>
      <c r="E17" s="2074"/>
      <c r="F17" s="2074"/>
      <c r="G17" s="2074"/>
      <c r="H17" s="2099"/>
      <c r="T17" s="2117" t="s">
        <v>2066</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2067</v>
      </c>
      <c r="U19" s="2038"/>
      <c r="V19" s="2038"/>
      <c r="W19" s="2039"/>
      <c r="X19" s="2115" t="s">
        <v>2068</v>
      </c>
      <c r="Y19" s="2116"/>
      <c r="Z19" s="2113">
        <v>60606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2069</v>
      </c>
      <c r="U21" s="2129"/>
      <c r="V21" s="2129"/>
      <c r="W21" s="2129"/>
      <c r="X21" s="2134" t="s">
        <v>2070</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2071</v>
      </c>
      <c r="U23" s="2127"/>
      <c r="V23" s="2127"/>
      <c r="W23" s="2127"/>
      <c r="X23" s="2131">
        <v>44469</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60463</v>
      </c>
      <c r="B25" s="2038"/>
      <c r="C25" s="2038"/>
      <c r="D25" s="2038"/>
      <c r="E25" s="2038"/>
      <c r="F25" s="2038"/>
      <c r="G25" s="2038"/>
      <c r="H25" s="2039"/>
      <c r="I25" s="110"/>
      <c r="J25" s="2062"/>
      <c r="K25" s="2062"/>
      <c r="L25" s="2062"/>
      <c r="M25" s="2062"/>
      <c r="N25" s="2062"/>
      <c r="O25" s="2062"/>
      <c r="P25" s="2062"/>
      <c r="Q25" s="2062"/>
      <c r="R25" s="2062"/>
      <c r="S25" s="2063"/>
      <c r="T25" s="2124" t="s">
        <v>2072</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99"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99"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t="s">
        <v>2051</v>
      </c>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t="s">
        <v>2059</v>
      </c>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2055</v>
      </c>
      <c r="B38" s="2074"/>
      <c r="C38" s="2074"/>
      <c r="D38" s="2074"/>
      <c r="E38" s="2074"/>
      <c r="F38" s="2038"/>
      <c r="G38" s="2038"/>
      <c r="H38" s="2039"/>
      <c r="I38" s="2066" t="s">
        <v>2060</v>
      </c>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2056</v>
      </c>
      <c r="B40" s="2052"/>
      <c r="C40" s="2053"/>
      <c r="D40" s="2053"/>
      <c r="E40" s="2053"/>
      <c r="F40" s="2054"/>
      <c r="G40" s="2054"/>
      <c r="H40" s="2055"/>
      <c r="I40" s="2076" t="s">
        <v>2061</v>
      </c>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2057</v>
      </c>
      <c r="B42" s="2057"/>
      <c r="C42" s="2058"/>
      <c r="D42" s="2056" t="s">
        <v>2058</v>
      </c>
      <c r="E42" s="2057"/>
      <c r="F42" s="2057"/>
      <c r="G42" s="2057"/>
      <c r="H42" s="2058"/>
      <c r="I42" s="2040" t="s">
        <v>2062</v>
      </c>
      <c r="J42" s="2041"/>
      <c r="K42" s="2041"/>
      <c r="L42" s="2041"/>
      <c r="M42" s="2041"/>
      <c r="N42" s="2041"/>
      <c r="O42" s="2042"/>
      <c r="P42" s="2075" t="s">
        <v>2063</v>
      </c>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70" zoomScaleNormal="70" workbookViewId="0">
      <selection activeCell="H27" sqref="H27"/>
    </sheetView>
  </sheetViews>
  <sheetFormatPr defaultColWidth="9.140625" defaultRowHeight="12.75" x14ac:dyDescent="0.2"/>
  <cols>
    <col min="1" max="1" width="41.42578125" style="247" customWidth="1"/>
    <col min="2" max="3" width="17.85546875" style="577" customWidth="1"/>
    <col min="4" max="5" width="17.85546875" style="578" customWidth="1"/>
    <col min="6" max="6" width="17.85546875" style="307" customWidth="1"/>
    <col min="7" max="7" width="4.140625" style="307" customWidth="1"/>
    <col min="8" max="8" width="33.140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6500705</v>
      </c>
      <c r="C4" s="1722"/>
      <c r="D4" s="1723">
        <f>B4-C4</f>
        <v>6500705</v>
      </c>
      <c r="E4" s="1722"/>
      <c r="F4" s="1723">
        <f>E4-C4</f>
        <v>0</v>
      </c>
    </row>
    <row r="5" spans="1:8" ht="13.7" customHeight="1" x14ac:dyDescent="0.2">
      <c r="A5" s="579" t="s">
        <v>865</v>
      </c>
      <c r="B5" s="1724">
        <f>'Revenues 9-14'!D5</f>
        <v>720232</v>
      </c>
      <c r="C5" s="1664"/>
      <c r="D5" s="1725">
        <f t="shared" ref="D5:D18" si="0">B5-C5</f>
        <v>720232</v>
      </c>
      <c r="E5" s="1664"/>
      <c r="F5" s="1725">
        <f>E5-C5</f>
        <v>0</v>
      </c>
    </row>
    <row r="6" spans="1:8" ht="13.7" customHeight="1" x14ac:dyDescent="0.2">
      <c r="A6" s="579" t="s">
        <v>408</v>
      </c>
      <c r="B6" s="1724">
        <f>'Revenues 9-14'!E5</f>
        <v>915066</v>
      </c>
      <c r="C6" s="1664"/>
      <c r="D6" s="1725">
        <f t="shared" si="0"/>
        <v>915066</v>
      </c>
      <c r="E6" s="1664"/>
      <c r="F6" s="1725">
        <f t="shared" ref="F6:F18" si="1">E6-C6</f>
        <v>0</v>
      </c>
    </row>
    <row r="7" spans="1:8" ht="13.7" customHeight="1" x14ac:dyDescent="0.2">
      <c r="A7" s="579" t="s">
        <v>154</v>
      </c>
      <c r="B7" s="1724">
        <f>'Revenues 9-14'!F5</f>
        <v>300496</v>
      </c>
      <c r="C7" s="1664"/>
      <c r="D7" s="1725">
        <f t="shared" si="0"/>
        <v>300496</v>
      </c>
      <c r="E7" s="1664"/>
      <c r="F7" s="1725">
        <f t="shared" si="1"/>
        <v>0</v>
      </c>
    </row>
    <row r="8" spans="1:8" ht="13.7" customHeight="1" x14ac:dyDescent="0.2">
      <c r="A8" s="579" t="s">
        <v>1169</v>
      </c>
      <c r="B8" s="1724">
        <f>'Revenues 9-14'!G5</f>
        <v>154665</v>
      </c>
      <c r="C8" s="1664"/>
      <c r="D8" s="1725">
        <f t="shared" si="0"/>
        <v>154665</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1213</v>
      </c>
      <c r="C10" s="1664"/>
      <c r="D10" s="1725">
        <f t="shared" si="0"/>
        <v>1213</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1213</v>
      </c>
      <c r="C12" s="1664"/>
      <c r="D12" s="1725">
        <f t="shared" si="0"/>
        <v>1213</v>
      </c>
      <c r="E12" s="1664"/>
      <c r="F12" s="1725">
        <f t="shared" si="1"/>
        <v>0</v>
      </c>
    </row>
    <row r="13" spans="1:8" ht="13.7" customHeight="1" x14ac:dyDescent="0.2">
      <c r="A13" s="579" t="s">
        <v>930</v>
      </c>
      <c r="B13" s="1724">
        <f>SUM('Revenues 9-14'!C6:D6)</f>
        <v>1213</v>
      </c>
      <c r="C13" s="1664"/>
      <c r="D13" s="1725">
        <f t="shared" si="0"/>
        <v>1213</v>
      </c>
      <c r="E13" s="1664"/>
      <c r="F13" s="1725">
        <f t="shared" si="1"/>
        <v>0</v>
      </c>
    </row>
    <row r="14" spans="1:8" ht="13.7" customHeight="1" x14ac:dyDescent="0.2">
      <c r="A14" s="579" t="s">
        <v>407</v>
      </c>
      <c r="B14" s="1724">
        <f>SUM('Revenues 9-14'!C7:D7,'Revenues 9-14'!F7:H7)</f>
        <v>212054</v>
      </c>
      <c r="C14" s="1664"/>
      <c r="D14" s="1725">
        <f t="shared" si="0"/>
        <v>212054</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178929</v>
      </c>
      <c r="C16" s="1664"/>
      <c r="D16" s="1725">
        <f t="shared" si="0"/>
        <v>178929</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8985786</v>
      </c>
      <c r="C19" s="1726">
        <f>SUM(C4:C18)</f>
        <v>0</v>
      </c>
      <c r="D19" s="1726">
        <f>SUM(D4:D18)</f>
        <v>8985786</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85" zoomScaleNormal="85" workbookViewId="0">
      <selection activeCell="H27" sqref="H27"/>
    </sheetView>
  </sheetViews>
  <sheetFormatPr defaultColWidth="9.140625" defaultRowHeight="12.75" x14ac:dyDescent="0.2"/>
  <cols>
    <col min="1" max="1" width="44" style="377" customWidth="1"/>
    <col min="2" max="2" width="12.140625" style="586" customWidth="1"/>
    <col min="3" max="3" width="16.85546875" style="586" customWidth="1"/>
    <col min="4" max="5" width="15.85546875" style="586" customWidth="1"/>
    <col min="6" max="10" width="15.855468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42444</v>
      </c>
      <c r="C31" s="1734">
        <v>4200000</v>
      </c>
      <c r="D31" s="1735">
        <v>3</v>
      </c>
      <c r="E31" s="1734">
        <v>2575000</v>
      </c>
      <c r="F31" s="1734"/>
      <c r="G31" s="1734"/>
      <c r="H31" s="1734">
        <v>840000</v>
      </c>
      <c r="I31" s="1736">
        <f>((E31+F31)-H31)+G31</f>
        <v>1735000</v>
      </c>
      <c r="J31" s="1734">
        <v>860000</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4200000</v>
      </c>
      <c r="D49" s="1742"/>
      <c r="E49" s="1736">
        <f t="shared" ref="E49:J49" si="2">SUM(E31:E48)</f>
        <v>2575000</v>
      </c>
      <c r="F49" s="1736">
        <f t="shared" si="2"/>
        <v>0</v>
      </c>
      <c r="G49" s="1736">
        <f t="shared" si="2"/>
        <v>0</v>
      </c>
      <c r="H49" s="1736">
        <f t="shared" si="2"/>
        <v>840000</v>
      </c>
      <c r="I49" s="1736">
        <f t="shared" si="2"/>
        <v>1735000</v>
      </c>
      <c r="J49" s="1736">
        <f t="shared" si="2"/>
        <v>860000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85" zoomScaleNormal="85" workbookViewId="0">
      <selection activeCell="H27" sqref="H27"/>
    </sheetView>
  </sheetViews>
  <sheetFormatPr defaultColWidth="9.140625" defaultRowHeight="12.75" x14ac:dyDescent="0.2"/>
  <cols>
    <col min="1" max="1" width="4.85546875" style="361" customWidth="1"/>
    <col min="2" max="2" width="3.140625" style="361" customWidth="1"/>
    <col min="3" max="3" width="4.85546875" style="361" customWidth="1"/>
    <col min="4" max="4" width="3.140625" style="361" customWidth="1"/>
    <col min="5" max="5" width="44.5703125" style="382" customWidth="1"/>
    <col min="6" max="6" width="18.140625" style="361" customWidth="1"/>
    <col min="7" max="9" width="15.85546875" style="361" customWidth="1"/>
    <col min="10" max="10" width="16.85546875" style="361" customWidth="1"/>
    <col min="11" max="11" width="15.85546875" style="197" customWidth="1"/>
    <col min="12" max="12" width="4.85546875" style="361" customWidth="1"/>
    <col min="13" max="13" width="7.855468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70" zoomScaleNormal="70" workbookViewId="0">
      <selection activeCell="H27" sqref="H27"/>
    </sheetView>
  </sheetViews>
  <sheetFormatPr defaultColWidth="9.140625" defaultRowHeight="12.75" x14ac:dyDescent="0.2"/>
  <cols>
    <col min="1" max="1" width="28.85546875" style="648" customWidth="1"/>
    <col min="2" max="2" width="5.855468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58959</v>
      </c>
      <c r="D5" s="1770"/>
      <c r="E5" s="1770"/>
      <c r="F5" s="1765">
        <f>(C5+D5)-E5</f>
        <v>58959</v>
      </c>
      <c r="G5" s="676"/>
      <c r="H5" s="680"/>
      <c r="I5" s="680"/>
      <c r="J5" s="680"/>
      <c r="K5" s="637"/>
      <c r="L5" s="1442">
        <f>F5-K5</f>
        <v>58959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22882210</v>
      </c>
      <c r="D8" s="1771">
        <v>1076330</v>
      </c>
      <c r="E8" s="1771"/>
      <c r="F8" s="1765">
        <f>(C8+D8)-E8</f>
        <v>23958540</v>
      </c>
      <c r="G8" s="681">
        <v>50</v>
      </c>
      <c r="H8" s="619">
        <v>12174205</v>
      </c>
      <c r="I8" s="619">
        <v>464016</v>
      </c>
      <c r="J8" s="619"/>
      <c r="K8" s="1442">
        <f>(H8+I8)-J8</f>
        <v>12638221</v>
      </c>
      <c r="L8" s="1442">
        <f>F8-K8</f>
        <v>11320319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1112</v>
      </c>
      <c r="B13" s="679">
        <v>252</v>
      </c>
      <c r="C13" s="1771">
        <v>4312397</v>
      </c>
      <c r="D13" s="1771">
        <v>232809</v>
      </c>
      <c r="E13" s="1771"/>
      <c r="F13" s="1765">
        <f>(C13+D13)-E13</f>
        <v>4545206</v>
      </c>
      <c r="G13" s="681">
        <v>5</v>
      </c>
      <c r="H13" s="619">
        <v>4184554</v>
      </c>
      <c r="I13" s="619">
        <v>345705</v>
      </c>
      <c r="J13" s="619"/>
      <c r="K13" s="1442">
        <f>(H13+I13)-J13</f>
        <v>4530259</v>
      </c>
      <c r="L13" s="1442">
        <f>F13-K13</f>
        <v>14947</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27253566</v>
      </c>
      <c r="D16" s="1765">
        <f>SUM(D3,D5:D6,D8:D10,D12:D15)</f>
        <v>1309139</v>
      </c>
      <c r="E16" s="1765">
        <f>SUM(E3,E5:E6,E8:E10,E12:E15)</f>
        <v>0</v>
      </c>
      <c r="F16" s="1765">
        <f>SUM(F3,F5:F6,F8:F10,F12:F15)</f>
        <v>28562705</v>
      </c>
      <c r="G16" s="681"/>
      <c r="H16" s="1435">
        <f>SUM(H3,H6,H8:H10,H12:H14,)</f>
        <v>16358759</v>
      </c>
      <c r="I16" s="1435">
        <f>SUM(I3,I6,I8:I10,I12:I14,)</f>
        <v>809721</v>
      </c>
      <c r="J16" s="1435">
        <f>SUM(J3,J6,J8:J10,J12:J14,)</f>
        <v>0</v>
      </c>
      <c r="K16" s="1435">
        <f>(H16+I16)-J16</f>
        <v>17168480</v>
      </c>
      <c r="L16" s="1435">
        <f>F16-K16</f>
        <v>11394225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68267</v>
      </c>
      <c r="G17" s="676">
        <v>10</v>
      </c>
      <c r="H17" s="621"/>
      <c r="I17" s="1442">
        <f>F17/G17</f>
        <v>6826.7</v>
      </c>
      <c r="J17" s="621"/>
      <c r="K17" s="638"/>
      <c r="L17" s="638"/>
    </row>
    <row r="18" spans="1:12" ht="14.25" thickTop="1" thickBot="1" x14ac:dyDescent="0.25">
      <c r="A18" s="1440" t="s">
        <v>680</v>
      </c>
      <c r="B18" s="1441"/>
      <c r="C18" s="623"/>
      <c r="D18" s="623"/>
      <c r="E18" s="623"/>
      <c r="F18" s="686"/>
      <c r="G18" s="687"/>
      <c r="H18" s="624"/>
      <c r="I18" s="1435">
        <f>SUM(I16,I17)</f>
        <v>816547.7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4" colorId="8" zoomScale="110" zoomScaleNormal="110" workbookViewId="0">
      <selection activeCell="H27" sqref="H27"/>
    </sheetView>
  </sheetViews>
  <sheetFormatPr defaultColWidth="8.85546875" defaultRowHeight="11.25" x14ac:dyDescent="0.2"/>
  <cols>
    <col min="1" max="1" width="22.140625" style="692" customWidth="1"/>
    <col min="2" max="2" width="31.85546875" style="692" customWidth="1"/>
    <col min="3" max="3" width="6.85546875" style="699" customWidth="1"/>
    <col min="4" max="4" width="55.85546875" style="692" customWidth="1"/>
    <col min="5" max="5" width="3.140625" style="699" customWidth="1"/>
    <col min="6" max="6" width="17.42578125" style="692" customWidth="1"/>
    <col min="7" max="7" width="0.85546875" style="692" customWidth="1"/>
    <col min="8" max="8" width="2.140625" style="692" customWidth="1"/>
    <col min="9" max="16384" width="8.855468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7916825</v>
      </c>
      <c r="G8" s="701"/>
    </row>
    <row r="9" spans="1:9" x14ac:dyDescent="0.2">
      <c r="A9" s="705" t="s">
        <v>457</v>
      </c>
      <c r="B9" s="706" t="s">
        <v>1848</v>
      </c>
      <c r="C9" s="707"/>
      <c r="D9" s="705" t="s">
        <v>498</v>
      </c>
      <c r="E9" s="704"/>
      <c r="F9" s="1775">
        <f>'Expenditures 15-22'!K151</f>
        <v>694347</v>
      </c>
      <c r="G9" s="708"/>
    </row>
    <row r="10" spans="1:9" x14ac:dyDescent="0.2">
      <c r="A10" s="705" t="s">
        <v>496</v>
      </c>
      <c r="B10" s="706" t="s">
        <v>1849</v>
      </c>
      <c r="C10" s="707"/>
      <c r="D10" s="705" t="s">
        <v>498</v>
      </c>
      <c r="E10" s="704"/>
      <c r="F10" s="1775">
        <f>'Expenditures 15-22'!K174</f>
        <v>883100</v>
      </c>
      <c r="G10" s="708"/>
    </row>
    <row r="11" spans="1:9" x14ac:dyDescent="0.2">
      <c r="A11" s="705" t="s">
        <v>458</v>
      </c>
      <c r="B11" s="706" t="s">
        <v>1850</v>
      </c>
      <c r="C11" s="707"/>
      <c r="D11" s="705" t="s">
        <v>498</v>
      </c>
      <c r="E11" s="704"/>
      <c r="F11" s="1775">
        <f>'Expenditures 15-22'!K210</f>
        <v>307888</v>
      </c>
      <c r="G11" s="708"/>
    </row>
    <row r="12" spans="1:9" x14ac:dyDescent="0.2">
      <c r="A12" s="705" t="s">
        <v>459</v>
      </c>
      <c r="B12" s="706" t="s">
        <v>1851</v>
      </c>
      <c r="C12" s="707"/>
      <c r="D12" s="705" t="s">
        <v>498</v>
      </c>
      <c r="E12" s="704"/>
      <c r="F12" s="1775">
        <f>'Expenditures 15-22'!K295</f>
        <v>331121</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10133281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326587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161815</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33666</v>
      </c>
      <c r="G52" s="701"/>
    </row>
    <row r="53" spans="1:7" x14ac:dyDescent="0.2">
      <c r="A53" s="705" t="s">
        <v>456</v>
      </c>
      <c r="B53" s="705" t="s">
        <v>1458</v>
      </c>
      <c r="C53" s="724">
        <f>'Expenditures 15-22'!B102</f>
        <v>4000</v>
      </c>
      <c r="D53" s="723" t="str">
        <f>'Expenditures 15-22'!A102</f>
        <v>Total Payments to Other Govt Units</v>
      </c>
      <c r="E53" s="704"/>
      <c r="F53" s="1782">
        <f>'Expenditures 15-22'!K102</f>
        <v>1525</v>
      </c>
      <c r="G53" s="701"/>
    </row>
    <row r="54" spans="1:7" x14ac:dyDescent="0.2">
      <c r="A54" s="705" t="s">
        <v>456</v>
      </c>
      <c r="B54" s="705" t="s">
        <v>1459</v>
      </c>
      <c r="C54" s="724" t="s">
        <v>975</v>
      </c>
      <c r="D54" s="720" t="s">
        <v>1086</v>
      </c>
      <c r="E54" s="704"/>
      <c r="F54" s="1782">
        <f>'Expenditures 15-22'!G114</f>
        <v>201611</v>
      </c>
      <c r="G54" s="701"/>
    </row>
    <row r="55" spans="1:7" x14ac:dyDescent="0.2">
      <c r="A55" s="705" t="s">
        <v>456</v>
      </c>
      <c r="B55" s="705" t="s">
        <v>1460</v>
      </c>
      <c r="C55" s="724" t="s">
        <v>975</v>
      </c>
      <c r="D55" s="720" t="s">
        <v>288</v>
      </c>
      <c r="E55" s="704"/>
      <c r="F55" s="1782">
        <f>'Expenditures 15-22'!I114</f>
        <v>68267</v>
      </c>
      <c r="G55" s="701"/>
    </row>
    <row r="56" spans="1:7" x14ac:dyDescent="0.2">
      <c r="A56" s="705" t="s">
        <v>457</v>
      </c>
      <c r="B56" s="705" t="s">
        <v>1461</v>
      </c>
      <c r="C56" s="721" t="str">
        <f>'Expenditures 15-22'!B130</f>
        <v>3000</v>
      </c>
      <c r="D56" s="727" t="s">
        <v>446</v>
      </c>
      <c r="E56" s="704"/>
      <c r="F56" s="1782">
        <f>'Expenditures 15-22'!K130-SUM('Expenditures 15-22'!G130+'Expenditures 15-22'!I130)</f>
        <v>677</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75474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840000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18524</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1728146</v>
      </c>
      <c r="G77" s="701"/>
    </row>
    <row r="78" spans="1:9" s="728" customFormat="1" ht="12" customHeight="1" thickTop="1" thickBot="1" x14ac:dyDescent="0.25">
      <c r="A78" s="1450"/>
      <c r="B78" s="1448"/>
      <c r="C78" s="1445"/>
      <c r="D78" s="1449" t="s">
        <v>2012</v>
      </c>
      <c r="E78" s="1447"/>
      <c r="F78" s="1788">
        <f>(F14-F77)</f>
        <v>8405135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657</v>
      </c>
      <c r="G79" s="733"/>
      <c r="H79" s="705"/>
      <c r="I79" s="705"/>
    </row>
    <row r="80" spans="1:9" s="728" customFormat="1" ht="12" customHeight="1" thickBot="1" x14ac:dyDescent="0.25">
      <c r="A80" s="1452"/>
      <c r="B80" s="1448"/>
      <c r="C80" s="1445"/>
      <c r="D80" s="1449" t="s">
        <v>2013</v>
      </c>
      <c r="E80" s="1447" t="s">
        <v>952</v>
      </c>
      <c r="F80" s="1790">
        <f>IF(F79&gt;0,F78/F79," Complete Line 79")</f>
        <v>12793.20395738204</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2781</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5326</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10744</v>
      </c>
      <c r="G95" s="745"/>
    </row>
    <row r="96" spans="1:7" x14ac:dyDescent="0.2">
      <c r="A96" s="741" t="s">
        <v>139</v>
      </c>
      <c r="B96" s="741" t="s">
        <v>174</v>
      </c>
      <c r="C96" s="743">
        <v>1700</v>
      </c>
      <c r="D96" s="751" t="str">
        <f>'Revenues 9-14'!A82</f>
        <v>Total District/School Activity Income</v>
      </c>
      <c r="E96" s="739"/>
      <c r="F96" s="1793">
        <f>SUM('Revenues 9-14'!C82,'Revenues 9-14'!D82)</f>
        <v>180705</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4790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8585</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14978</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115038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97448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9504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84108</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6458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240074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2007</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13742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2993</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6349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805630</v>
      </c>
    </row>
    <row r="176" spans="1:7" ht="12" customHeight="1" x14ac:dyDescent="0.2">
      <c r="A176" s="1443"/>
      <c r="B176" s="1453"/>
      <c r="C176" s="1454"/>
      <c r="D176" s="1455" t="s">
        <v>2014</v>
      </c>
      <c r="E176" s="1456"/>
      <c r="F176" s="1793">
        <f>'PCTC-OEPP 27-28'!F78-F175</f>
        <v>7599505</v>
      </c>
    </row>
    <row r="177" spans="1:9" ht="12" customHeight="1" x14ac:dyDescent="0.2">
      <c r="A177" s="1443"/>
      <c r="B177" s="1453"/>
      <c r="C177" s="1454"/>
      <c r="D177" s="1455" t="s">
        <v>1794</v>
      </c>
      <c r="E177" s="1456"/>
      <c r="F177" s="1793">
        <f>'Cap Outlay Deprec 26'!I18</f>
        <v>816547.7</v>
      </c>
    </row>
    <row r="178" spans="1:9" ht="12" customHeight="1" x14ac:dyDescent="0.2">
      <c r="A178" s="1443"/>
      <c r="B178" s="1453"/>
      <c r="C178" s="1454"/>
      <c r="D178" s="1455" t="s">
        <v>2015</v>
      </c>
      <c r="E178" s="1456"/>
      <c r="F178" s="1793">
        <f>F176+F177</f>
        <v>8416052.6999999993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657</v>
      </c>
      <c r="G179" s="763"/>
      <c r="I179" s="701"/>
    </row>
    <row r="180" spans="1:9" ht="12" customHeight="1" thickBot="1" x14ac:dyDescent="0.25">
      <c r="A180" s="1443"/>
      <c r="B180" s="1457"/>
      <c r="C180" s="1454"/>
      <c r="D180" s="1455" t="s">
        <v>2017</v>
      </c>
      <c r="E180" s="1456" t="s">
        <v>1528</v>
      </c>
      <c r="F180" s="1798">
        <f>F178/F179</f>
        <v>12809.821461187214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85" zoomScaleNormal="85" workbookViewId="0">
      <selection activeCell="H27" sqref="H27"/>
    </sheetView>
  </sheetViews>
  <sheetFormatPr defaultColWidth="9.140625" defaultRowHeight="15" x14ac:dyDescent="0.25"/>
  <cols>
    <col min="1" max="1" width="52" style="1895" customWidth="1"/>
    <col min="2" max="2" width="16.42578125" style="1896" bestFit="1" customWidth="1"/>
    <col min="3" max="3" width="33.85546875" style="1897" customWidth="1"/>
    <col min="4" max="4" width="16.140625" style="1898" customWidth="1"/>
    <col min="5" max="5" width="23.5703125" style="1898" customWidth="1"/>
    <col min="6" max="6" width="23.140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t="s">
        <v>2076</v>
      </c>
      <c r="B18" s="1908">
        <v>102660300</v>
      </c>
      <c r="C18" s="1915" t="s">
        <v>2083</v>
      </c>
      <c r="D18" s="1886">
        <v>86100</v>
      </c>
      <c r="E18" s="1906" t="str">
        <f t="shared" ref="E18:E81" si="0">IF(D18&lt;25000,D18,"25,000")</f>
        <v>25,000</v>
      </c>
      <c r="F18" s="1906">
        <f t="shared" ref="F18:F81" si="1">IF(D18&gt;=25000,(D18-E18),"0")</f>
        <v>61100</v>
      </c>
      <c r="G18" s="1887"/>
    </row>
    <row r="19" spans="1:7" x14ac:dyDescent="0.25">
      <c r="A19" s="1888" t="s">
        <v>2077</v>
      </c>
      <c r="B19" s="1908">
        <v>101000600</v>
      </c>
      <c r="C19" s="1885" t="s">
        <v>2084</v>
      </c>
      <c r="D19" s="1886">
        <v>160634</v>
      </c>
      <c r="E19" s="1906" t="str">
        <f t="shared" si="0"/>
        <v>25,000</v>
      </c>
      <c r="F19" s="1906">
        <f t="shared" si="1"/>
        <v>135634</v>
      </c>
    </row>
    <row r="20" spans="1:7" x14ac:dyDescent="0.25">
      <c r="A20" s="1888" t="s">
        <v>2078</v>
      </c>
      <c r="B20" s="1908">
        <v>402550300</v>
      </c>
      <c r="C20" s="1885" t="s">
        <v>2085</v>
      </c>
      <c r="D20" s="1886">
        <v>159714</v>
      </c>
      <c r="E20" s="1906" t="str">
        <f t="shared" si="0"/>
        <v>25,000</v>
      </c>
      <c r="F20" s="1906">
        <f t="shared" si="1"/>
        <v>134714</v>
      </c>
    </row>
    <row r="21" spans="1:7" x14ac:dyDescent="0.25">
      <c r="A21" s="1888" t="s">
        <v>2079</v>
      </c>
      <c r="B21" s="1908">
        <v>402550300</v>
      </c>
      <c r="C21" s="1885" t="s">
        <v>2086</v>
      </c>
      <c r="D21" s="1886">
        <v>130213</v>
      </c>
      <c r="E21" s="1906" t="str">
        <f t="shared" si="0"/>
        <v>25,000</v>
      </c>
      <c r="F21" s="1906">
        <f t="shared" si="1"/>
        <v>105213</v>
      </c>
    </row>
    <row r="22" spans="1:7" x14ac:dyDescent="0.25">
      <c r="A22" s="1888" t="s">
        <v>2080</v>
      </c>
      <c r="B22" s="1908">
        <v>202540400</v>
      </c>
      <c r="C22" s="1885" t="s">
        <v>2087</v>
      </c>
      <c r="D22" s="1886">
        <v>110181</v>
      </c>
      <c r="E22" s="1906" t="str">
        <f t="shared" si="0"/>
        <v>25,000</v>
      </c>
      <c r="F22" s="1906">
        <f t="shared" si="1"/>
        <v>85181</v>
      </c>
    </row>
    <row r="23" spans="1:7" x14ac:dyDescent="0.25">
      <c r="A23" s="1888" t="s">
        <v>2081</v>
      </c>
      <c r="B23" s="1908">
        <v>102300300</v>
      </c>
      <c r="C23" s="1885" t="s">
        <v>2088</v>
      </c>
      <c r="D23" s="1886">
        <v>45999</v>
      </c>
      <c r="E23" s="1906" t="str">
        <f t="shared" si="0"/>
        <v>25,000</v>
      </c>
      <c r="F23" s="1906">
        <f t="shared" si="1"/>
        <v>20999</v>
      </c>
    </row>
    <row r="24" spans="1:7" x14ac:dyDescent="0.25">
      <c r="A24" s="1888" t="s">
        <v>2076</v>
      </c>
      <c r="B24" s="1908">
        <v>102660300</v>
      </c>
      <c r="C24" s="1885" t="s">
        <v>2089</v>
      </c>
      <c r="D24" s="1886">
        <v>28404</v>
      </c>
      <c r="E24" s="1906" t="str">
        <f t="shared" si="0"/>
        <v>25,000</v>
      </c>
      <c r="F24" s="1906">
        <f t="shared" si="1"/>
        <v>3404</v>
      </c>
    </row>
    <row r="25" spans="1:7" x14ac:dyDescent="0.25">
      <c r="A25" s="1888" t="s">
        <v>2082</v>
      </c>
      <c r="B25" s="1908">
        <v>202540400</v>
      </c>
      <c r="C25" s="1885" t="s">
        <v>2090</v>
      </c>
      <c r="D25" s="1886">
        <v>27189</v>
      </c>
      <c r="E25" s="1906" t="str">
        <f t="shared" si="0"/>
        <v>25,000</v>
      </c>
      <c r="F25" s="1906">
        <f t="shared" si="1"/>
        <v>2189</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748434</v>
      </c>
      <c r="E142" s="1893">
        <f>SUM(E18:E141)</f>
        <v>0</v>
      </c>
      <c r="F142" s="1894">
        <f>SUM(F18:F141)</f>
        <v>548434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34" colorId="8" zoomScale="110" zoomScaleNormal="110" workbookViewId="0">
      <selection activeCell="H27" sqref="H27"/>
    </sheetView>
  </sheetViews>
  <sheetFormatPr defaultColWidth="9.140625" defaultRowHeight="12.75" x14ac:dyDescent="0.2"/>
  <cols>
    <col min="1" max="1" width="8.140625" style="307" customWidth="1"/>
    <col min="2" max="2" width="46.85546875" style="307" customWidth="1"/>
    <col min="3" max="3" width="8" style="307" customWidth="1"/>
    <col min="4" max="6" width="16.85546875" style="307" customWidth="1"/>
    <col min="7" max="7" width="17.140625" style="307" customWidth="1"/>
    <col min="8" max="8" width="3.85546875" style="307" customWidth="1"/>
    <col min="9" max="9" width="3.140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5243524</v>
      </c>
      <c r="F19" s="1802"/>
      <c r="G19" s="1804">
        <f>'Expenditures 15-22'!K33-SUM('Expenditures 15-22'!G33,'Expenditures 15-22'!I33)+'Expenditures 15-22'!D229</f>
        <v>5243524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619070</v>
      </c>
      <c r="F21" s="1805"/>
      <c r="G21" s="1808">
        <f>'Expenditures 15-22'!K42-SUM('Expenditures 15-22'!G42,'Expenditures 15-22'!I42)+'Expenditures 15-22'!K120-SUM('Expenditures 15-22'!G120,'Expenditures 15-22'!I120)+'Expenditures 15-22'!K180-SUM('Expenditures 15-22'!G180,'Expenditures 15-22'!I180)+'Expenditures 15-22'!D238</f>
        <v>619070</v>
      </c>
      <c r="H21" s="817"/>
      <c r="I21" s="157"/>
    </row>
    <row r="22" spans="1:9" s="542" customFormat="1" ht="12" customHeight="1" x14ac:dyDescent="0.2">
      <c r="A22" s="824" t="s">
        <v>560</v>
      </c>
      <c r="B22" s="825"/>
      <c r="C22" s="823">
        <v>2200</v>
      </c>
      <c r="D22" s="1805"/>
      <c r="E22" s="1807">
        <f>'Expenditures 15-22'!K47-SUM('Expenditures 15-22'!G47,'Expenditures 15-22'!I47)+'Expenditures 15-22'!D243</f>
        <v>204631</v>
      </c>
      <c r="F22" s="1805"/>
      <c r="G22" s="1808">
        <f>'Expenditures 15-22'!K47-SUM('Expenditures 15-22'!G47,'Expenditures 15-22'!I47)+'Expenditures 15-22'!D243</f>
        <v>204631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631828</v>
      </c>
      <c r="F23" s="1805"/>
      <c r="G23" s="1807">
        <f>'Expenditures 15-22'!K53-SUM('Expenditures 15-22'!G53,'Expenditures 15-22'!I53)+'Expenditures 15-22'!D257+'Expenditures 15-22'!K330-SUM('Expenditures 15-22'!G330,'Expenditures 15-22'!I330)</f>
        <v>631828</v>
      </c>
      <c r="H23" s="817"/>
      <c r="I23" s="157"/>
    </row>
    <row r="24" spans="1:9" s="542" customFormat="1" ht="12" customHeight="1" x14ac:dyDescent="0.2">
      <c r="A24" s="824" t="s">
        <v>562</v>
      </c>
      <c r="B24" s="825"/>
      <c r="C24" s="823">
        <v>2400</v>
      </c>
      <c r="D24" s="1805"/>
      <c r="E24" s="1807">
        <f>'Expenditures 15-22'!K57-SUM('Expenditures 15-22'!G57,'Expenditures 15-22'!I57)+'Expenditures 15-22'!D261</f>
        <v>621358</v>
      </c>
      <c r="F24" s="1805"/>
      <c r="G24" s="1808">
        <f>'Expenditures 15-22'!K57-SUM('Expenditures 15-22'!G57,'Expenditures 15-22'!I57)+'Expenditures 15-22'!D261</f>
        <v>621358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131380</v>
      </c>
      <c r="E26" s="1807">
        <f>'Expenditures 15-22'!K122-SUM('Expenditures 15-22'!G122,'Expenditures 15-22'!I122)+E7</f>
        <v>0</v>
      </c>
      <c r="F26" s="1807">
        <f>'Expenditures 15-22'!K59-SUM('Expenditures 15-22'!G59,'Expenditures 15-22'!I59)+'Expenditures 15-22'!D263-E7</f>
        <v>131380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111960</v>
      </c>
      <c r="E27" s="1807">
        <f>E8</f>
        <v>0</v>
      </c>
      <c r="F27" s="1807">
        <f>'Expenditures 15-22'!K60-SUM('Expenditures 15-22'!G60,'Expenditures 15-22'!I60)+'Expenditures 15-22'!D264-E8</f>
        <v>111960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659140</v>
      </c>
      <c r="F28" s="1809">
        <f>'Expenditures 15-22'!K61-SUM('Expenditures 15-22'!G61,'Expenditures 15-22'!I61)+'Expenditures 15-22'!K124-SUM('Expenditures 15-22'!G124,'Expenditures 15-22'!I124)+'Expenditures 15-22'!D266-E9</f>
        <v>659140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307888</v>
      </c>
      <c r="F29" s="1805"/>
      <c r="G29" s="1808">
        <f>'Expenditures 15-22'!K62-SUM('Expenditures 15-22'!G62,'Expenditures 15-22'!I62)+'Expenditures 15-22'!K125-SUM('Expenditures 15-22'!G125,'Expenditures 15-22'!I125)+'Expenditures 15-22'!K182-SUM('Expenditures 15-22'!G182,'Expenditures 15-22'!I182)+'Expenditures 15-22'!D267</f>
        <v>307888</v>
      </c>
      <c r="H29" s="815"/>
    </row>
    <row r="30" spans="1:9" ht="12" customHeight="1" x14ac:dyDescent="0.2">
      <c r="A30" s="824" t="s">
        <v>100</v>
      </c>
      <c r="B30" s="827"/>
      <c r="C30" s="823">
        <v>2560</v>
      </c>
      <c r="D30" s="1805"/>
      <c r="E30" s="1807">
        <f>'Expenditures 15-22'!K63-SUM('Expenditures 15-22'!G63,'Expenditures 15-22'!I63)+'Expenditures 15-22'!D268-E10</f>
        <v>24206</v>
      </c>
      <c r="F30" s="1805"/>
      <c r="G30" s="1807">
        <f>'Expenditures 15-22'!K63-SUM('Expenditures 15-22'!G63,'Expenditures 15-22'!I63)+'Expenditures 15-22'!D268-E10</f>
        <v>24206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302117</v>
      </c>
      <c r="E37" s="1807">
        <f>E14</f>
        <v>0</v>
      </c>
      <c r="F37" s="1807">
        <f>'Expenditures 15-22'!K71-SUM('Expenditures 15-22'!G71,'Expenditures 15-22'!I71)+'Expenditures 15-22'!D276-E14</f>
        <v>302117</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34343</v>
      </c>
      <c r="F39" s="1805"/>
      <c r="G39" s="1807">
        <f>'Expenditures 15-22'!K75-SUM('Expenditures 15-22'!G75,'Expenditures 15-22'!I75)+'Expenditures 15-22'!K130-SUM('Expenditures 15-22'!G130,'Expenditures 15-22'!I130)+'Expenditures 15-22'!K185-SUM('Expenditures 15-22'!G185,'Expenditures 15-22'!I185)+'Expenditures 15-22'!D280</f>
        <v>34343</v>
      </c>
    </row>
    <row r="40" spans="1:7" ht="12" customHeight="1" x14ac:dyDescent="0.2">
      <c r="A40" s="820" t="s">
        <v>1798</v>
      </c>
      <c r="B40" s="821"/>
      <c r="C40" s="823"/>
      <c r="D40" s="1805"/>
      <c r="E40" s="1809">
        <f>-'Contracts Paid in CY 29'!F142</f>
        <v>-548434</v>
      </c>
      <c r="F40" s="1805"/>
      <c r="G40" s="1809">
        <f>-'Contracts Paid in CY 29'!F142</f>
        <v>-548434</v>
      </c>
    </row>
    <row r="41" spans="1:7" ht="12" customHeight="1" x14ac:dyDescent="0.2">
      <c r="A41" s="828" t="s">
        <v>155</v>
      </c>
      <c r="B41" s="829"/>
      <c r="C41" s="830"/>
      <c r="D41" s="1809">
        <f>SUM(D19:D39)</f>
        <v>545457</v>
      </c>
      <c r="E41" s="1809">
        <f>SUM(E19:E40)</f>
        <v>7797554</v>
      </c>
      <c r="F41" s="1809">
        <f>SUM(F19:F39)</f>
        <v>1204597</v>
      </c>
      <c r="G41" s="1809">
        <f>SUM(G19:G40)</f>
        <v>7138414</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545457</v>
      </c>
      <c r="F43" s="1458" t="s">
        <v>470</v>
      </c>
      <c r="G43" s="1810">
        <f>F41</f>
        <v>1204597</v>
      </c>
    </row>
    <row r="44" spans="1:7" ht="12" customHeight="1" x14ac:dyDescent="0.2">
      <c r="A44" s="817"/>
      <c r="B44" s="157"/>
      <c r="C44" s="831"/>
      <c r="D44" s="1458" t="s">
        <v>471</v>
      </c>
      <c r="E44" s="1810">
        <f>E41</f>
        <v>7797554</v>
      </c>
      <c r="F44" s="1458" t="s">
        <v>471</v>
      </c>
      <c r="G44" s="1810">
        <f>G41</f>
        <v>7138414</v>
      </c>
    </row>
    <row r="45" spans="1:7" ht="12" customHeight="1" x14ac:dyDescent="0.2">
      <c r="A45" s="817"/>
      <c r="B45" s="157"/>
      <c r="C45" s="157"/>
      <c r="D45" s="1459" t="s">
        <v>999</v>
      </c>
      <c r="E45" s="1811">
        <f>(E43/E44)</f>
        <v>6.9952320945773513E-2</v>
      </c>
      <c r="F45" s="1459" t="s">
        <v>999</v>
      </c>
      <c r="G45" s="1811">
        <f>(G43/G44)</f>
        <v>0.16874854834701378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9" zoomScaleNormal="100" workbookViewId="0">
      <selection activeCell="A24" sqref="A2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Palos Heights SD 128</v>
      </c>
      <c r="D6" s="2415"/>
      <c r="E6" s="2415"/>
      <c r="F6" s="1482"/>
      <c r="G6" s="1507"/>
      <c r="L6" s="1507"/>
      <c r="M6" s="1855"/>
      <c r="N6" s="1855"/>
      <c r="O6" s="1855"/>
    </row>
    <row r="7" spans="1:15" ht="11.25" customHeight="1" thickBot="1" x14ac:dyDescent="0.3">
      <c r="A7" s="1480"/>
      <c r="B7" s="1481"/>
      <c r="C7" s="2416">
        <f>COVER!A13</f>
        <v>7016128002</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t="s">
        <v>2051</v>
      </c>
      <c r="F19" s="1497" t="s">
        <v>2074</v>
      </c>
      <c r="G19" s="1507"/>
      <c r="H19" s="1507">
        <f t="shared" si="0"/>
        <v>5</v>
      </c>
      <c r="I19" s="1507">
        <f t="shared" si="1"/>
        <v>5</v>
      </c>
      <c r="J19" s="1507">
        <f t="shared" si="2"/>
        <v>5</v>
      </c>
      <c r="L19" s="1507"/>
      <c r="M19" s="1855"/>
      <c r="N19" s="1855"/>
      <c r="O19" s="1855"/>
    </row>
    <row r="20" spans="1:15" ht="12" customHeight="1" x14ac:dyDescent="0.2">
      <c r="A20" s="1493" t="s">
        <v>1511</v>
      </c>
      <c r="B20" s="1494"/>
      <c r="C20" s="1495" t="s">
        <v>2051</v>
      </c>
      <c r="D20" s="1495" t="s">
        <v>2051</v>
      </c>
      <c r="E20" s="1498" t="s">
        <v>2051</v>
      </c>
      <c r="F20" s="1497" t="s">
        <v>2075</v>
      </c>
      <c r="G20" s="1507"/>
      <c r="H20" s="1507">
        <f t="shared" si="0"/>
        <v>5</v>
      </c>
      <c r="I20" s="1507">
        <f t="shared" si="1"/>
        <v>5</v>
      </c>
      <c r="J20" s="1507">
        <f t="shared" si="2"/>
        <v>5</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7" zoomScale="85" zoomScaleNormal="85" workbookViewId="0">
      <selection activeCell="K69" sqref="K69"/>
    </sheetView>
  </sheetViews>
  <sheetFormatPr defaultColWidth="9.140625" defaultRowHeight="12.75" x14ac:dyDescent="0.2"/>
  <cols>
    <col min="1" max="1" width="2.85546875" style="1923" customWidth="1"/>
    <col min="2" max="2" width="3" style="1923" customWidth="1"/>
    <col min="3" max="3" width="48.5703125" style="1923" customWidth="1"/>
    <col min="4" max="4" width="7.42578125" style="1923" customWidth="1"/>
    <col min="5" max="5" width="11.140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855468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37" t="str">
        <f>COVER!A17</f>
        <v xml:space="preserve">  Palos Heights SD 128</v>
      </c>
      <c r="K6" s="2437"/>
      <c r="L6" s="2451"/>
      <c r="M6" s="838"/>
      <c r="N6" s="2000"/>
    </row>
    <row r="7" spans="1:14" x14ac:dyDescent="0.2">
      <c r="A7" s="2452" t="s">
        <v>864</v>
      </c>
      <c r="B7" s="2453"/>
      <c r="C7" s="2453"/>
      <c r="D7" s="2453"/>
      <c r="E7" s="2454"/>
      <c r="F7" s="839"/>
      <c r="G7" s="838"/>
      <c r="H7" s="838"/>
      <c r="I7" s="1926" t="s">
        <v>369</v>
      </c>
      <c r="J7" s="2439">
        <f>COVER!A13</f>
        <v>7016128002</v>
      </c>
      <c r="K7" s="2439"/>
      <c r="L7" s="2439"/>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55" t="s">
        <v>478</v>
      </c>
      <c r="B11" s="2456"/>
      <c r="C11" s="2457"/>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290805</v>
      </c>
      <c r="F12" s="1944"/>
      <c r="G12" s="1970">
        <f>G68</f>
        <v>0</v>
      </c>
      <c r="H12" s="1946">
        <f t="shared" ref="H12:H18" si="0">SUM(E12:G12)</f>
        <v>290805</v>
      </c>
      <c r="I12" s="1945">
        <v>300392</v>
      </c>
      <c r="J12" s="1944"/>
      <c r="K12" s="1945"/>
      <c r="L12" s="1946">
        <f t="shared" ref="L12:L18" si="1">SUM(I12:K12)</f>
        <v>300392</v>
      </c>
      <c r="M12" s="838"/>
      <c r="N12" s="2000"/>
    </row>
    <row r="13" spans="1:14" x14ac:dyDescent="0.2">
      <c r="A13" s="2005">
        <v>2</v>
      </c>
      <c r="B13" s="1942" t="s">
        <v>42</v>
      </c>
      <c r="C13" s="842"/>
      <c r="D13" s="1943">
        <v>2330</v>
      </c>
      <c r="E13" s="1946">
        <f>'Expenditures 15-22'!K51</f>
        <v>166044</v>
      </c>
      <c r="F13" s="1944"/>
      <c r="G13" s="1970">
        <f>H68</f>
        <v>0</v>
      </c>
      <c r="H13" s="1946">
        <f t="shared" si="0"/>
        <v>166044</v>
      </c>
      <c r="I13" s="1945">
        <v>165329</v>
      </c>
      <c r="J13" s="1944"/>
      <c r="K13" s="1945"/>
      <c r="L13" s="1946">
        <f t="shared" si="1"/>
        <v>165329</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1059</v>
      </c>
      <c r="C15" s="842"/>
      <c r="D15" s="1943">
        <v>2510</v>
      </c>
      <c r="E15" s="1946">
        <f>'Expenditures 15-22'!K59</f>
        <v>114051</v>
      </c>
      <c r="F15" s="1946">
        <f>'Expenditures 15-22'!K122</f>
        <v>0</v>
      </c>
      <c r="G15" s="1970">
        <f>J68</f>
        <v>0</v>
      </c>
      <c r="H15" s="1946">
        <f t="shared" si="0"/>
        <v>114051</v>
      </c>
      <c r="I15" s="1945">
        <v>114626</v>
      </c>
      <c r="J15" s="1945"/>
      <c r="K15" s="1945"/>
      <c r="L15" s="1946">
        <f t="shared" si="1"/>
        <v>114626</v>
      </c>
      <c r="M15" s="838"/>
      <c r="N15" s="2000"/>
    </row>
    <row r="16" spans="1:14" x14ac:dyDescent="0.2">
      <c r="A16" s="2005">
        <v>5</v>
      </c>
      <c r="B16" s="1942" t="s">
        <v>101</v>
      </c>
      <c r="C16" s="842"/>
      <c r="D16" s="1943">
        <v>2570</v>
      </c>
      <c r="E16" s="1946">
        <f>'Expenditures 15-22'!K64</f>
        <v>0</v>
      </c>
      <c r="F16" s="1944"/>
      <c r="G16" s="1970">
        <f>K68</f>
        <v>0</v>
      </c>
      <c r="H16" s="1946">
        <f t="shared" si="0"/>
        <v>0</v>
      </c>
      <c r="I16" s="1945"/>
      <c r="J16" s="1944"/>
      <c r="K16" s="1945"/>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58" t="s">
        <v>7</v>
      </c>
      <c r="C18" s="2459"/>
      <c r="D18" s="2460"/>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570900</v>
      </c>
      <c r="F19" s="1952">
        <f t="shared" si="2"/>
        <v>0</v>
      </c>
      <c r="G19" s="1952">
        <f t="shared" ref="G19" si="3">SUM(G12:G17)-G18</f>
        <v>0</v>
      </c>
      <c r="H19" s="1952">
        <f t="shared" si="2"/>
        <v>570900</v>
      </c>
      <c r="I19" s="1952">
        <f t="shared" si="2"/>
        <v>580347</v>
      </c>
      <c r="J19" s="1952">
        <f t="shared" si="2"/>
        <v>0</v>
      </c>
      <c r="K19" s="1952">
        <f t="shared" si="2"/>
        <v>0</v>
      </c>
      <c r="L19" s="1952">
        <f t="shared" si="2"/>
        <v>580347</v>
      </c>
      <c r="M19" s="838"/>
      <c r="N19" s="2000"/>
    </row>
    <row r="20" spans="1:14" ht="13.5" thickTop="1" x14ac:dyDescent="0.2">
      <c r="A20" s="2005">
        <v>9</v>
      </c>
      <c r="B20" s="2461" t="s">
        <v>2021</v>
      </c>
      <c r="C20" s="2461"/>
      <c r="D20" s="2462"/>
      <c r="E20" s="1953"/>
      <c r="F20" s="1953"/>
      <c r="G20" s="1953"/>
      <c r="H20" s="1953"/>
      <c r="I20" s="1953"/>
      <c r="J20" s="1953"/>
      <c r="K20" s="1953"/>
      <c r="L20" s="1954">
        <f>IF(AND(H19&gt;0,L19&gt;0),(((L19-H19)/H19)),"Enter Budget Data")</f>
        <v>1.6547556489753021E-2</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63"/>
      <c r="D27" s="2463"/>
      <c r="E27" s="843"/>
      <c r="F27" s="2464"/>
      <c r="G27" s="2464"/>
      <c r="H27" s="2464"/>
      <c r="I27" s="838"/>
      <c r="J27" s="838"/>
      <c r="K27" s="838"/>
      <c r="L27" s="838"/>
      <c r="M27" s="838"/>
      <c r="N27" s="2000"/>
    </row>
    <row r="28" spans="1:14" x14ac:dyDescent="0.2">
      <c r="A28" s="1999"/>
      <c r="B28" s="2009"/>
      <c r="C28" s="1959" t="s">
        <v>1026</v>
      </c>
      <c r="D28" s="844"/>
      <c r="E28" s="1960"/>
      <c r="F28" s="2465" t="s">
        <v>1492</v>
      </c>
      <c r="G28" s="2465"/>
      <c r="H28" s="2465"/>
      <c r="I28" s="838"/>
      <c r="J28" s="838"/>
      <c r="K28" s="838"/>
      <c r="L28" s="838"/>
      <c r="M28" s="838"/>
      <c r="N28" s="2000"/>
    </row>
    <row r="29" spans="1:14" x14ac:dyDescent="0.2">
      <c r="A29" s="1999"/>
      <c r="B29" s="2009"/>
      <c r="C29" s="2466"/>
      <c r="D29" s="2466"/>
      <c r="E29" s="845"/>
      <c r="F29" s="2466"/>
      <c r="G29" s="2466"/>
      <c r="H29" s="2466"/>
      <c r="I29" s="838"/>
      <c r="J29" s="838"/>
      <c r="K29" s="838"/>
      <c r="L29" s="838"/>
      <c r="M29" s="838"/>
      <c r="N29" s="2000"/>
    </row>
    <row r="30" spans="1:14" x14ac:dyDescent="0.2">
      <c r="A30" s="1999"/>
      <c r="B30" s="2009"/>
      <c r="C30" s="1962" t="s">
        <v>1544</v>
      </c>
      <c r="D30" s="838"/>
      <c r="E30" s="1961"/>
      <c r="F30" s="2450" t="s">
        <v>1493</v>
      </c>
      <c r="G30" s="2450"/>
      <c r="H30" s="2450"/>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27" t="s">
        <v>2024</v>
      </c>
      <c r="D34" s="2428"/>
      <c r="E34" s="2428"/>
      <c r="F34" s="2428"/>
      <c r="G34" s="2428"/>
      <c r="H34" s="2428"/>
      <c r="I34" s="2428"/>
      <c r="J34" s="2428"/>
      <c r="K34" s="2018"/>
      <c r="L34" s="838"/>
      <c r="M34" s="838"/>
      <c r="N34" s="2000"/>
    </row>
    <row r="35" spans="1:14" x14ac:dyDescent="0.2">
      <c r="A35" s="1999"/>
      <c r="B35" s="838"/>
      <c r="C35" s="2428"/>
      <c r="D35" s="2428"/>
      <c r="E35" s="2428"/>
      <c r="F35" s="2428"/>
      <c r="G35" s="2428"/>
      <c r="H35" s="2428"/>
      <c r="I35" s="2428"/>
      <c r="J35" s="2428"/>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27" t="s">
        <v>2025</v>
      </c>
      <c r="D37" s="2428"/>
      <c r="E37" s="2428"/>
      <c r="F37" s="2428"/>
      <c r="G37" s="2428"/>
      <c r="H37" s="2428"/>
      <c r="I37" s="2428"/>
      <c r="J37" s="2428"/>
      <c r="K37" s="2018"/>
      <c r="L37" s="2020"/>
      <c r="M37" s="838"/>
      <c r="N37" s="2000"/>
    </row>
    <row r="38" spans="1:14" x14ac:dyDescent="0.2">
      <c r="A38" s="1999"/>
      <c r="B38" s="838"/>
      <c r="C38" s="2428"/>
      <c r="D38" s="2428"/>
      <c r="E38" s="2428"/>
      <c r="F38" s="2428"/>
      <c r="G38" s="2428"/>
      <c r="H38" s="2428"/>
      <c r="I38" s="2428"/>
      <c r="J38" s="2428"/>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29" t="s">
        <v>2026</v>
      </c>
      <c r="D40" s="2430"/>
      <c r="E40" s="2430"/>
      <c r="F40" s="2430"/>
      <c r="G40" s="2430"/>
      <c r="H40" s="2430"/>
      <c r="I40" s="2430"/>
      <c r="J40" s="2430"/>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37" t="str">
        <f>J6</f>
        <v xml:space="preserve">  Palos Heights SD 128</v>
      </c>
      <c r="M52" s="2437"/>
      <c r="N52" s="2438"/>
    </row>
    <row r="53" spans="1:14" x14ac:dyDescent="0.2">
      <c r="A53" s="1984"/>
      <c r="B53" s="1985"/>
      <c r="C53" s="1985"/>
      <c r="D53" s="1985"/>
      <c r="E53" s="1985"/>
      <c r="F53" s="1985"/>
      <c r="G53" s="1985"/>
      <c r="H53" s="1985"/>
      <c r="I53" s="1985"/>
      <c r="J53" s="1985"/>
      <c r="K53" s="1926" t="s">
        <v>369</v>
      </c>
      <c r="L53" s="2439">
        <f>J7</f>
        <v>7016128002</v>
      </c>
      <c r="M53" s="2439"/>
      <c r="N53" s="2440"/>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41"/>
      <c r="B55" s="2442"/>
      <c r="C55" s="2442"/>
      <c r="D55" s="1972"/>
      <c r="E55" s="1972"/>
      <c r="F55" s="1972"/>
      <c r="G55" s="2443" t="s">
        <v>2030</v>
      </c>
      <c r="H55" s="2443"/>
      <c r="I55" s="2443"/>
      <c r="J55" s="2443"/>
      <c r="K55" s="2443"/>
      <c r="L55" s="2443"/>
      <c r="M55" s="2443"/>
      <c r="N55" s="2444"/>
    </row>
    <row r="56" spans="1:14" ht="63.75" x14ac:dyDescent="0.2">
      <c r="A56" s="2445" t="s">
        <v>2031</v>
      </c>
      <c r="B56" s="2446"/>
      <c r="C56" s="2447"/>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48" t="s">
        <v>296</v>
      </c>
      <c r="B57" s="2449"/>
      <c r="C57" s="2449"/>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25" t="s">
        <v>2041</v>
      </c>
      <c r="B58" s="2426"/>
      <c r="C58" s="2426"/>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19" t="s">
        <v>297</v>
      </c>
      <c r="B59" s="2420"/>
      <c r="C59" s="2420"/>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19" t="s">
        <v>236</v>
      </c>
      <c r="B60" s="2420"/>
      <c r="C60" s="2420"/>
      <c r="D60" s="1969">
        <v>2364</v>
      </c>
      <c r="E60" s="1979">
        <f>'Expenditures 15-22'!K322</f>
        <v>0</v>
      </c>
      <c r="F60" s="1974"/>
      <c r="G60" s="2033"/>
      <c r="H60" s="2034"/>
      <c r="I60" s="2034"/>
      <c r="J60" s="2034"/>
      <c r="K60" s="2034"/>
      <c r="L60" s="2034"/>
      <c r="M60" s="2034"/>
      <c r="N60" s="1977">
        <f t="shared" ref="N60:N67" si="4">IF((SUM(G60:M60))=E60,SUM(G60:M60),"Column N does not agree with Column E")</f>
        <v>0</v>
      </c>
    </row>
    <row r="61" spans="1:14" ht="24.75" customHeight="1" x14ac:dyDescent="0.2">
      <c r="A61" s="2419" t="s">
        <v>697</v>
      </c>
      <c r="B61" s="2420"/>
      <c r="C61" s="2420"/>
      <c r="D61" s="1969">
        <v>2365</v>
      </c>
      <c r="E61" s="1979">
        <f>'Expenditures 15-22'!K323</f>
        <v>0</v>
      </c>
      <c r="F61" s="1974"/>
      <c r="G61" s="2033"/>
      <c r="H61" s="2034"/>
      <c r="I61" s="2034"/>
      <c r="J61" s="2034"/>
      <c r="K61" s="2034"/>
      <c r="L61" s="2034"/>
      <c r="M61" s="2034"/>
      <c r="N61" s="1977">
        <f t="shared" si="4"/>
        <v>0</v>
      </c>
    </row>
    <row r="62" spans="1:14" ht="24" customHeight="1" x14ac:dyDescent="0.2">
      <c r="A62" s="2419" t="s">
        <v>237</v>
      </c>
      <c r="B62" s="2420"/>
      <c r="C62" s="2420"/>
      <c r="D62" s="1969">
        <v>2366</v>
      </c>
      <c r="E62" s="1979">
        <f>'Expenditures 15-22'!K324</f>
        <v>0</v>
      </c>
      <c r="F62" s="1974"/>
      <c r="G62" s="2033"/>
      <c r="H62" s="2034"/>
      <c r="I62" s="2034"/>
      <c r="J62" s="2034"/>
      <c r="K62" s="2034"/>
      <c r="L62" s="2034"/>
      <c r="M62" s="2034"/>
      <c r="N62" s="1977">
        <f t="shared" si="4"/>
        <v>0</v>
      </c>
    </row>
    <row r="63" spans="1:14" ht="24" customHeight="1" x14ac:dyDescent="0.2">
      <c r="A63" s="2425" t="s">
        <v>1022</v>
      </c>
      <c r="B63" s="2426"/>
      <c r="C63" s="2426"/>
      <c r="D63" s="1969">
        <v>2367</v>
      </c>
      <c r="E63" s="1979">
        <f>'Expenditures 15-22'!K325</f>
        <v>0</v>
      </c>
      <c r="F63" s="1974"/>
      <c r="G63" s="2033"/>
      <c r="H63" s="2034"/>
      <c r="I63" s="2034"/>
      <c r="J63" s="2034"/>
      <c r="K63" s="2034"/>
      <c r="L63" s="2034"/>
      <c r="M63" s="2034"/>
      <c r="N63" s="1977">
        <f t="shared" si="4"/>
        <v>0</v>
      </c>
    </row>
    <row r="64" spans="1:14" ht="24" customHeight="1" x14ac:dyDescent="0.2">
      <c r="A64" s="2419" t="s">
        <v>1023</v>
      </c>
      <c r="B64" s="2420"/>
      <c r="C64" s="2420"/>
      <c r="D64" s="1969">
        <v>2368</v>
      </c>
      <c r="E64" s="1979">
        <f>'Expenditures 15-22'!K326</f>
        <v>0</v>
      </c>
      <c r="F64" s="1974"/>
      <c r="G64" s="2033"/>
      <c r="H64" s="2034"/>
      <c r="I64" s="2034"/>
      <c r="J64" s="2034"/>
      <c r="K64" s="2034"/>
      <c r="L64" s="2034"/>
      <c r="M64" s="2034"/>
      <c r="N64" s="1977">
        <f t="shared" si="4"/>
        <v>0</v>
      </c>
    </row>
    <row r="65" spans="1:14" ht="24" customHeight="1" x14ac:dyDescent="0.2">
      <c r="A65" s="2419" t="s">
        <v>965</v>
      </c>
      <c r="B65" s="2420"/>
      <c r="C65" s="2420"/>
      <c r="D65" s="1969">
        <v>2369</v>
      </c>
      <c r="E65" s="1979">
        <f>'Expenditures 15-22'!K327</f>
        <v>0</v>
      </c>
      <c r="F65" s="1974"/>
      <c r="G65" s="2033"/>
      <c r="H65" s="2034"/>
      <c r="I65" s="2034"/>
      <c r="J65" s="2034"/>
      <c r="K65" s="2034"/>
      <c r="L65" s="2034"/>
      <c r="M65" s="2034"/>
      <c r="N65" s="1977">
        <f t="shared" si="4"/>
        <v>0</v>
      </c>
    </row>
    <row r="66" spans="1:14" ht="24" customHeight="1" x14ac:dyDescent="0.2">
      <c r="A66" s="2419" t="s">
        <v>469</v>
      </c>
      <c r="B66" s="2420"/>
      <c r="C66" s="2420"/>
      <c r="D66" s="1969">
        <v>2371</v>
      </c>
      <c r="E66" s="1979">
        <f>'Expenditures 15-22'!K328</f>
        <v>0</v>
      </c>
      <c r="F66" s="1974"/>
      <c r="G66" s="2033"/>
      <c r="H66" s="2034"/>
      <c r="I66" s="2034"/>
      <c r="J66" s="2034"/>
      <c r="K66" s="2034"/>
      <c r="L66" s="2034"/>
      <c r="M66" s="2034"/>
      <c r="N66" s="1977">
        <f t="shared" si="4"/>
        <v>0</v>
      </c>
    </row>
    <row r="67" spans="1:14" ht="24.75" customHeight="1" x14ac:dyDescent="0.2">
      <c r="A67" s="2421" t="s">
        <v>2042</v>
      </c>
      <c r="B67" s="2422"/>
      <c r="C67" s="2422"/>
      <c r="D67" s="1971">
        <v>2372</v>
      </c>
      <c r="E67" s="1980">
        <f>'Expenditures 15-22'!K329</f>
        <v>0</v>
      </c>
      <c r="F67" s="1974"/>
      <c r="G67" s="2035"/>
      <c r="H67" s="2036"/>
      <c r="I67" s="2036"/>
      <c r="J67" s="2036"/>
      <c r="K67" s="2036"/>
      <c r="L67" s="2036"/>
      <c r="M67" s="2036"/>
      <c r="N67" s="1977">
        <f t="shared" si="4"/>
        <v>0</v>
      </c>
    </row>
    <row r="68" spans="1:14" x14ac:dyDescent="0.2">
      <c r="A68" s="2423" t="s">
        <v>1151</v>
      </c>
      <c r="B68" s="2424"/>
      <c r="C68" s="2424"/>
      <c r="D68" s="1972"/>
      <c r="E68" s="1976">
        <f>SUM(E57:E67)</f>
        <v>0</v>
      </c>
      <c r="F68" s="1975"/>
      <c r="G68" s="1976">
        <f t="shared" ref="G68:N68" si="5">SUM(G57:G67)</f>
        <v>0</v>
      </c>
      <c r="H68" s="1976">
        <f t="shared" si="5"/>
        <v>0</v>
      </c>
      <c r="I68" s="1976">
        <f t="shared" si="5"/>
        <v>0</v>
      </c>
      <c r="J68" s="1976">
        <f t="shared" si="5"/>
        <v>0</v>
      </c>
      <c r="K68" s="1976">
        <f t="shared" si="5"/>
        <v>0</v>
      </c>
      <c r="L68" s="1976">
        <f t="shared" si="5"/>
        <v>0</v>
      </c>
      <c r="M68" s="1976">
        <f t="shared" si="5"/>
        <v>0</v>
      </c>
      <c r="N68" s="1990">
        <f t="shared" si="5"/>
        <v>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K69" sqref="K6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Palos Heights SD 128</v>
      </c>
    </row>
    <row r="65" spans="2:2" x14ac:dyDescent="0.2">
      <c r="B65" s="849">
        <f>COVER!A13</f>
        <v>7016128002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B29" sqref="B29"/>
    </sheetView>
  </sheetViews>
  <sheetFormatPr defaultColWidth="9.140625" defaultRowHeight="12" x14ac:dyDescent="0.2"/>
  <cols>
    <col min="1" max="1" width="2.140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K69" sqref="K69"/>
    </sheetView>
  </sheetViews>
  <sheetFormatPr defaultRowHeight="14.25" x14ac:dyDescent="0.2"/>
  <cols>
    <col min="1" max="1" width="1.140625" customWidth="1"/>
    <col min="2" max="2" width="2.85546875" style="17" customWidth="1"/>
    <col min="3" max="3" width="107.42578125" style="2" customWidth="1"/>
    <col min="4" max="4" width="1.140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855468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DF" dvAspect="DVASPECT_ICON" shapeId="43009" r:id="rId4">
          <objectPr defaultSize="0" autoPict="0" r:id="rId5">
            <anchor moveWithCells="1">
              <from>
                <xdr:col>0</xdr:col>
                <xdr:colOff>0</xdr:colOff>
                <xdr:row>18</xdr:row>
                <xdr:rowOff>114300</xdr:rowOff>
              </from>
              <to>
                <xdr:col>1</xdr:col>
                <xdr:colOff>781050</xdr:colOff>
                <xdr:row>23</xdr:row>
                <xdr:rowOff>104775</xdr:rowOff>
              </to>
            </anchor>
          </objectPr>
        </oleObject>
      </mc:Choice>
      <mc:Fallback>
        <oleObject progId="PDF"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238125</xdr:colOff>
                <xdr:row>1</xdr:row>
                <xdr:rowOff>104775</xdr:rowOff>
              </from>
              <to>
                <xdr:col>1</xdr:col>
                <xdr:colOff>1152525</xdr:colOff>
                <xdr:row>6</xdr:row>
                <xdr:rowOff>66675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1438275</xdr:colOff>
                <xdr:row>2</xdr:row>
                <xdr:rowOff>47625</xdr:rowOff>
              </from>
              <to>
                <xdr:col>1</xdr:col>
                <xdr:colOff>2352675</xdr:colOff>
                <xdr:row>7</xdr:row>
                <xdr:rowOff>9525</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3" zoomScale="110" zoomScaleNormal="110" workbookViewId="0">
      <selection activeCell="K69" sqref="K69"/>
    </sheetView>
  </sheetViews>
  <sheetFormatPr defaultColWidth="9.140625" defaultRowHeight="12.75" x14ac:dyDescent="0.2"/>
  <cols>
    <col min="1" max="1" width="33.85546875" style="294" customWidth="1"/>
    <col min="2" max="6" width="16.855468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8380654</v>
      </c>
      <c r="C8" s="1813">
        <f>'Acct Summary 7-8'!D8</f>
        <v>806266</v>
      </c>
      <c r="D8" s="1813">
        <f>'Acct Summary 7-8'!F8</f>
        <v>421784</v>
      </c>
      <c r="E8" s="1813">
        <f>'Acct Summary 7-8'!I8</f>
        <v>59812</v>
      </c>
      <c r="F8" s="1813">
        <f>SUM(B8:E8)</f>
        <v>9668516</v>
      </c>
    </row>
    <row r="9" spans="1:8" s="858" customFormat="1" ht="14.25" customHeight="1" thickBot="1" x14ac:dyDescent="0.25">
      <c r="A9" s="857" t="s">
        <v>1353</v>
      </c>
      <c r="B9" s="1814">
        <f>'Acct Summary 7-8'!C17</f>
        <v>7916825</v>
      </c>
      <c r="C9" s="1814">
        <f>'Acct Summary 7-8'!D17</f>
        <v>694347</v>
      </c>
      <c r="D9" s="1814">
        <f>'Acct Summary 7-8'!F17</f>
        <v>307888</v>
      </c>
      <c r="E9" s="1813"/>
      <c r="F9" s="1813">
        <f>SUM(B9:E9)</f>
        <v>8919060</v>
      </c>
    </row>
    <row r="10" spans="1:8" s="858" customFormat="1" ht="14.25" thickTop="1" thickBot="1" x14ac:dyDescent="0.25">
      <c r="A10" s="859" t="s">
        <v>1354</v>
      </c>
      <c r="B10" s="1815">
        <f>(B8-B9)</f>
        <v>463829</v>
      </c>
      <c r="C10" s="1815">
        <f>(C8-C9)</f>
        <v>111919</v>
      </c>
      <c r="D10" s="1815">
        <f>(D8-D9)</f>
        <v>113896</v>
      </c>
      <c r="E10" s="1814">
        <f>(E8-E9)</f>
        <v>59812</v>
      </c>
      <c r="F10" s="1816">
        <f>SUM(F8-F9)</f>
        <v>749456</v>
      </c>
    </row>
    <row r="11" spans="1:8" s="858" customFormat="1" ht="14.25" thickTop="1" thickBot="1" x14ac:dyDescent="0.25">
      <c r="A11" s="860" t="s">
        <v>1903</v>
      </c>
      <c r="B11" s="1817">
        <f>'Acct Summary 7-8'!C81</f>
        <v>6571026</v>
      </c>
      <c r="C11" s="1817">
        <f>'Acct Summary 7-8'!D81</f>
        <v>926035</v>
      </c>
      <c r="D11" s="1817">
        <f>'Acct Summary 7-8'!F81</f>
        <v>589339</v>
      </c>
      <c r="E11" s="1817">
        <f>'Acct Summary 7-8'!I81</f>
        <v>2157710</v>
      </c>
      <c r="F11" s="1818">
        <f>SUM(B11:E11)</f>
        <v>10244110</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C21" sqref="C21:D21"/>
    </sheetView>
  </sheetViews>
  <sheetFormatPr defaultColWidth="9.140625" defaultRowHeight="12" x14ac:dyDescent="0.2"/>
  <cols>
    <col min="1" max="1" width="2.85546875" style="912" customWidth="1"/>
    <col min="2" max="2" width="3.140625" style="912" customWidth="1"/>
    <col min="3" max="3" width="96.140625" style="852" customWidth="1"/>
    <col min="4" max="4" width="42.140625" style="237" customWidth="1"/>
    <col min="5" max="5" width="2.855468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85546875" bestFit="1" customWidth="1"/>
    <col min="2" max="2" width="38.85546875" style="135" bestFit="1" customWidth="1"/>
    <col min="3" max="3" width="3.42578125" style="2" customWidth="1"/>
    <col min="4" max="4" width="8.85546875" style="2" customWidth="1"/>
    <col min="5" max="5" width="20.85546875" style="2" bestFit="1" customWidth="1"/>
    <col min="6" max="6" width="20.855468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7016128002</v>
      </c>
      <c r="E2" s="1542">
        <v>2020</v>
      </c>
      <c r="F2" s="1542">
        <v>1</v>
      </c>
      <c r="G2" s="1899">
        <v>101000300</v>
      </c>
    </row>
    <row r="3" spans="1:7" ht="15" x14ac:dyDescent="0.25">
      <c r="A3" t="s">
        <v>950</v>
      </c>
      <c r="B3" s="135" t="str">
        <f>COVER!A15</f>
        <v>Cook</v>
      </c>
      <c r="E3" s="1830" t="s">
        <v>1971</v>
      </c>
      <c r="F3" s="1830" t="s">
        <v>1970</v>
      </c>
      <c r="G3" s="1899">
        <v>101000400</v>
      </c>
    </row>
    <row r="4" spans="1:7" ht="15" x14ac:dyDescent="0.25">
      <c r="A4" t="s">
        <v>1000</v>
      </c>
      <c r="B4" s="135" t="str">
        <f>COVER!A17</f>
        <v xml:space="preserve">  Palos Heights SD 128</v>
      </c>
      <c r="E4" s="1828">
        <v>44119</v>
      </c>
      <c r="F4" s="1829">
        <v>44151</v>
      </c>
      <c r="G4" s="1899">
        <v>101000600</v>
      </c>
    </row>
    <row r="5" spans="1:7" ht="15" x14ac:dyDescent="0.25">
      <c r="A5" t="s">
        <v>699</v>
      </c>
      <c r="B5" s="135" t="str">
        <f>COVER!A38</f>
        <v>Dr. Merryl Brownlow</v>
      </c>
      <c r="G5" s="1899">
        <v>101000800</v>
      </c>
    </row>
    <row r="6" spans="1:7" ht="15" x14ac:dyDescent="0.25">
      <c r="A6" t="s">
        <v>704</v>
      </c>
      <c r="B6" s="135" t="str">
        <f>COVER!P35</f>
        <v>Worth</v>
      </c>
      <c r="G6" s="1899">
        <v>102100300</v>
      </c>
    </row>
    <row r="7" spans="1:7" ht="15" x14ac:dyDescent="0.25">
      <c r="A7" t="s">
        <v>700</v>
      </c>
      <c r="B7" s="135" t="str">
        <f>COVER!I38</f>
        <v>Terrance LaBella</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06-5035081</v>
      </c>
      <c r="G15" s="1899">
        <v>402100400</v>
      </c>
    </row>
    <row r="16" spans="1:7" ht="15" x14ac:dyDescent="0.25">
      <c r="A16" t="s">
        <v>419</v>
      </c>
      <c r="B16" s="135" t="str">
        <f>COVER!T13</f>
        <v>RSM US LLP</v>
      </c>
      <c r="G16" s="1899">
        <v>402100600</v>
      </c>
    </row>
    <row r="17" spans="1:7" ht="15" x14ac:dyDescent="0.25">
      <c r="A17" t="s">
        <v>878</v>
      </c>
      <c r="B17" s="135" t="str">
        <f>COVER!T15</f>
        <v>John George</v>
      </c>
      <c r="G17" s="1899">
        <v>402100800</v>
      </c>
    </row>
    <row r="18" spans="1:7" ht="15" x14ac:dyDescent="0.25">
      <c r="A18" t="s">
        <v>1140</v>
      </c>
      <c r="B18" s="135" t="str">
        <f>COVER!T17</f>
        <v>One South Wacker Drive, Suite 800</v>
      </c>
      <c r="G18" s="1899">
        <v>102200300</v>
      </c>
    </row>
    <row r="19" spans="1:7" ht="15" x14ac:dyDescent="0.25">
      <c r="A19" t="s">
        <v>880</v>
      </c>
      <c r="B19" s="135" t="str">
        <f>COVER!T25</f>
        <v>john.george@rsmus.com</v>
      </c>
      <c r="G19" s="1899">
        <v>102200400</v>
      </c>
    </row>
    <row r="20" spans="1:7" ht="15" x14ac:dyDescent="0.25">
      <c r="A20" t="s">
        <v>881</v>
      </c>
      <c r="B20" s="135" t="str">
        <f>COVER!T19</f>
        <v xml:space="preserve">Chicago </v>
      </c>
      <c r="G20" s="1899">
        <v>102200600</v>
      </c>
    </row>
    <row r="21" spans="1:7" ht="15" x14ac:dyDescent="0.25">
      <c r="A21" t="s">
        <v>476</v>
      </c>
      <c r="B21" s="135" t="str">
        <f>COVER!X19</f>
        <v>IL</v>
      </c>
      <c r="G21" s="1899">
        <v>102200800</v>
      </c>
    </row>
    <row r="22" spans="1:7" ht="15" x14ac:dyDescent="0.25">
      <c r="A22" t="s">
        <v>882</v>
      </c>
      <c r="B22" s="135">
        <f>COVER!Z19</f>
        <v>60606</v>
      </c>
      <c r="G22" s="1899">
        <v>102300300</v>
      </c>
    </row>
    <row r="23" spans="1:7" ht="15" x14ac:dyDescent="0.25">
      <c r="A23" t="s">
        <v>1142</v>
      </c>
      <c r="B23" s="135" t="str">
        <f>COVER!T21</f>
        <v>312-634-4414</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t="str">
        <f>COVER!L34</f>
        <v>X</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38898</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6571026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6571026</v>
      </c>
      <c r="D92" s="2" t="str">
        <f t="shared" si="0"/>
        <v>Error?</v>
      </c>
      <c r="G92" s="1899">
        <v>102640600</v>
      </c>
    </row>
    <row r="93" spans="1:7" ht="15" x14ac:dyDescent="0.25">
      <c r="A93" s="5">
        <v>32</v>
      </c>
      <c r="B93" s="1832">
        <f>'Assets-Liab 5-6'!C41</f>
        <v>6571026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926035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926035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721516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721516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600719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11380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11380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600719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263507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2667</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263507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615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65000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615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58959</v>
      </c>
      <c r="D273" s="2" t="str">
        <f t="shared" si="3"/>
        <v>Error?</v>
      </c>
    </row>
    <row r="274" spans="1:4" x14ac:dyDescent="0.2">
      <c r="A274" s="5">
        <v>213</v>
      </c>
      <c r="B274" s="1832">
        <f>'Assets-Liab 5-6'!M17</f>
        <v>11320319</v>
      </c>
      <c r="D274" s="2" t="str">
        <f t="shared" si="3"/>
        <v>Error?</v>
      </c>
    </row>
    <row r="275" spans="1:4" x14ac:dyDescent="0.2">
      <c r="A275" s="5">
        <v>214</v>
      </c>
      <c r="B275" s="1832">
        <f>'Assets-Liab 5-6'!M18</f>
        <v>0</v>
      </c>
      <c r="D275" s="2" t="str">
        <f t="shared" si="3"/>
        <v>Error?</v>
      </c>
    </row>
    <row r="276" spans="1:4" x14ac:dyDescent="0.2">
      <c r="A276" s="5">
        <v>215</v>
      </c>
      <c r="B276" s="1832">
        <f>'Assets-Liab 5-6'!M19</f>
        <v>14947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11394225</v>
      </c>
      <c r="C279" s="2" t="s">
        <v>569</v>
      </c>
      <c r="D279" s="2" t="str">
        <f t="shared" si="3"/>
        <v>Error?</v>
      </c>
    </row>
    <row r="280" spans="1:4" x14ac:dyDescent="0.2">
      <c r="A280" s="5">
        <v>219</v>
      </c>
      <c r="B280" s="1832">
        <f>'Assets-Liab 5-6'!M40</f>
        <v>11394225</v>
      </c>
      <c r="D280" s="2" t="str">
        <f t="shared" si="3"/>
        <v>Error?</v>
      </c>
    </row>
    <row r="281" spans="1:4" x14ac:dyDescent="0.2">
      <c r="A281" s="5">
        <v>220</v>
      </c>
      <c r="B281" s="1832">
        <f>'Assets-Liab 5-6'!M41</f>
        <v>11394225</v>
      </c>
      <c r="C281" s="2" t="s">
        <v>569</v>
      </c>
      <c r="D281" s="2" t="str">
        <f t="shared" si="3"/>
        <v>Error?</v>
      </c>
    </row>
    <row r="282" spans="1:4" x14ac:dyDescent="0.2">
      <c r="A282" s="5">
        <v>221</v>
      </c>
      <c r="B282" s="1832">
        <f>'Assets-Liab 5-6'!N21</f>
        <v>875000</v>
      </c>
      <c r="D282" s="2" t="str">
        <f t="shared" si="3"/>
        <v>Error?</v>
      </c>
    </row>
    <row r="283" spans="1:4" x14ac:dyDescent="0.2">
      <c r="A283" s="5">
        <v>222</v>
      </c>
      <c r="B283" s="1832">
        <f>'Assets-Liab 5-6'!N22</f>
        <v>860000</v>
      </c>
      <c r="D283" s="2" t="str">
        <f t="shared" si="3"/>
        <v>Error?</v>
      </c>
    </row>
    <row r="284" spans="1:4" x14ac:dyDescent="0.2">
      <c r="A284" s="5">
        <v>223</v>
      </c>
      <c r="B284" s="1832">
        <f>'Assets-Liab 5-6'!N23</f>
        <v>1735000</v>
      </c>
      <c r="C284" s="2" t="s">
        <v>569</v>
      </c>
      <c r="D284" s="2" t="str">
        <f t="shared" si="3"/>
        <v>Error?</v>
      </c>
    </row>
    <row r="285" spans="1:4" x14ac:dyDescent="0.2">
      <c r="A285" s="5">
        <v>224</v>
      </c>
      <c r="B285" s="1832">
        <f>'Assets-Liab 5-6'!N36</f>
        <v>1735000</v>
      </c>
      <c r="D285" s="2" t="str">
        <f t="shared" si="3"/>
        <v>Error?</v>
      </c>
    </row>
    <row r="286" spans="1:4" x14ac:dyDescent="0.2">
      <c r="A286" s="10">
        <v>225</v>
      </c>
      <c r="B286" s="1832"/>
      <c r="D286" s="2" t="str">
        <f t="shared" si="3"/>
        <v>OK</v>
      </c>
    </row>
    <row r="287" spans="1:4" x14ac:dyDescent="0.2">
      <c r="A287" s="5">
        <v>226</v>
      </c>
      <c r="B287" s="1832">
        <f>'Assets-Liab 5-6'!N37</f>
        <v>1735000</v>
      </c>
      <c r="C287" s="2" t="s">
        <v>569</v>
      </c>
      <c r="D287" s="2" t="str">
        <f t="shared" si="3"/>
        <v>Error?</v>
      </c>
    </row>
    <row r="288" spans="1:4" x14ac:dyDescent="0.2">
      <c r="A288" s="5">
        <v>227</v>
      </c>
      <c r="B288" s="1832">
        <f>'Assets-Liab 5-6'!N41</f>
        <v>1735000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2503782</v>
      </c>
      <c r="D705" s="2" t="str">
        <f t="shared" si="10"/>
        <v>Error?</v>
      </c>
    </row>
    <row r="706" spans="1:4" x14ac:dyDescent="0.2">
      <c r="A706" s="5">
        <v>645</v>
      </c>
      <c r="B706" s="1832">
        <f>'Expenditures 15-22'!C16</f>
        <v>45538</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61542</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101063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3982880</v>
      </c>
      <c r="C720" s="2" t="s">
        <v>569</v>
      </c>
      <c r="D720" s="2" t="str">
        <f t="shared" si="10"/>
        <v>Error?</v>
      </c>
    </row>
    <row r="721" spans="1:4" x14ac:dyDescent="0.2">
      <c r="A721" s="5">
        <v>660</v>
      </c>
      <c r="B721" s="1832">
        <f>'Expenditures 15-22'!C36</f>
        <v>93572</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138862</v>
      </c>
      <c r="D723" s="2" t="str">
        <f t="shared" si="10"/>
        <v>Error?</v>
      </c>
    </row>
    <row r="724" spans="1:4" x14ac:dyDescent="0.2">
      <c r="A724" s="5">
        <v>663</v>
      </c>
      <c r="B724" s="1832">
        <f>'Expenditures 15-22'!C39</f>
        <v>59899</v>
      </c>
      <c r="D724" s="2" t="str">
        <f t="shared" si="10"/>
        <v>Error?</v>
      </c>
    </row>
    <row r="725" spans="1:4" x14ac:dyDescent="0.2">
      <c r="A725" s="5">
        <v>664</v>
      </c>
      <c r="B725" s="1832">
        <f>'Expenditures 15-22'!C40</f>
        <v>135395</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427728</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103901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103901</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215596</v>
      </c>
      <c r="D733" s="2" t="str">
        <f t="shared" si="10"/>
        <v>Error?</v>
      </c>
    </row>
    <row r="734" spans="1:4" x14ac:dyDescent="0.2">
      <c r="A734" s="5">
        <v>673</v>
      </c>
      <c r="B734" s="1832">
        <f>'Expenditures 15-22'!C53</f>
        <v>351445</v>
      </c>
      <c r="C734" s="2" t="s">
        <v>569</v>
      </c>
      <c r="D734" s="2" t="str">
        <f t="shared" si="10"/>
        <v>Error?</v>
      </c>
    </row>
    <row r="735" spans="1:4" x14ac:dyDescent="0.2">
      <c r="A735" s="5">
        <v>674</v>
      </c>
      <c r="B735" s="1832">
        <f>'Expenditures 15-22'!C55</f>
        <v>440368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440368</v>
      </c>
      <c r="C737" s="2" t="s">
        <v>569</v>
      </c>
      <c r="D737" s="2" t="str">
        <f t="shared" si="10"/>
        <v>Error?</v>
      </c>
    </row>
    <row r="738" spans="1:4" x14ac:dyDescent="0.2">
      <c r="A738" s="5">
        <v>677</v>
      </c>
      <c r="B738" s="1832">
        <f>'Expenditures 15-22'!C59</f>
        <v>87583</v>
      </c>
      <c r="D738" s="2" t="str">
        <f t="shared" si="10"/>
        <v>Error?</v>
      </c>
    </row>
    <row r="739" spans="1:4" x14ac:dyDescent="0.2">
      <c r="A739" s="5">
        <v>678</v>
      </c>
      <c r="B739" s="1832">
        <f>'Expenditures 15-22'!C60</f>
        <v>49059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8333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144975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63159</v>
      </c>
      <c r="D751" s="2" t="str">
        <f t="shared" si="10"/>
        <v>Error?</v>
      </c>
    </row>
    <row r="752" spans="1:4" x14ac:dyDescent="0.2">
      <c r="A752" s="10">
        <v>691</v>
      </c>
      <c r="B752" s="1832"/>
      <c r="D752" s="2" t="str">
        <f t="shared" si="10"/>
        <v>OK</v>
      </c>
    </row>
    <row r="753" spans="1:4" x14ac:dyDescent="0.2">
      <c r="A753" s="5">
        <v>692</v>
      </c>
      <c r="B753" s="1832">
        <f>'Expenditures 15-22'!C72</f>
        <v>63159</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1531576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5514456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463635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20376</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1478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724218</v>
      </c>
      <c r="C778" s="2" t="s">
        <v>569</v>
      </c>
      <c r="D778" s="2" t="str">
        <f t="shared" si="11"/>
        <v>Error?</v>
      </c>
    </row>
    <row r="779" spans="1:4" x14ac:dyDescent="0.2">
      <c r="A779" s="5">
        <v>718</v>
      </c>
      <c r="B779" s="1832">
        <f>'Expenditures 15-22'!D36</f>
        <v>12471</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23931</v>
      </c>
      <c r="D781" s="2" t="str">
        <f t="shared" si="11"/>
        <v>Error?</v>
      </c>
    </row>
    <row r="782" spans="1:4" x14ac:dyDescent="0.2">
      <c r="A782" s="5">
        <v>721</v>
      </c>
      <c r="B782" s="1832">
        <f>'Expenditures 15-22'!D39</f>
        <v>20390</v>
      </c>
      <c r="D782" s="2" t="str">
        <f t="shared" si="11"/>
        <v>Error?</v>
      </c>
    </row>
    <row r="783" spans="1:4" x14ac:dyDescent="0.2">
      <c r="A783" s="5">
        <v>722</v>
      </c>
      <c r="B783" s="1832">
        <f>'Expenditures 15-22'!D40</f>
        <v>26743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83535</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16504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16504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62175</v>
      </c>
      <c r="D791" s="2" t="str">
        <f t="shared" si="11"/>
        <v>Error?</v>
      </c>
    </row>
    <row r="792" spans="1:4" x14ac:dyDescent="0.2">
      <c r="A792" s="5">
        <v>731</v>
      </c>
      <c r="B792" s="1832">
        <f>'Expenditures 15-22'!D53</f>
        <v>90036</v>
      </c>
      <c r="C792" s="2" t="s">
        <v>569</v>
      </c>
      <c r="D792" s="2" t="str">
        <f t="shared" si="11"/>
        <v>Error?</v>
      </c>
    </row>
    <row r="793" spans="1:4" x14ac:dyDescent="0.2">
      <c r="A793" s="5">
        <v>732</v>
      </c>
      <c r="B793" s="1832">
        <f>'Expenditures 15-22'!D55</f>
        <v>141872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141872</v>
      </c>
      <c r="C795" s="2" t="s">
        <v>569</v>
      </c>
      <c r="D795" s="2" t="str">
        <f t="shared" si="11"/>
        <v>Error?</v>
      </c>
    </row>
    <row r="796" spans="1:4" x14ac:dyDescent="0.2">
      <c r="A796" s="5">
        <v>735</v>
      </c>
      <c r="B796" s="1832">
        <f>'Expenditures 15-22'!D59</f>
        <v>25598</v>
      </c>
      <c r="D796" s="2" t="str">
        <f t="shared" si="11"/>
        <v>Error?</v>
      </c>
    </row>
    <row r="797" spans="1:4" x14ac:dyDescent="0.2">
      <c r="A797" s="5">
        <v>736</v>
      </c>
      <c r="B797" s="1832">
        <f>'Expenditures 15-22'!D60</f>
        <v>6397</v>
      </c>
      <c r="D797" s="2" t="str">
        <f t="shared" si="11"/>
        <v>Error?</v>
      </c>
    </row>
    <row r="798" spans="1:4" x14ac:dyDescent="0.2">
      <c r="A798" s="5">
        <v>737</v>
      </c>
      <c r="B798" s="1832">
        <f>'Expenditures 15-22'!D61</f>
        <v>13</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32008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3720</v>
      </c>
      <c r="D809" s="2" t="str">
        <f t="shared" si="11"/>
        <v>Error?</v>
      </c>
    </row>
    <row r="810" spans="1:4" x14ac:dyDescent="0.2">
      <c r="A810" s="10">
        <v>749</v>
      </c>
      <c r="B810" s="1832"/>
      <c r="D810" s="2" t="str">
        <f t="shared" si="11"/>
        <v>OK</v>
      </c>
    </row>
    <row r="811" spans="1:4" x14ac:dyDescent="0.2">
      <c r="A811" s="5">
        <v>750</v>
      </c>
      <c r="B811" s="1832">
        <f>'Expenditures 15-22'!D72</f>
        <v>3720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367675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1091893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13232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230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2957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40663</v>
      </c>
      <c r="C836" s="2" t="s">
        <v>569</v>
      </c>
      <c r="D836" s="2" t="str">
        <f t="shared" si="12"/>
        <v>Error?</v>
      </c>
    </row>
    <row r="837" spans="1:4" x14ac:dyDescent="0.2">
      <c r="A837" s="5">
        <v>776</v>
      </c>
      <c r="B837" s="1832">
        <f>'Expenditures 15-22'!E36</f>
        <v>18075</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39433</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15440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72948</v>
      </c>
      <c r="C843" s="2" t="s">
        <v>569</v>
      </c>
      <c r="D843" s="2" t="str">
        <f t="shared" si="12"/>
        <v>Error?</v>
      </c>
    </row>
    <row r="844" spans="1:4" x14ac:dyDescent="0.2">
      <c r="A844" s="5">
        <v>783</v>
      </c>
      <c r="B844" s="1832">
        <f>'Expenditures 15-22'!E44</f>
        <v>58449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58449</v>
      </c>
      <c r="C847" s="2" t="s">
        <v>569</v>
      </c>
      <c r="D847" s="2" t="str">
        <f t="shared" si="12"/>
        <v>Error?</v>
      </c>
    </row>
    <row r="848" spans="1:4" x14ac:dyDescent="0.2">
      <c r="A848" s="5">
        <v>787</v>
      </c>
      <c r="B848" s="1832">
        <f>'Expenditures 15-22'!E49</f>
        <v>145867</v>
      </c>
      <c r="D848" s="2" t="str">
        <f t="shared" si="12"/>
        <v>Error?</v>
      </c>
    </row>
    <row r="849" spans="1:4" x14ac:dyDescent="0.2">
      <c r="A849" s="5">
        <v>788</v>
      </c>
      <c r="B849" s="1832">
        <f>'Expenditures 15-22'!E50</f>
        <v>5736</v>
      </c>
      <c r="D849" s="2" t="str">
        <f t="shared" si="12"/>
        <v>Error?</v>
      </c>
    </row>
    <row r="850" spans="1:4" x14ac:dyDescent="0.2">
      <c r="A850" s="5">
        <v>789</v>
      </c>
      <c r="B850" s="1832">
        <f>'Expenditures 15-22'!E53</f>
        <v>153937</v>
      </c>
      <c r="C850" s="2" t="s">
        <v>569</v>
      </c>
      <c r="D850" s="2" t="str">
        <f t="shared" si="12"/>
        <v>Error?</v>
      </c>
    </row>
    <row r="851" spans="1:4" x14ac:dyDescent="0.2">
      <c r="A851" s="5">
        <v>790</v>
      </c>
      <c r="B851" s="1832">
        <f>'Expenditures 15-22'!E55</f>
        <v>2744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2744</v>
      </c>
      <c r="C853" s="2" t="s">
        <v>569</v>
      </c>
      <c r="D853" s="2" t="str">
        <f t="shared" si="12"/>
        <v>Error?</v>
      </c>
    </row>
    <row r="854" spans="1:4" x14ac:dyDescent="0.2">
      <c r="A854" s="5">
        <v>793</v>
      </c>
      <c r="B854" s="1832">
        <f>'Expenditures 15-22'!E59</f>
        <v>870</v>
      </c>
      <c r="D854" s="2" t="str">
        <f t="shared" si="12"/>
        <v>Error?</v>
      </c>
    </row>
    <row r="855" spans="1:4" x14ac:dyDescent="0.2">
      <c r="A855" s="5">
        <v>794</v>
      </c>
      <c r="B855" s="1832">
        <f>'Expenditures 15-22'!E60</f>
        <v>46799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47669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200863</v>
      </c>
      <c r="D867" s="2" t="str">
        <f t="shared" si="12"/>
        <v>Error?</v>
      </c>
    </row>
    <row r="868" spans="1:4" x14ac:dyDescent="0.2">
      <c r="A868" s="10">
        <v>807</v>
      </c>
      <c r="B868" s="1832"/>
      <c r="D868" s="2" t="str">
        <f t="shared" si="12"/>
        <v>OK</v>
      </c>
    </row>
    <row r="869" spans="1:4" x14ac:dyDescent="0.2">
      <c r="A869" s="5">
        <v>808</v>
      </c>
      <c r="B869" s="1832">
        <f>'Expenditures 15-22'!E72</f>
        <v>200863</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536610</v>
      </c>
      <c r="C871" s="2" t="s">
        <v>569</v>
      </c>
      <c r="D871" s="2" t="str">
        <f t="shared" si="12"/>
        <v>Error?</v>
      </c>
    </row>
    <row r="872" spans="1:4" x14ac:dyDescent="0.2">
      <c r="A872" s="5">
        <v>811</v>
      </c>
      <c r="B872" s="1832">
        <f>'Expenditures 15-22'!E75</f>
        <v>33653</v>
      </c>
      <c r="D872" s="2" t="str">
        <f t="shared" si="12"/>
        <v>Error?</v>
      </c>
    </row>
    <row r="873" spans="1:4" x14ac:dyDescent="0.2">
      <c r="A873" s="5">
        <v>812</v>
      </c>
      <c r="B873" s="1832">
        <f>'Expenditures 15-22'!E114</f>
        <v>610926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78639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985</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7739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173208</v>
      </c>
      <c r="C894" s="2" t="s">
        <v>569</v>
      </c>
      <c r="D894" s="2" t="str">
        <f t="shared" si="12"/>
        <v>Error?</v>
      </c>
    </row>
    <row r="895" spans="1:4" x14ac:dyDescent="0.2">
      <c r="A895" s="5">
        <v>834</v>
      </c>
      <c r="B895" s="1832">
        <f>'Expenditures 15-22'!F36</f>
        <v>903</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1707</v>
      </c>
      <c r="D897" s="2" t="str">
        <f t="shared" si="13"/>
        <v>Error?</v>
      </c>
    </row>
    <row r="898" spans="1:4" x14ac:dyDescent="0.2">
      <c r="A898" s="5">
        <v>837</v>
      </c>
      <c r="B898" s="1832">
        <f>'Expenditures 15-22'!F39</f>
        <v>743</v>
      </c>
      <c r="D898" s="2" t="str">
        <f t="shared" si="13"/>
        <v>Error?</v>
      </c>
    </row>
    <row r="899" spans="1:4" x14ac:dyDescent="0.2">
      <c r="A899" s="5">
        <v>838</v>
      </c>
      <c r="B899" s="1832">
        <f>'Expenditures 15-22'!F40</f>
        <v>1270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4623</v>
      </c>
      <c r="C901" s="2" t="s">
        <v>569</v>
      </c>
      <c r="D901" s="2" t="str">
        <f t="shared" si="13"/>
        <v>Error?</v>
      </c>
    </row>
    <row r="902" spans="1:4" x14ac:dyDescent="0.2">
      <c r="A902" s="5">
        <v>841</v>
      </c>
      <c r="B902" s="1832">
        <f>'Expenditures 15-22'!F44</f>
        <v>1821</v>
      </c>
      <c r="D902" s="2" t="str">
        <f t="shared" si="13"/>
        <v>Error?</v>
      </c>
    </row>
    <row r="903" spans="1:4" x14ac:dyDescent="0.2">
      <c r="A903" s="5">
        <v>842</v>
      </c>
      <c r="B903" s="1832">
        <f>'Expenditures 15-22'!F45</f>
        <v>2972</v>
      </c>
      <c r="D903" s="2" t="str">
        <f t="shared" si="13"/>
        <v>Error?</v>
      </c>
    </row>
    <row r="904" spans="1:4" x14ac:dyDescent="0.2">
      <c r="A904" s="5">
        <v>843</v>
      </c>
      <c r="B904" s="1832">
        <f>'Expenditures 15-22'!F46</f>
        <v>15870</v>
      </c>
      <c r="D904" s="2" t="str">
        <f t="shared" si="13"/>
        <v>Error?</v>
      </c>
    </row>
    <row r="905" spans="1:4" x14ac:dyDescent="0.2">
      <c r="A905" s="5">
        <v>844</v>
      </c>
      <c r="B905" s="1832">
        <f>'Expenditures 15-22'!F47</f>
        <v>20663</v>
      </c>
      <c r="C905" s="2" t="s">
        <v>569</v>
      </c>
      <c r="D905" s="2" t="str">
        <f t="shared" si="13"/>
        <v>Error?</v>
      </c>
    </row>
    <row r="906" spans="1:4" x14ac:dyDescent="0.2">
      <c r="A906" s="5">
        <v>845</v>
      </c>
      <c r="B906" s="1832">
        <f>'Expenditures 15-22'!F49</f>
        <v>3474</v>
      </c>
      <c r="D906" s="2" t="str">
        <f t="shared" si="13"/>
        <v>Error?</v>
      </c>
    </row>
    <row r="907" spans="1:4" x14ac:dyDescent="0.2">
      <c r="A907" s="5">
        <v>846</v>
      </c>
      <c r="B907" s="1832">
        <f>'Expenditures 15-22'!F50</f>
        <v>5115</v>
      </c>
      <c r="D907" s="2" t="str">
        <f t="shared" si="13"/>
        <v>Error?</v>
      </c>
    </row>
    <row r="908" spans="1:4" x14ac:dyDescent="0.2">
      <c r="A908" s="5">
        <v>847</v>
      </c>
      <c r="B908" s="1832">
        <f>'Expenditures 15-22'!F53</f>
        <v>8589</v>
      </c>
      <c r="C908" s="2" t="s">
        <v>569</v>
      </c>
      <c r="D908" s="2" t="str">
        <f t="shared" si="13"/>
        <v>Error?</v>
      </c>
    </row>
    <row r="909" spans="1:4" x14ac:dyDescent="0.2">
      <c r="A909" s="5">
        <v>848</v>
      </c>
      <c r="B909" s="1832">
        <f>'Expenditures 15-22'!F55</f>
        <v>3439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3439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15235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15235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22569</v>
      </c>
      <c r="D925" s="2" t="str">
        <f t="shared" si="13"/>
        <v>Error?</v>
      </c>
    </row>
    <row r="926" spans="1:4" x14ac:dyDescent="0.2">
      <c r="A926" s="10">
        <v>865</v>
      </c>
      <c r="B926" s="1832"/>
      <c r="D926" s="2" t="str">
        <f t="shared" si="13"/>
        <v>OK</v>
      </c>
    </row>
    <row r="927" spans="1:4" x14ac:dyDescent="0.2">
      <c r="A927" s="5">
        <v>866</v>
      </c>
      <c r="B927" s="1832">
        <f>'Expenditures 15-22'!F72</f>
        <v>22569</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75118</v>
      </c>
      <c r="C929" s="2" t="s">
        <v>569</v>
      </c>
      <c r="D929" s="2" t="str">
        <f t="shared" si="13"/>
        <v>Error?</v>
      </c>
    </row>
    <row r="930" spans="1:4" x14ac:dyDescent="0.2">
      <c r="A930" s="5">
        <v>869</v>
      </c>
      <c r="B930" s="1832">
        <f>'Expenditures 15-22'!F75</f>
        <v>13</v>
      </c>
      <c r="D930" s="2" t="str">
        <f t="shared" si="13"/>
        <v>Error?</v>
      </c>
    </row>
    <row r="931" spans="1:4" x14ac:dyDescent="0.2">
      <c r="A931" s="5">
        <v>870</v>
      </c>
      <c r="B931" s="1832">
        <f>'Expenditures 15-22'!F114</f>
        <v>248339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2865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2865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198746</v>
      </c>
      <c r="D983" s="2" t="str">
        <f t="shared" si="14"/>
        <v>Error?</v>
      </c>
    </row>
    <row r="984" spans="1:4" x14ac:dyDescent="0.2">
      <c r="A984" s="10">
        <v>923</v>
      </c>
      <c r="B984" s="1832"/>
      <c r="D984" s="2" t="str">
        <f t="shared" si="14"/>
        <v>OK</v>
      </c>
    </row>
    <row r="985" spans="1:4" x14ac:dyDescent="0.2">
      <c r="A985" s="5">
        <v>924</v>
      </c>
      <c r="B985" s="1832">
        <f>'Expenditures 15-22'!G72</f>
        <v>198746</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198746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201611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358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5051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167436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8864</v>
      </c>
      <c r="D1022" s="2" t="str">
        <f t="shared" si="14"/>
        <v>Error?</v>
      </c>
    </row>
    <row r="1023" spans="1:4" x14ac:dyDescent="0.2">
      <c r="A1023" s="5">
        <v>962</v>
      </c>
      <c r="B1023" s="1832">
        <f>'Expenditures 15-22'!H50</f>
        <v>2183</v>
      </c>
      <c r="D1023" s="2" t="str">
        <f t="shared" ref="D1023:D1086" si="15">IF(ISBLANK(B1023),"OK",IF(A1023-B1023=0,"OK","Error?"))</f>
        <v>Error?</v>
      </c>
    </row>
    <row r="1024" spans="1:4" x14ac:dyDescent="0.2">
      <c r="A1024" s="5">
        <v>963</v>
      </c>
      <c r="B1024" s="1832">
        <f>'Expenditures 15-22'!H53</f>
        <v>11047</v>
      </c>
      <c r="C1024" s="2" t="s">
        <v>569</v>
      </c>
      <c r="D1024" s="2" t="str">
        <f t="shared" si="15"/>
        <v>Error?</v>
      </c>
    </row>
    <row r="1025" spans="1:4" x14ac:dyDescent="0.2">
      <c r="A1025" s="5">
        <v>964</v>
      </c>
      <c r="B1025" s="1832">
        <f>'Expenditures 15-22'!H55</f>
        <v>1325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1325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12372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1525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181333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3062511</v>
      </c>
      <c r="C1093" s="2" t="s">
        <v>569</v>
      </c>
      <c r="D1093" s="2" t="str">
        <f t="shared" si="16"/>
        <v>Error?</v>
      </c>
    </row>
    <row r="1094" spans="1:4" x14ac:dyDescent="0.2">
      <c r="A1094" s="5">
        <v>1033</v>
      </c>
      <c r="B1094" s="1832">
        <f>'Expenditures 15-22'!K16</f>
        <v>45538</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83133</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118288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5091270</v>
      </c>
      <c r="C1108" s="2" t="s">
        <v>569</v>
      </c>
      <c r="D1108" s="2" t="str">
        <f t="shared" si="16"/>
        <v>Error?</v>
      </c>
    </row>
    <row r="1109" spans="1:4" x14ac:dyDescent="0.2">
      <c r="A1109" s="5">
        <v>1048</v>
      </c>
      <c r="B1109" s="1832">
        <f>'Expenditures 15-22'!K36</f>
        <v>125021</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203933</v>
      </c>
      <c r="C1111" s="2" t="s">
        <v>569</v>
      </c>
      <c r="D1111" s="2" t="str">
        <f t="shared" si="16"/>
        <v>Error?</v>
      </c>
    </row>
    <row r="1112" spans="1:4" x14ac:dyDescent="0.2">
      <c r="A1112" s="5">
        <v>1051</v>
      </c>
      <c r="B1112" s="1832">
        <f>'Expenditures 15-22'!K39</f>
        <v>81032</v>
      </c>
      <c r="C1112" s="2" t="s">
        <v>569</v>
      </c>
      <c r="D1112" s="2" t="str">
        <f t="shared" si="16"/>
        <v>Error?</v>
      </c>
    </row>
    <row r="1113" spans="1:4" x14ac:dyDescent="0.2">
      <c r="A1113" s="5">
        <v>1052</v>
      </c>
      <c r="B1113" s="1832">
        <f>'Expenditures 15-22'!K40</f>
        <v>178848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588834</v>
      </c>
      <c r="C1115" s="2" t="s">
        <v>569</v>
      </c>
      <c r="D1115" s="2" t="str">
        <f t="shared" si="16"/>
        <v>Error?</v>
      </c>
    </row>
    <row r="1116" spans="1:4" x14ac:dyDescent="0.2">
      <c r="A1116" s="5">
        <v>1055</v>
      </c>
      <c r="B1116" s="1832">
        <f>'Expenditures 15-22'!K44</f>
        <v>60270</v>
      </c>
      <c r="C1116" s="2" t="s">
        <v>569</v>
      </c>
      <c r="D1116" s="2" t="str">
        <f t="shared" si="16"/>
        <v>Error?</v>
      </c>
    </row>
    <row r="1117" spans="1:4" x14ac:dyDescent="0.2">
      <c r="A1117" s="5">
        <v>1056</v>
      </c>
      <c r="B1117" s="1832">
        <f>'Expenditures 15-22'!K45</f>
        <v>123377</v>
      </c>
      <c r="C1117" s="2" t="s">
        <v>569</v>
      </c>
      <c r="D1117" s="2" t="str">
        <f t="shared" si="16"/>
        <v>Error?</v>
      </c>
    </row>
    <row r="1118" spans="1:4" x14ac:dyDescent="0.2">
      <c r="A1118" s="5">
        <v>1057</v>
      </c>
      <c r="B1118" s="1832">
        <f>'Expenditures 15-22'!K46</f>
        <v>15870</v>
      </c>
      <c r="C1118" s="2" t="s">
        <v>569</v>
      </c>
      <c r="D1118" s="2" t="str">
        <f t="shared" si="16"/>
        <v>Error?</v>
      </c>
    </row>
    <row r="1119" spans="1:4" x14ac:dyDescent="0.2">
      <c r="A1119" s="5">
        <v>1058</v>
      </c>
      <c r="B1119" s="1832">
        <f>'Expenditures 15-22'!K47</f>
        <v>199517</v>
      </c>
      <c r="C1119" s="2" t="s">
        <v>569</v>
      </c>
      <c r="D1119" s="2" t="str">
        <f t="shared" si="16"/>
        <v>Error?</v>
      </c>
    </row>
    <row r="1120" spans="1:4" x14ac:dyDescent="0.2">
      <c r="A1120" s="5">
        <v>1059</v>
      </c>
      <c r="B1120" s="1832">
        <f>'Expenditures 15-22'!K49</f>
        <v>158205</v>
      </c>
      <c r="C1120" s="2" t="s">
        <v>569</v>
      </c>
      <c r="D1120" s="2" t="str">
        <f t="shared" si="16"/>
        <v>Error?</v>
      </c>
    </row>
    <row r="1121" spans="1:4" x14ac:dyDescent="0.2">
      <c r="A1121" s="5">
        <v>1060</v>
      </c>
      <c r="B1121" s="1832">
        <f>'Expenditures 15-22'!K50</f>
        <v>290805</v>
      </c>
      <c r="C1121" s="2" t="s">
        <v>569</v>
      </c>
      <c r="D1121" s="2" t="str">
        <f t="shared" si="16"/>
        <v>Error?</v>
      </c>
    </row>
    <row r="1122" spans="1:4" x14ac:dyDescent="0.2">
      <c r="A1122" s="5">
        <v>1061</v>
      </c>
      <c r="B1122" s="1832">
        <f>'Expenditures 15-22'!K53</f>
        <v>615054</v>
      </c>
      <c r="C1122" s="2" t="s">
        <v>569</v>
      </c>
      <c r="D1122" s="2" t="str">
        <f t="shared" si="16"/>
        <v>Error?</v>
      </c>
    </row>
    <row r="1123" spans="1:4" x14ac:dyDescent="0.2">
      <c r="A1123" s="5">
        <v>1062</v>
      </c>
      <c r="B1123" s="1832">
        <f>'Expenditures 15-22'!K55</f>
        <v>589748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589748</v>
      </c>
      <c r="C1125" s="2" t="s">
        <v>569</v>
      </c>
      <c r="D1125" s="2" t="str">
        <f t="shared" si="16"/>
        <v>Error?</v>
      </c>
    </row>
    <row r="1126" spans="1:4" x14ac:dyDescent="0.2">
      <c r="A1126" s="5">
        <v>1065</v>
      </c>
      <c r="B1126" s="1832">
        <f>'Expenditures 15-22'!K59</f>
        <v>114051</v>
      </c>
      <c r="C1126" s="2" t="s">
        <v>569</v>
      </c>
      <c r="D1126" s="2" t="str">
        <f t="shared" si="16"/>
        <v>Error?</v>
      </c>
    </row>
    <row r="1127" spans="1:4" x14ac:dyDescent="0.2">
      <c r="A1127" s="5">
        <v>1066</v>
      </c>
      <c r="B1127" s="1832">
        <f>'Expenditures 15-22'!K60</f>
        <v>102255</v>
      </c>
      <c r="C1127" s="2" t="s">
        <v>569</v>
      </c>
      <c r="D1127" s="2" t="str">
        <f t="shared" si="16"/>
        <v>Error?</v>
      </c>
    </row>
    <row r="1128" spans="1:4" x14ac:dyDescent="0.2">
      <c r="A1128" s="5">
        <v>1067</v>
      </c>
      <c r="B1128" s="1832">
        <f>'Expenditures 15-22'!K61</f>
        <v>13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23568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239887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557324</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557324</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2790364</v>
      </c>
      <c r="C1143" s="2" t="s">
        <v>569</v>
      </c>
      <c r="D1143" s="2" t="str">
        <f t="shared" si="16"/>
        <v>Error?</v>
      </c>
    </row>
    <row r="1144" spans="1:4" x14ac:dyDescent="0.2">
      <c r="A1144" s="5">
        <v>1083</v>
      </c>
      <c r="B1144" s="1832">
        <f>'Expenditures 15-22'!K75</f>
        <v>33666</v>
      </c>
      <c r="C1144" s="2" t="s">
        <v>569</v>
      </c>
      <c r="D1144" s="2" t="str">
        <f t="shared" si="16"/>
        <v>Error?</v>
      </c>
    </row>
    <row r="1145" spans="1:4" x14ac:dyDescent="0.2">
      <c r="A1145" s="5">
        <v>1084</v>
      </c>
      <c r="B1145" s="1832">
        <f>'Expenditures 15-22'!K102</f>
        <v>1525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7916825</v>
      </c>
      <c r="C1152" s="2" t="s">
        <v>569</v>
      </c>
      <c r="D1152" s="2" t="str">
        <f t="shared" si="17"/>
        <v>Error?</v>
      </c>
    </row>
    <row r="1153" spans="1:4" x14ac:dyDescent="0.2">
      <c r="A1153" s="5">
        <v>1092</v>
      </c>
      <c r="B1153" s="1832">
        <f>'Expenditures 15-22'!K115</f>
        <v>463829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268066</v>
      </c>
      <c r="D1221" s="2" t="str">
        <f t="shared" si="18"/>
        <v>Error?</v>
      </c>
    </row>
    <row r="1222" spans="1:4" x14ac:dyDescent="0.2">
      <c r="A1222" s="10">
        <v>1161</v>
      </c>
      <c r="B1222" s="1832"/>
      <c r="D1222" s="2" t="str">
        <f t="shared" si="18"/>
        <v>OK</v>
      </c>
    </row>
    <row r="1223" spans="1:4" x14ac:dyDescent="0.2">
      <c r="A1223" s="5">
        <v>1162</v>
      </c>
      <c r="B1223" s="1832">
        <f>'Expenditures 15-22'!C127</f>
        <v>268066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268066</v>
      </c>
      <c r="C1225" s="2" t="s">
        <v>569</v>
      </c>
      <c r="D1225" s="2" t="str">
        <f t="shared" si="18"/>
        <v>Error?</v>
      </c>
    </row>
    <row r="1226" spans="1:4" x14ac:dyDescent="0.2">
      <c r="A1226" s="5">
        <v>1165</v>
      </c>
      <c r="B1226" s="1832">
        <f>'Expenditures 15-22'!C151</f>
        <v>268066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43763</v>
      </c>
      <c r="D1229" s="2" t="str">
        <f t="shared" si="18"/>
        <v>Error?</v>
      </c>
    </row>
    <row r="1230" spans="1:4" x14ac:dyDescent="0.2">
      <c r="A1230" s="10">
        <v>1169</v>
      </c>
      <c r="B1230" s="1832"/>
      <c r="D1230" s="2" t="str">
        <f t="shared" si="18"/>
        <v>OK</v>
      </c>
    </row>
    <row r="1231" spans="1:4" x14ac:dyDescent="0.2">
      <c r="A1231" s="5">
        <v>1170</v>
      </c>
      <c r="B1231" s="1832">
        <f>'Expenditures 15-22'!D127</f>
        <v>43763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43763</v>
      </c>
      <c r="C1233" s="2" t="s">
        <v>569</v>
      </c>
      <c r="D1233" s="2" t="str">
        <f t="shared" si="18"/>
        <v>Error?</v>
      </c>
    </row>
    <row r="1234" spans="1:4" x14ac:dyDescent="0.2">
      <c r="A1234" s="5">
        <v>1173</v>
      </c>
      <c r="B1234" s="1832">
        <f>'Expenditures 15-22'!D151</f>
        <v>43763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6375</v>
      </c>
      <c r="D1236" s="2" t="str">
        <f t="shared" si="18"/>
        <v>Error?</v>
      </c>
    </row>
    <row r="1237" spans="1:4" x14ac:dyDescent="0.2">
      <c r="A1237" s="5">
        <v>1176</v>
      </c>
      <c r="B1237" s="1832">
        <f>'Expenditures 15-22'!E124</f>
        <v>121659</v>
      </c>
      <c r="D1237" s="2" t="str">
        <f t="shared" si="18"/>
        <v>Error?</v>
      </c>
    </row>
    <row r="1238" spans="1:4" x14ac:dyDescent="0.2">
      <c r="A1238" s="10">
        <v>1177</v>
      </c>
      <c r="B1238" s="1832"/>
      <c r="D1238" s="2" t="str">
        <f t="shared" si="18"/>
        <v>OK</v>
      </c>
    </row>
    <row r="1239" spans="1:4" x14ac:dyDescent="0.2">
      <c r="A1239" s="5">
        <v>1178</v>
      </c>
      <c r="B1239" s="1832">
        <f>'Expenditures 15-22'!E127</f>
        <v>128034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128034</v>
      </c>
      <c r="C1241" s="2" t="s">
        <v>569</v>
      </c>
      <c r="D1241" s="2" t="str">
        <f t="shared" si="18"/>
        <v>Error?</v>
      </c>
    </row>
    <row r="1242" spans="1:4" x14ac:dyDescent="0.2">
      <c r="A1242" s="5">
        <v>1181</v>
      </c>
      <c r="B1242" s="1832">
        <f>'Expenditures 15-22'!E151</f>
        <v>128034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750</v>
      </c>
      <c r="D1244" s="2" t="str">
        <f t="shared" si="18"/>
        <v>Error?</v>
      </c>
    </row>
    <row r="1245" spans="1:4" x14ac:dyDescent="0.2">
      <c r="A1245" s="5">
        <v>1184</v>
      </c>
      <c r="B1245" s="1832">
        <f>'Expenditures 15-22'!F124</f>
        <v>172849</v>
      </c>
      <c r="D1245" s="2" t="str">
        <f t="shared" si="18"/>
        <v>Error?</v>
      </c>
    </row>
    <row r="1246" spans="1:4" x14ac:dyDescent="0.2">
      <c r="A1246" s="10">
        <v>1185</v>
      </c>
      <c r="B1246" s="1832"/>
      <c r="D1246" s="2" t="str">
        <f t="shared" si="18"/>
        <v>OK</v>
      </c>
    </row>
    <row r="1247" spans="1:4" x14ac:dyDescent="0.2">
      <c r="A1247" s="5">
        <v>1186</v>
      </c>
      <c r="B1247" s="1832">
        <f>'Expenditures 15-22'!F127</f>
        <v>173599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173599</v>
      </c>
      <c r="C1249" s="2" t="s">
        <v>569</v>
      </c>
      <c r="D1249" s="2" t="str">
        <f t="shared" si="18"/>
        <v>Error?</v>
      </c>
    </row>
    <row r="1250" spans="1:4" x14ac:dyDescent="0.2">
      <c r="A1250" s="5">
        <v>1189</v>
      </c>
      <c r="B1250" s="1832">
        <f>'Expenditures 15-22'!F151</f>
        <v>174276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70274</v>
      </c>
      <c r="D1252" s="2" t="str">
        <f t="shared" si="18"/>
        <v>Error?</v>
      </c>
    </row>
    <row r="1253" spans="1:4" x14ac:dyDescent="0.2">
      <c r="A1253" s="5">
        <v>1192</v>
      </c>
      <c r="B1253" s="1832">
        <f>'Expenditures 15-22'!G124</f>
        <v>5200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75474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75474</v>
      </c>
      <c r="C1258" s="2" t="s">
        <v>569</v>
      </c>
      <c r="D1258" s="2" t="str">
        <f t="shared" si="18"/>
        <v>Error?</v>
      </c>
    </row>
    <row r="1259" spans="1:4" x14ac:dyDescent="0.2">
      <c r="A1259" s="5">
        <v>1198</v>
      </c>
      <c r="B1259" s="1832">
        <f>'Expenditures 15-22'!G151</f>
        <v>75474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4734</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4734</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4734</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4734</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82133</v>
      </c>
      <c r="C1275" s="2" t="s">
        <v>569</v>
      </c>
      <c r="D1275" s="2" t="str">
        <f t="shared" si="18"/>
        <v>Error?</v>
      </c>
    </row>
    <row r="1276" spans="1:4" x14ac:dyDescent="0.2">
      <c r="A1276" s="5">
        <v>1215</v>
      </c>
      <c r="B1276" s="1832">
        <f>'Expenditures 15-22'!K124</f>
        <v>611537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693670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693670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694347</v>
      </c>
      <c r="C1288" s="2" t="s">
        <v>569</v>
      </c>
      <c r="D1288" s="2" t="str">
        <f t="shared" si="19"/>
        <v>Error?</v>
      </c>
    </row>
    <row r="1289" spans="1:4" x14ac:dyDescent="0.2">
      <c r="A1289" s="5">
        <v>1228</v>
      </c>
      <c r="B1289" s="1832">
        <f>'Expenditures 15-22'!K152</f>
        <v>111919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43100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840000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883100</v>
      </c>
      <c r="C1317" s="2" t="s">
        <v>569</v>
      </c>
      <c r="D1317" s="2" t="str">
        <f t="shared" si="19"/>
        <v>Error?</v>
      </c>
    </row>
    <row r="1318" spans="1:4" x14ac:dyDescent="0.2">
      <c r="A1318" s="5">
        <v>1257</v>
      </c>
      <c r="B1318" s="1832">
        <f>'Expenditures 15-22'!H174</f>
        <v>883100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43100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840000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883100</v>
      </c>
      <c r="C1331" s="2" t="s">
        <v>569</v>
      </c>
      <c r="D1331" s="2" t="str">
        <f t="shared" si="19"/>
        <v>Error?</v>
      </c>
    </row>
    <row r="1332" spans="1:4" x14ac:dyDescent="0.2">
      <c r="A1332" s="5">
        <v>1271</v>
      </c>
      <c r="B1332" s="1832">
        <f>'Expenditures 15-22'!K174</f>
        <v>883100</v>
      </c>
      <c r="C1332" s="2" t="s">
        <v>569</v>
      </c>
      <c r="D1332" s="2" t="str">
        <f t="shared" si="19"/>
        <v>Error?</v>
      </c>
    </row>
    <row r="1333" spans="1:4" x14ac:dyDescent="0.2">
      <c r="A1333" s="5">
        <v>1272</v>
      </c>
      <c r="B1333" s="1832">
        <f>'Expenditures 15-22'!K175</f>
        <v>50486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307888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307888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307888</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307888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307888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307888</v>
      </c>
      <c r="C1388" s="2" t="s">
        <v>569</v>
      </c>
      <c r="D1388" s="2" t="str">
        <f t="shared" si="20"/>
        <v>Error?</v>
      </c>
    </row>
    <row r="1389" spans="1:4" x14ac:dyDescent="0.2">
      <c r="A1389" s="5">
        <v>1328</v>
      </c>
      <c r="B1389" s="1832">
        <f>'Expenditures 15-22'!K211</f>
        <v>113896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660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887</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1953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155119</v>
      </c>
      <c r="C1410" s="2" t="s">
        <v>569</v>
      </c>
      <c r="D1410" s="2" t="str">
        <f t="shared" si="21"/>
        <v>Error?</v>
      </c>
    </row>
    <row r="1411" spans="1:4" x14ac:dyDescent="0.2">
      <c r="A1411" s="5">
        <v>1350</v>
      </c>
      <c r="B1411" s="1832">
        <f>'Expenditures 15-22'!D232</f>
        <v>1372</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26174</v>
      </c>
      <c r="D1413" s="2" t="str">
        <f t="shared" si="21"/>
        <v>Error?</v>
      </c>
    </row>
    <row r="1414" spans="1:4" x14ac:dyDescent="0.2">
      <c r="A1414" s="5">
        <v>1353</v>
      </c>
      <c r="B1414" s="1832">
        <f>'Expenditures 15-22'!D235</f>
        <v>777</v>
      </c>
      <c r="D1414" s="2" t="str">
        <f t="shared" si="21"/>
        <v>Error?</v>
      </c>
    </row>
    <row r="1415" spans="1:4" x14ac:dyDescent="0.2">
      <c r="A1415" s="5">
        <v>1354</v>
      </c>
      <c r="B1415" s="1832">
        <f>'Expenditures 15-22'!D236</f>
        <v>1913</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30236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5114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5114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12652</v>
      </c>
      <c r="D1423" s="2" t="str">
        <f t="shared" si="21"/>
        <v>Error?</v>
      </c>
    </row>
    <row r="1424" spans="1:4" x14ac:dyDescent="0.2">
      <c r="A1424" s="5">
        <v>1363</v>
      </c>
      <c r="B1424" s="1832">
        <f>'Expenditures 15-22'!D257</f>
        <v>16774</v>
      </c>
      <c r="C1424" s="2" t="s">
        <v>569</v>
      </c>
      <c r="D1424" s="2" t="str">
        <f t="shared" si="21"/>
        <v>Error?</v>
      </c>
    </row>
    <row r="1425" spans="1:4" x14ac:dyDescent="0.2">
      <c r="A1425" s="5">
        <v>1364</v>
      </c>
      <c r="B1425" s="1832">
        <f>'Expenditures 15-22'!D259</f>
        <v>31610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31610</v>
      </c>
      <c r="C1427" s="2" t="s">
        <v>569</v>
      </c>
      <c r="D1427" s="2" t="str">
        <f t="shared" si="21"/>
        <v>Error?</v>
      </c>
    </row>
    <row r="1428" spans="1:4" x14ac:dyDescent="0.2">
      <c r="A1428" s="5">
        <v>1367</v>
      </c>
      <c r="B1428" s="1832">
        <f>'Expenditures 15-22'!D263</f>
        <v>17329</v>
      </c>
      <c r="D1428" s="2" t="str">
        <f t="shared" si="21"/>
        <v>Error?</v>
      </c>
    </row>
    <row r="1429" spans="1:4" x14ac:dyDescent="0.2">
      <c r="A1429" s="5">
        <v>1368</v>
      </c>
      <c r="B1429" s="1832">
        <f>'Expenditures 15-22'!D264</f>
        <v>9705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52790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638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80462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11806</v>
      </c>
      <c r="D1442" s="2" t="str">
        <f t="shared" si="21"/>
        <v>Error?</v>
      </c>
    </row>
    <row r="1443" spans="1:4" x14ac:dyDescent="0.2">
      <c r="A1443" s="10">
        <v>1382</v>
      </c>
      <c r="B1443" s="1832"/>
      <c r="D1443" s="2" t="str">
        <f t="shared" si="21"/>
        <v>OK</v>
      </c>
    </row>
    <row r="1444" spans="1:4" x14ac:dyDescent="0.2">
      <c r="A1444" s="5">
        <v>1383</v>
      </c>
      <c r="B1444" s="1832">
        <f>'Expenditures 15-22'!D277</f>
        <v>11806</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176002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331121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660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887</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1953</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155119</v>
      </c>
      <c r="C1474" s="2" t="s">
        <v>569</v>
      </c>
      <c r="D1474" s="2" t="str">
        <f t="shared" si="22"/>
        <v>Error?</v>
      </c>
    </row>
    <row r="1475" spans="1:4" x14ac:dyDescent="0.2">
      <c r="A1475" s="5">
        <v>1414</v>
      </c>
      <c r="B1475" s="1832">
        <f>'Expenditures 15-22'!K232</f>
        <v>1372</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26174</v>
      </c>
      <c r="C1477" s="2" t="s">
        <v>569</v>
      </c>
      <c r="D1477" s="2" t="str">
        <f t="shared" si="22"/>
        <v>Error?</v>
      </c>
    </row>
    <row r="1478" spans="1:4" x14ac:dyDescent="0.2">
      <c r="A1478" s="5">
        <v>1417</v>
      </c>
      <c r="B1478" s="1832">
        <f>'Expenditures 15-22'!K235</f>
        <v>777</v>
      </c>
      <c r="C1478" s="2" t="s">
        <v>569</v>
      </c>
      <c r="D1478" s="2" t="str">
        <f t="shared" si="22"/>
        <v>Error?</v>
      </c>
    </row>
    <row r="1479" spans="1:4" x14ac:dyDescent="0.2">
      <c r="A1479" s="5">
        <v>1418</v>
      </c>
      <c r="B1479" s="1832">
        <f>'Expenditures 15-22'!K236</f>
        <v>1913</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30236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5114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5114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12652</v>
      </c>
      <c r="C1487" s="2" t="s">
        <v>569</v>
      </c>
      <c r="D1487" s="2" t="str">
        <f t="shared" si="22"/>
        <v>Error?</v>
      </c>
    </row>
    <row r="1488" spans="1:4" x14ac:dyDescent="0.2">
      <c r="A1488" s="5">
        <v>1427</v>
      </c>
      <c r="B1488" s="1832">
        <f>'Expenditures 15-22'!K257</f>
        <v>16774</v>
      </c>
      <c r="C1488" s="2" t="s">
        <v>569</v>
      </c>
      <c r="D1488" s="2" t="str">
        <f t="shared" si="22"/>
        <v>Error?</v>
      </c>
    </row>
    <row r="1489" spans="1:4" x14ac:dyDescent="0.2">
      <c r="A1489" s="5">
        <v>1428</v>
      </c>
      <c r="B1489" s="1832">
        <f>'Expenditures 15-22'!K259</f>
        <v>31610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31610</v>
      </c>
      <c r="C1491" s="2" t="s">
        <v>569</v>
      </c>
      <c r="D1491" s="2" t="str">
        <f t="shared" si="22"/>
        <v>Error?</v>
      </c>
    </row>
    <row r="1492" spans="1:4" x14ac:dyDescent="0.2">
      <c r="A1492" s="5">
        <v>1431</v>
      </c>
      <c r="B1492" s="1832">
        <f>'Expenditures 15-22'!K263</f>
        <v>17329</v>
      </c>
      <c r="C1492" s="2" t="s">
        <v>569</v>
      </c>
      <c r="D1492" s="2" t="str">
        <f t="shared" si="22"/>
        <v>Error?</v>
      </c>
    </row>
    <row r="1493" spans="1:4" x14ac:dyDescent="0.2">
      <c r="A1493" s="5">
        <v>1432</v>
      </c>
      <c r="B1493" s="1832">
        <f>'Expenditures 15-22'!K264</f>
        <v>9705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52790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638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80462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11806</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11806</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176002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331121</v>
      </c>
      <c r="C1517" s="2" t="s">
        <v>569</v>
      </c>
      <c r="D1517" s="2" t="str">
        <f t="shared" si="22"/>
        <v>Error?</v>
      </c>
    </row>
    <row r="1518" spans="1:4" x14ac:dyDescent="0.2">
      <c r="A1518" s="5">
        <v>1457</v>
      </c>
      <c r="B1518" s="1832">
        <f>'Expenditures 15-22'!K296</f>
        <v>12033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1032054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1032054</v>
      </c>
      <c r="C1547" s="2" t="s">
        <v>569</v>
      </c>
      <c r="D1547" s="2" t="str">
        <f t="shared" si="23"/>
        <v>Error?</v>
      </c>
    </row>
    <row r="1548" spans="1:4" x14ac:dyDescent="0.2">
      <c r="A1548" s="5">
        <v>1487</v>
      </c>
      <c r="B1548" s="1832">
        <f>'Expenditures 15-22'!G312</f>
        <v>1032054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1032054</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1032054</v>
      </c>
      <c r="C1559" s="2" t="s">
        <v>569</v>
      </c>
      <c r="D1559" s="2" t="str">
        <f t="shared" si="23"/>
        <v>Error?</v>
      </c>
    </row>
    <row r="1560" spans="1:4" x14ac:dyDescent="0.2">
      <c r="A1560" s="5">
        <v>1499</v>
      </c>
      <c r="B1560" s="1832">
        <f>'Expenditures 15-22'!K312</f>
        <v>1032054</v>
      </c>
      <c r="C1560" s="2" t="s">
        <v>569</v>
      </c>
      <c r="D1560" s="2" t="str">
        <f t="shared" si="23"/>
        <v>Error?</v>
      </c>
    </row>
    <row r="1561" spans="1:4" x14ac:dyDescent="0.2">
      <c r="A1561" s="5">
        <v>1500</v>
      </c>
      <c r="B1561" s="1832">
        <f>'Expenditures 15-22'!K313</f>
        <v>-1034454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6107197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6571026</v>
      </c>
      <c r="C1630" s="2" t="s">
        <v>569</v>
      </c>
      <c r="D1630" s="2" t="str">
        <f t="shared" si="24"/>
        <v>Error?</v>
      </c>
    </row>
    <row r="1631" spans="1:4" x14ac:dyDescent="0.2">
      <c r="A1631" s="5">
        <v>1570</v>
      </c>
      <c r="B1631" s="1832">
        <f>'Acct Summary 7-8'!D79</f>
        <v>754116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926035</v>
      </c>
      <c r="C1644" s="2" t="s">
        <v>569</v>
      </c>
      <c r="D1644" s="2" t="str">
        <f t="shared" si="24"/>
        <v>Error?</v>
      </c>
    </row>
    <row r="1645" spans="1:4" x14ac:dyDescent="0.2">
      <c r="A1645" s="5">
        <v>1584</v>
      </c>
      <c r="B1645" s="1832">
        <f>'Acct Summary 7-8'!E79</f>
        <v>671030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721516</v>
      </c>
      <c r="C1658" s="2" t="s">
        <v>569</v>
      </c>
      <c r="D1658" s="2" t="str">
        <f t="shared" si="24"/>
        <v>Error?</v>
      </c>
    </row>
    <row r="1659" spans="1:4" x14ac:dyDescent="0.2">
      <c r="A1659" s="5">
        <v>1598</v>
      </c>
      <c r="B1659" s="1832">
        <f>'Acct Summary 7-8'!F79</f>
        <v>535443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589339</v>
      </c>
      <c r="C1672" s="2" t="s">
        <v>569</v>
      </c>
      <c r="D1672" s="2" t="str">
        <f t="shared" si="25"/>
        <v>Error?</v>
      </c>
    </row>
    <row r="1673" spans="1:4" x14ac:dyDescent="0.2">
      <c r="A1673" s="5">
        <v>1612</v>
      </c>
      <c r="B1673" s="1832">
        <f>'Acct Summary 7-8'!G79</f>
        <v>248807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260840</v>
      </c>
      <c r="C1686" s="2" t="s">
        <v>569</v>
      </c>
      <c r="D1686" s="2" t="str">
        <f t="shared" si="25"/>
        <v>Error?</v>
      </c>
    </row>
    <row r="1687" spans="1:4" x14ac:dyDescent="0.2">
      <c r="A1687" s="5">
        <v>1626</v>
      </c>
      <c r="B1687" s="1832">
        <f>'Acct Summary 7-8'!H79</f>
        <v>170069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-64385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6500705</v>
      </c>
      <c r="C1744" s="2" t="s">
        <v>569</v>
      </c>
      <c r="D1744" s="2" t="str">
        <f t="shared" si="26"/>
        <v>Error?</v>
      </c>
    </row>
    <row r="1745" spans="1:5" x14ac:dyDescent="0.2">
      <c r="A1745" s="5">
        <v>1684</v>
      </c>
      <c r="B1745" s="1832">
        <f>'Tax Sched 23'!B5</f>
        <v>720232</v>
      </c>
      <c r="C1745" s="2" t="s">
        <v>569</v>
      </c>
      <c r="D1745" s="2" t="str">
        <f t="shared" si="26"/>
        <v>Error?</v>
      </c>
    </row>
    <row r="1746" spans="1:5" x14ac:dyDescent="0.2">
      <c r="A1746" s="5">
        <v>1685</v>
      </c>
      <c r="B1746" s="1832">
        <f>'Tax Sched 23'!B6</f>
        <v>915066</v>
      </c>
      <c r="C1746" s="2" t="s">
        <v>569</v>
      </c>
      <c r="D1746" s="2" t="str">
        <f t="shared" si="26"/>
        <v>Error?</v>
      </c>
    </row>
    <row r="1747" spans="1:5" x14ac:dyDescent="0.2">
      <c r="A1747" s="5">
        <v>1686</v>
      </c>
      <c r="B1747" s="1832">
        <f>'Tax Sched 23'!B7</f>
        <v>300496</v>
      </c>
      <c r="C1747" s="2" t="s">
        <v>569</v>
      </c>
      <c r="D1747" s="2" t="str">
        <f t="shared" si="26"/>
        <v>Error?</v>
      </c>
    </row>
    <row r="1748" spans="1:5" x14ac:dyDescent="0.2">
      <c r="A1748" s="5">
        <v>1687</v>
      </c>
      <c r="B1748" s="1832">
        <f>'Tax Sched 23'!B8</f>
        <v>154665</v>
      </c>
      <c r="C1748" s="2" t="s">
        <v>569</v>
      </c>
      <c r="D1748" s="2" t="str">
        <f t="shared" si="26"/>
        <v>Error?</v>
      </c>
    </row>
    <row r="1749" spans="1:5" x14ac:dyDescent="0.2">
      <c r="A1749" s="5">
        <v>1688</v>
      </c>
      <c r="B1749" s="1832">
        <f>'Tax Sched 23'!B10</f>
        <v>1213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1213</v>
      </c>
      <c r="C1753" s="2" t="s">
        <v>569</v>
      </c>
      <c r="D1753" s="2" t="str">
        <f t="shared" si="26"/>
        <v>Error?</v>
      </c>
    </row>
    <row r="1754" spans="1:5" x14ac:dyDescent="0.2">
      <c r="A1754" s="5">
        <v>1693</v>
      </c>
      <c r="B1754" s="1832">
        <f>'Tax Sched 23'!B14</f>
        <v>212054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8985786</v>
      </c>
      <c r="C1759" s="2" t="s">
        <v>569</v>
      </c>
      <c r="D1759" s="2" t="str">
        <f t="shared" si="26"/>
        <v>Error?</v>
      </c>
    </row>
    <row r="1760" spans="1:5" x14ac:dyDescent="0.2">
      <c r="A1760" s="5">
        <v>1699</v>
      </c>
      <c r="B1760" s="1832">
        <f>'Tax Sched 23'!D4</f>
        <v>6500705</v>
      </c>
      <c r="C1760" s="2" t="s">
        <v>569</v>
      </c>
      <c r="D1760" s="2" t="str">
        <f t="shared" si="26"/>
        <v>Error?</v>
      </c>
    </row>
    <row r="1761" spans="1:7" x14ac:dyDescent="0.2">
      <c r="A1761" s="5">
        <v>1700</v>
      </c>
      <c r="B1761" s="1832">
        <f>'Tax Sched 23'!D5</f>
        <v>720232</v>
      </c>
      <c r="C1761" s="2" t="s">
        <v>569</v>
      </c>
      <c r="D1761" s="2" t="str">
        <f t="shared" si="26"/>
        <v>Error?</v>
      </c>
    </row>
    <row r="1762" spans="1:7" s="8" customFormat="1" x14ac:dyDescent="0.2">
      <c r="A1762" s="5">
        <v>1701</v>
      </c>
      <c r="B1762" s="1832">
        <f>'Tax Sched 23'!D6</f>
        <v>915066</v>
      </c>
      <c r="C1762" s="2" t="s">
        <v>569</v>
      </c>
      <c r="D1762" s="2" t="str">
        <f t="shared" si="26"/>
        <v>Error?</v>
      </c>
      <c r="E1762" s="9"/>
      <c r="G1762"/>
    </row>
    <row r="1763" spans="1:7" x14ac:dyDescent="0.2">
      <c r="A1763" s="5">
        <v>1702</v>
      </c>
      <c r="B1763" s="1832">
        <f>'Tax Sched 23'!D7</f>
        <v>300496</v>
      </c>
      <c r="C1763" s="2" t="s">
        <v>569</v>
      </c>
      <c r="D1763" s="2" t="str">
        <f t="shared" si="26"/>
        <v>Error?</v>
      </c>
    </row>
    <row r="1764" spans="1:7" x14ac:dyDescent="0.2">
      <c r="A1764" s="5">
        <v>1703</v>
      </c>
      <c r="B1764" s="1832">
        <f>'Tax Sched 23'!D8</f>
        <v>154665</v>
      </c>
      <c r="C1764" s="2" t="s">
        <v>569</v>
      </c>
      <c r="D1764" s="2" t="str">
        <f t="shared" si="26"/>
        <v>Error?</v>
      </c>
    </row>
    <row r="1765" spans="1:7" x14ac:dyDescent="0.2">
      <c r="A1765" s="5">
        <v>1704</v>
      </c>
      <c r="B1765" s="1832">
        <f>'Tax Sched 23'!D10</f>
        <v>1213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1213</v>
      </c>
      <c r="C1769" s="2" t="s">
        <v>569</v>
      </c>
      <c r="D1769" s="2" t="str">
        <f t="shared" si="26"/>
        <v>Error?</v>
      </c>
    </row>
    <row r="1770" spans="1:7" x14ac:dyDescent="0.2">
      <c r="A1770" s="5">
        <v>1709</v>
      </c>
      <c r="B1770" s="1832">
        <f>'Tax Sched 23'!D14</f>
        <v>212054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8985786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2575000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58959</v>
      </c>
      <c r="D2008" s="2" t="str">
        <f t="shared" si="30"/>
        <v>Error?</v>
      </c>
    </row>
    <row r="2009" spans="1:4" x14ac:dyDescent="0.2">
      <c r="A2009" s="5">
        <v>1948</v>
      </c>
      <c r="B2009" s="1832">
        <f>'Cap Outlay Deprec 26'!C8</f>
        <v>22882210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4312397</v>
      </c>
      <c r="D2012" s="2" t="str">
        <f t="shared" si="30"/>
        <v>Error?</v>
      </c>
    </row>
    <row r="2013" spans="1:4" x14ac:dyDescent="0.2">
      <c r="A2013" s="5">
        <v>1952</v>
      </c>
      <c r="B2013" s="1832">
        <f>'Cap Outlay Deprec 26'!C16</f>
        <v>27253566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1076330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232809</v>
      </c>
      <c r="D2018" s="2" t="str">
        <f t="shared" si="30"/>
        <v>Error?</v>
      </c>
    </row>
    <row r="2019" spans="1:4" x14ac:dyDescent="0.2">
      <c r="A2019" s="5">
        <v>1958</v>
      </c>
      <c r="B2019" s="1832">
        <f>'Cap Outlay Deprec 26'!D16</f>
        <v>1309139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58959</v>
      </c>
      <c r="C2026" s="2" t="s">
        <v>569</v>
      </c>
      <c r="D2026" s="2" t="str">
        <f t="shared" si="30"/>
        <v>Error?</v>
      </c>
    </row>
    <row r="2027" spans="1:4" x14ac:dyDescent="0.2">
      <c r="A2027" s="5">
        <v>1966</v>
      </c>
      <c r="B2027" s="1832">
        <f>'Cap Outlay Deprec 26'!F8</f>
        <v>23958540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4545206</v>
      </c>
      <c r="C2030" s="2" t="s">
        <v>569</v>
      </c>
      <c r="D2030" s="2" t="str">
        <f t="shared" si="30"/>
        <v>Error?</v>
      </c>
    </row>
    <row r="2031" spans="1:4" x14ac:dyDescent="0.2">
      <c r="A2031" s="5">
        <v>1970</v>
      </c>
      <c r="B2031" s="1832">
        <f>'Cap Outlay Deprec 26'!F16</f>
        <v>28562705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12174205</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4184554</v>
      </c>
      <c r="D2036" s="2" t="str">
        <f t="shared" si="30"/>
        <v>Error?</v>
      </c>
    </row>
    <row r="2037" spans="1:4" x14ac:dyDescent="0.2">
      <c r="A2037" s="5">
        <v>1976</v>
      </c>
      <c r="B2037" s="1832">
        <f>'Cap Outlay Deprec 26'!H16</f>
        <v>16358759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464016</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345705</v>
      </c>
      <c r="D2042" s="2" t="str">
        <f t="shared" si="30"/>
        <v>Error?</v>
      </c>
    </row>
    <row r="2043" spans="1:4" x14ac:dyDescent="0.2">
      <c r="A2043" s="5">
        <v>1982</v>
      </c>
      <c r="B2043" s="1832">
        <f>'Cap Outlay Deprec 26'!I16</f>
        <v>809721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12638221</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4530259</v>
      </c>
      <c r="C2054" s="2" t="s">
        <v>569</v>
      </c>
      <c r="D2054" s="2" t="str">
        <f t="shared" si="31"/>
        <v>Error?</v>
      </c>
    </row>
    <row r="2055" spans="1:4" x14ac:dyDescent="0.2">
      <c r="A2055" s="5">
        <v>1994</v>
      </c>
      <c r="B2055" s="1832">
        <f>'Cap Outlay Deprec 26'!K16</f>
        <v>17168480</v>
      </c>
      <c r="C2055" s="2" t="s">
        <v>569</v>
      </c>
      <c r="D2055" s="2" t="str">
        <f t="shared" si="31"/>
        <v>Error?</v>
      </c>
    </row>
    <row r="2056" spans="1:4" x14ac:dyDescent="0.2">
      <c r="A2056" s="5">
        <v>1995</v>
      </c>
      <c r="B2056" s="1832">
        <f>'Cap Outlay Deprec 26'!L5</f>
        <v>58959</v>
      </c>
      <c r="C2056" s="2" t="s">
        <v>569</v>
      </c>
      <c r="D2056" s="2" t="str">
        <f t="shared" si="31"/>
        <v>Error?</v>
      </c>
    </row>
    <row r="2057" spans="1:4" x14ac:dyDescent="0.2">
      <c r="A2057" s="5">
        <v>1996</v>
      </c>
      <c r="B2057" s="1832">
        <f>'Cap Outlay Deprec 26'!L8</f>
        <v>11320319</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14947</v>
      </c>
      <c r="C2060" s="2" t="s">
        <v>569</v>
      </c>
      <c r="D2060" s="2" t="str">
        <f t="shared" si="31"/>
        <v>Error?</v>
      </c>
    </row>
    <row r="2061" spans="1:4" x14ac:dyDescent="0.2">
      <c r="A2061" s="5">
        <v>2000</v>
      </c>
      <c r="B2061" s="1832">
        <f>'Cap Outlay Deprec 26'!L16</f>
        <v>11394225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1525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1525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800000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926035</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589339</v>
      </c>
      <c r="D2475" s="2" t="str">
        <f t="shared" si="37"/>
        <v>Error?</v>
      </c>
    </row>
    <row r="2476" spans="1:4" x14ac:dyDescent="0.2">
      <c r="A2476" s="10">
        <v>2415</v>
      </c>
      <c r="B2476" s="1832"/>
      <c r="D2476" s="2" t="str">
        <f t="shared" si="37"/>
        <v>OK</v>
      </c>
    </row>
    <row r="2477" spans="1:4" x14ac:dyDescent="0.2">
      <c r="A2477" s="5">
        <v>2416</v>
      </c>
      <c r="B2477" s="1832">
        <f>'Assets-Liab 5-6'!G38</f>
        <v>260840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721516</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-64385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7339864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666543</v>
      </c>
      <c r="C2553" s="2" t="s">
        <v>569</v>
      </c>
      <c r="D2553" s="2" t="str">
        <f t="shared" si="38"/>
        <v>Error?</v>
      </c>
    </row>
    <row r="2554" spans="1:4" x14ac:dyDescent="0.2">
      <c r="A2554" s="5">
        <v>2493</v>
      </c>
      <c r="B2554" s="1832">
        <f>'Acct Summary 7-8'!C7</f>
        <v>374247</v>
      </c>
      <c r="C2554" s="2" t="s">
        <v>569</v>
      </c>
      <c r="D2554" s="2" t="str">
        <f t="shared" si="38"/>
        <v>Error?</v>
      </c>
    </row>
    <row r="2555" spans="1:4" x14ac:dyDescent="0.2">
      <c r="A2555" s="5">
        <v>2494</v>
      </c>
      <c r="B2555" s="1832">
        <f>'Acct Summary 7-8'!C8</f>
        <v>8380654</v>
      </c>
      <c r="C2555" s="2" t="s">
        <v>569</v>
      </c>
      <c r="D2555" s="2" t="str">
        <f t="shared" si="38"/>
        <v>Error?</v>
      </c>
    </row>
    <row r="2556" spans="1:4" x14ac:dyDescent="0.2">
      <c r="A2556" s="5">
        <v>2495</v>
      </c>
      <c r="B2556" s="1832">
        <f>'Acct Summary 7-8'!C12</f>
        <v>5091270</v>
      </c>
      <c r="C2556" s="2" t="s">
        <v>569</v>
      </c>
      <c r="D2556" s="2" t="str">
        <f t="shared" si="38"/>
        <v>Error?</v>
      </c>
    </row>
    <row r="2557" spans="1:4" x14ac:dyDescent="0.2">
      <c r="A2557" s="5">
        <v>2496</v>
      </c>
      <c r="B2557" s="1832">
        <f>'Acct Summary 7-8'!C13</f>
        <v>2790364</v>
      </c>
      <c r="C2557" s="2" t="s">
        <v>569</v>
      </c>
      <c r="D2557" s="2" t="str">
        <f t="shared" si="38"/>
        <v>Error?</v>
      </c>
    </row>
    <row r="2558" spans="1:4" x14ac:dyDescent="0.2">
      <c r="A2558" s="5">
        <v>2497</v>
      </c>
      <c r="B2558" s="1832">
        <f>'Acct Summary 7-8'!C14</f>
        <v>33666</v>
      </c>
      <c r="C2558" s="2" t="s">
        <v>569</v>
      </c>
      <c r="D2558" s="2" t="str">
        <f t="shared" si="38"/>
        <v>Error?</v>
      </c>
    </row>
    <row r="2559" spans="1:4" x14ac:dyDescent="0.2">
      <c r="A2559" s="5">
        <v>2498</v>
      </c>
      <c r="B2559" s="1832">
        <f>'Acct Summary 7-8'!C15</f>
        <v>1525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7916825</v>
      </c>
      <c r="C2561" s="2" t="s">
        <v>569</v>
      </c>
      <c r="D2561" s="2" t="str">
        <f t="shared" si="39"/>
        <v>Error?</v>
      </c>
    </row>
    <row r="2562" spans="1:4" x14ac:dyDescent="0.2">
      <c r="A2562" s="5">
        <v>2501</v>
      </c>
      <c r="B2562" s="1832">
        <f>'Acct Summary 7-8'!C20</f>
        <v>463829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756266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806266</v>
      </c>
      <c r="C2568" s="2" t="s">
        <v>569</v>
      </c>
      <c r="D2568" s="2" t="str">
        <f t="shared" si="39"/>
        <v>Error?</v>
      </c>
    </row>
    <row r="2569" spans="1:4" x14ac:dyDescent="0.2">
      <c r="A2569" s="5">
        <v>2508</v>
      </c>
      <c r="B2569" s="1832">
        <f>'Acct Summary 7-8'!D13</f>
        <v>693670</v>
      </c>
      <c r="C2569" s="2" t="s">
        <v>569</v>
      </c>
      <c r="D2569" s="2" t="str">
        <f t="shared" si="39"/>
        <v>Error?</v>
      </c>
    </row>
    <row r="2570" spans="1:4" x14ac:dyDescent="0.2">
      <c r="A2570" s="5">
        <v>2509</v>
      </c>
      <c r="B2570" s="1832">
        <f>'Acct Summary 7-8'!D14</f>
        <v>677</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694347</v>
      </c>
      <c r="C2573" s="2" t="s">
        <v>569</v>
      </c>
      <c r="D2573" s="2" t="str">
        <f t="shared" si="39"/>
        <v>Error?</v>
      </c>
    </row>
    <row r="2574" spans="1:4" x14ac:dyDescent="0.2">
      <c r="A2574" s="5">
        <v>2513</v>
      </c>
      <c r="B2574" s="1832">
        <f>'Acct Summary 7-8'!D20</f>
        <v>111919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324336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97448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421784</v>
      </c>
      <c r="C2595" s="2" t="s">
        <v>569</v>
      </c>
      <c r="D2595" s="2" t="str">
        <f t="shared" si="39"/>
        <v>Error?</v>
      </c>
    </row>
    <row r="2596" spans="1:4" x14ac:dyDescent="0.2">
      <c r="A2596" s="5">
        <v>2535</v>
      </c>
      <c r="B2596" s="1832">
        <f>'Acct Summary 7-8'!F13</f>
        <v>307888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307888</v>
      </c>
      <c r="C2600" s="2" t="s">
        <v>569</v>
      </c>
      <c r="D2600" s="2" t="str">
        <f t="shared" si="39"/>
        <v>Error?</v>
      </c>
    </row>
    <row r="2601" spans="1:4" x14ac:dyDescent="0.2">
      <c r="A2601" s="5">
        <v>2540</v>
      </c>
      <c r="B2601" s="1832">
        <f>'Acct Summary 7-8'!F20</f>
        <v>113896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343154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343154</v>
      </c>
      <c r="C2606" s="2" t="s">
        <v>569</v>
      </c>
      <c r="D2606" s="2" t="str">
        <f t="shared" si="39"/>
        <v>Error?</v>
      </c>
    </row>
    <row r="2607" spans="1:4" x14ac:dyDescent="0.2">
      <c r="A2607" s="5">
        <v>2546</v>
      </c>
      <c r="B2607" s="1832">
        <f>'Acct Summary 7-8'!G12</f>
        <v>155119</v>
      </c>
      <c r="C2607" s="2" t="s">
        <v>569</v>
      </c>
      <c r="D2607" s="2" t="str">
        <f t="shared" si="39"/>
        <v>Error?</v>
      </c>
    </row>
    <row r="2608" spans="1:4" x14ac:dyDescent="0.2">
      <c r="A2608" s="5">
        <v>2547</v>
      </c>
      <c r="B2608" s="1832">
        <f>'Acct Summary 7-8'!G13</f>
        <v>176002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331121</v>
      </c>
      <c r="C2612" s="2" t="s">
        <v>569</v>
      </c>
      <c r="D2612" s="2" t="str">
        <f t="shared" si="39"/>
        <v>Error?</v>
      </c>
    </row>
    <row r="2613" spans="1:4" x14ac:dyDescent="0.2">
      <c r="A2613" s="5">
        <v>2552</v>
      </c>
      <c r="B2613" s="1832">
        <f>'Acct Summary 7-8'!G20</f>
        <v>12033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933586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933586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883100</v>
      </c>
      <c r="C2634" s="2" t="s">
        <v>569</v>
      </c>
      <c r="D2634" s="2" t="str">
        <f t="shared" si="40"/>
        <v>Error?</v>
      </c>
    </row>
    <row r="2635" spans="1:4" x14ac:dyDescent="0.2">
      <c r="A2635" s="5">
        <v>2574</v>
      </c>
      <c r="B2635" s="1832">
        <f>'Acct Summary 7-8'!E17</f>
        <v>883100</v>
      </c>
      <c r="C2635" s="2" t="s">
        <v>569</v>
      </c>
      <c r="D2635" s="2" t="str">
        <f t="shared" si="40"/>
        <v>Error?</v>
      </c>
    </row>
    <row r="2636" spans="1:4" x14ac:dyDescent="0.2">
      <c r="A2636" s="5">
        <v>2575</v>
      </c>
      <c r="B2636" s="1832">
        <f>'Acct Summary 7-8'!E20</f>
        <v>50486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-2400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-2400</v>
      </c>
      <c r="C2658" s="2" t="s">
        <v>569</v>
      </c>
      <c r="D2658" s="2" t="str">
        <f t="shared" si="40"/>
        <v>Error?</v>
      </c>
    </row>
    <row r="2659" spans="1:4" x14ac:dyDescent="0.2">
      <c r="A2659" s="5">
        <v>2598</v>
      </c>
      <c r="B2659" s="1832">
        <f>'Acct Summary 7-8'!H13</f>
        <v>1032054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1032054</v>
      </c>
      <c r="C2661" s="2" t="s">
        <v>569</v>
      </c>
      <c r="D2661" s="2" t="str">
        <f t="shared" si="40"/>
        <v>Error?</v>
      </c>
    </row>
    <row r="2662" spans="1:4" x14ac:dyDescent="0.2">
      <c r="A2662" s="5">
        <v>2601</v>
      </c>
      <c r="B2662" s="1832">
        <f>'Acct Summary 7-8'!H20</f>
        <v>-1034454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135849</v>
      </c>
      <c r="D2718" s="2" t="str">
        <f t="shared" si="41"/>
        <v>Error?</v>
      </c>
    </row>
    <row r="2719" spans="1:4" x14ac:dyDescent="0.2">
      <c r="A2719" s="5">
        <v>2658</v>
      </c>
      <c r="B2719" s="1832">
        <f>'Expenditures 15-22'!D51</f>
        <v>27861</v>
      </c>
      <c r="D2719" s="2" t="str">
        <f t="shared" si="41"/>
        <v>Error?</v>
      </c>
    </row>
    <row r="2720" spans="1:4" x14ac:dyDescent="0.2">
      <c r="A2720" s="5">
        <v>2659</v>
      </c>
      <c r="B2720" s="1832">
        <f>'Expenditures 15-22'!E51</f>
        <v>2334</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166044</v>
      </c>
      <c r="C2724" s="2" t="s">
        <v>569</v>
      </c>
      <c r="D2724" s="2" t="str">
        <f t="shared" si="41"/>
        <v>Error?</v>
      </c>
    </row>
    <row r="2725" spans="1:4" x14ac:dyDescent="0.2">
      <c r="A2725" s="5">
        <v>2664</v>
      </c>
      <c r="B2725" s="1832">
        <f>'Expenditures 15-22'!D247</f>
        <v>4122</v>
      </c>
      <c r="D2725" s="2" t="str">
        <f t="shared" si="41"/>
        <v>Error?</v>
      </c>
    </row>
    <row r="2726" spans="1:4" x14ac:dyDescent="0.2">
      <c r="A2726" s="5">
        <v>2665</v>
      </c>
      <c r="B2726" s="1832">
        <f>'Expenditures 15-22'!K247</f>
        <v>4122</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677</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677</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2157710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14081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2157710</v>
      </c>
      <c r="D2912" s="2" t="str">
        <f t="shared" si="44"/>
        <v>Error?</v>
      </c>
    </row>
    <row r="2913" spans="1:4" x14ac:dyDescent="0.2">
      <c r="A2913" s="5">
        <v>2852</v>
      </c>
      <c r="B2913" s="1832">
        <f>'Assets-Liab 5-6'!I41</f>
        <v>2157710</v>
      </c>
      <c r="C2913" s="2" t="s">
        <v>569</v>
      </c>
      <c r="D2913" s="2" t="str">
        <f t="shared" si="44"/>
        <v>Error?</v>
      </c>
    </row>
    <row r="2914" spans="1:4" x14ac:dyDescent="0.2">
      <c r="A2914" s="5">
        <v>2853</v>
      </c>
      <c r="B2914" s="1832">
        <f>'Assets-Liab 5-6'!L33</f>
        <v>14081</v>
      </c>
      <c r="D2914" s="2" t="str">
        <f t="shared" si="44"/>
        <v>Error?</v>
      </c>
    </row>
    <row r="2915" spans="1:4" x14ac:dyDescent="0.2">
      <c r="A2915" s="10">
        <v>2854</v>
      </c>
      <c r="B2915" s="1832"/>
      <c r="D2915" s="2" t="str">
        <f t="shared" si="44"/>
        <v>OK</v>
      </c>
    </row>
    <row r="2916" spans="1:4" x14ac:dyDescent="0.2">
      <c r="A2916" s="5">
        <v>2855</v>
      </c>
      <c r="B2916" s="1832">
        <f>'Assets-Liab 5-6'!L34</f>
        <v>14081</v>
      </c>
      <c r="C2916" s="2" t="s">
        <v>569</v>
      </c>
      <c r="D2916" s="2" t="str">
        <f t="shared" si="44"/>
        <v>Error?</v>
      </c>
    </row>
    <row r="2917" spans="1:4" x14ac:dyDescent="0.2">
      <c r="A2917" s="5">
        <v>2856</v>
      </c>
      <c r="B2917" s="1832">
        <f>'Assets-Liab 5-6'!L41</f>
        <v>14081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1525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1525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78872</v>
      </c>
      <c r="D3055" s="2" t="str">
        <f t="shared" si="46"/>
        <v>Error?</v>
      </c>
    </row>
    <row r="3056" spans="1:4" x14ac:dyDescent="0.2">
      <c r="A3056" s="5">
        <v>2995</v>
      </c>
      <c r="B3056" s="1832">
        <f>'Expenditures 15-22'!D10</f>
        <v>26400</v>
      </c>
      <c r="D3056" s="2" t="str">
        <f t="shared" si="46"/>
        <v>Error?</v>
      </c>
    </row>
    <row r="3057" spans="1:4" x14ac:dyDescent="0.2">
      <c r="A3057" s="5">
        <v>2996</v>
      </c>
      <c r="B3057" s="1832">
        <f>'Expenditures 15-22'!E10</f>
        <v>4321</v>
      </c>
      <c r="D3057" s="2" t="str">
        <f t="shared" si="46"/>
        <v>Error?</v>
      </c>
    </row>
    <row r="3058" spans="1:4" x14ac:dyDescent="0.2">
      <c r="A3058" s="5">
        <v>2997</v>
      </c>
      <c r="B3058" s="1832">
        <f>'Expenditures 15-22'!F10</f>
        <v>80028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189621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5042</v>
      </c>
      <c r="D3064" s="2" t="str">
        <f t="shared" si="46"/>
        <v>Error?</v>
      </c>
    </row>
    <row r="3065" spans="1:4" x14ac:dyDescent="0.2">
      <c r="A3065" s="5">
        <v>3004</v>
      </c>
      <c r="B3065" s="1832">
        <f>'Expenditures 15-22'!K219</f>
        <v>5042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59812</v>
      </c>
      <c r="C3225" s="2" t="s">
        <v>569</v>
      </c>
      <c r="D3225" s="2" t="str">
        <f t="shared" si="49"/>
        <v>Error?</v>
      </c>
    </row>
    <row r="3226" spans="1:4" x14ac:dyDescent="0.2">
      <c r="A3226" s="5">
        <v>3165</v>
      </c>
      <c r="B3226" s="1832">
        <f>'Acct Summary 7-8'!I8</f>
        <v>59812</v>
      </c>
      <c r="C3226" s="2" t="s">
        <v>569</v>
      </c>
      <c r="D3226" s="2" t="str">
        <f t="shared" si="49"/>
        <v>Error?</v>
      </c>
    </row>
    <row r="3227" spans="1:4" x14ac:dyDescent="0.2">
      <c r="A3227" s="5">
        <v>3166</v>
      </c>
      <c r="B3227" s="1832">
        <f>'Acct Summary 7-8'!I20</f>
        <v>59812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463829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60000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60000</v>
      </c>
      <c r="C3238" s="2" t="s">
        <v>569</v>
      </c>
      <c r="D3238" s="2" t="str">
        <f t="shared" si="49"/>
        <v>Error?</v>
      </c>
    </row>
    <row r="3239" spans="1:4" x14ac:dyDescent="0.2">
      <c r="A3239" s="5">
        <v>3178</v>
      </c>
      <c r="B3239" s="1832">
        <f>'Acct Summary 7-8'!D78</f>
        <v>171919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60000</v>
      </c>
      <c r="C3254" s="2" t="s">
        <v>569</v>
      </c>
      <c r="D3254" s="2" t="str">
        <f t="shared" si="49"/>
        <v>Error?</v>
      </c>
    </row>
    <row r="3255" spans="1:4" x14ac:dyDescent="0.2">
      <c r="A3255" s="5">
        <v>3194</v>
      </c>
      <c r="B3255" s="1832">
        <f>'Acct Summary 7-8'!F77</f>
        <v>-60000</v>
      </c>
      <c r="C3255" s="2" t="s">
        <v>569</v>
      </c>
      <c r="D3255" s="2" t="str">
        <f t="shared" si="49"/>
        <v>Error?</v>
      </c>
    </row>
    <row r="3256" spans="1:4" x14ac:dyDescent="0.2">
      <c r="A3256" s="5">
        <v>3195</v>
      </c>
      <c r="B3256" s="1832">
        <f>'Acct Summary 7-8'!F78</f>
        <v>53896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12033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50486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800000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800000</v>
      </c>
      <c r="C3299" s="2" t="s">
        <v>569</v>
      </c>
      <c r="D3299" s="2" t="str">
        <f t="shared" si="50"/>
        <v>Error?</v>
      </c>
    </row>
    <row r="3300" spans="1:4" x14ac:dyDescent="0.2">
      <c r="A3300" s="5">
        <v>3239</v>
      </c>
      <c r="B3300" s="1832">
        <f>'Acct Summary 7-8'!H78</f>
        <v>-234454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800000</v>
      </c>
      <c r="C3318" s="2" t="s">
        <v>569</v>
      </c>
      <c r="D3318" s="2" t="str">
        <f t="shared" si="50"/>
        <v>Error?</v>
      </c>
    </row>
    <row r="3319" spans="1:4" x14ac:dyDescent="0.2">
      <c r="A3319" s="5">
        <v>3258</v>
      </c>
      <c r="B3319" s="1832">
        <f>'Acct Summary 7-8'!I77</f>
        <v>-800000</v>
      </c>
      <c r="C3319" s="2" t="s">
        <v>569</v>
      </c>
      <c r="D3319" s="2" t="str">
        <f t="shared" si="50"/>
        <v>Error?</v>
      </c>
    </row>
    <row r="3320" spans="1:4" x14ac:dyDescent="0.2">
      <c r="A3320" s="5">
        <v>3259</v>
      </c>
      <c r="B3320" s="1832">
        <f>'Acct Summary 7-8'!I78</f>
        <v>-740188</v>
      </c>
      <c r="C3320" s="2" t="s">
        <v>569</v>
      </c>
      <c r="D3320" s="2" t="str">
        <f t="shared" si="50"/>
        <v>Error?</v>
      </c>
    </row>
    <row r="3321" spans="1:4" x14ac:dyDescent="0.2">
      <c r="A3321" s="5">
        <v>3260</v>
      </c>
      <c r="B3321" s="1832">
        <f>'Acct Summary 7-8'!I79</f>
        <v>2897898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2157710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925811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152014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19923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5817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212</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1103777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37139</v>
      </c>
      <c r="D3387" s="2" t="str">
        <f t="shared" si="51"/>
        <v>Error?</v>
      </c>
    </row>
    <row r="3388" spans="1:4" x14ac:dyDescent="0.2">
      <c r="A3388" s="5">
        <v>3327</v>
      </c>
      <c r="B3388" s="1832">
        <f>'Expenditures 15-22'!D217</f>
        <v>90914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37139</v>
      </c>
      <c r="C3390" s="2" t="s">
        <v>569</v>
      </c>
      <c r="D3390" s="2" t="str">
        <f t="shared" si="51"/>
        <v>Error?</v>
      </c>
    </row>
    <row r="3391" spans="1:4" x14ac:dyDescent="0.2">
      <c r="A3391" s="5">
        <v>3330</v>
      </c>
      <c r="B3391" s="1832">
        <f>'Expenditures 15-22'!K217</f>
        <v>90914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6399800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882790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721516</v>
      </c>
      <c r="D3417" s="2" t="str">
        <f t="shared" si="52"/>
        <v>Error?</v>
      </c>
    </row>
    <row r="3418" spans="1:4" x14ac:dyDescent="0.2">
      <c r="A3418" s="10">
        <v>3357</v>
      </c>
      <c r="B3418" s="1832"/>
      <c r="D3418" s="2" t="str">
        <f t="shared" si="52"/>
        <v>OK</v>
      </c>
    </row>
    <row r="3419" spans="1:4" x14ac:dyDescent="0.2">
      <c r="A3419" s="5">
        <v>3358</v>
      </c>
      <c r="B3419" s="1832">
        <f>'Assets-Liab 5-6'!F4</f>
        <v>600719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263507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615</v>
      </c>
      <c r="D3425" s="2" t="str">
        <f t="shared" si="52"/>
        <v>Error?</v>
      </c>
    </row>
    <row r="3426" spans="1:4" x14ac:dyDescent="0.2">
      <c r="A3426" s="10">
        <v>3365</v>
      </c>
      <c r="B3426" s="1832"/>
      <c r="D3426" s="2" t="str">
        <f t="shared" si="52"/>
        <v>OK</v>
      </c>
    </row>
    <row r="3427" spans="1:4" x14ac:dyDescent="0.2">
      <c r="A3427" s="5">
        <v>3366</v>
      </c>
      <c r="B3427" s="1832">
        <f>'Assets-Liab 5-6'!I4</f>
        <v>2157710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14081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178929</v>
      </c>
      <c r="C3446" s="2" t="s">
        <v>569</v>
      </c>
      <c r="D3446" s="2" t="str">
        <f t="shared" si="52"/>
        <v>Error?</v>
      </c>
    </row>
    <row r="3447" spans="1:4" x14ac:dyDescent="0.2">
      <c r="A3447" s="5">
        <v>3386</v>
      </c>
      <c r="B3447" s="1832">
        <f>'Tax Sched 23'!D16</f>
        <v>178929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45857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45857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45857</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45857</v>
      </c>
      <c r="C3568" s="2" t="s">
        <v>569</v>
      </c>
      <c r="D3568" s="2" t="str">
        <f t="shared" si="54"/>
        <v>Error?</v>
      </c>
    </row>
    <row r="3569" spans="1:4" x14ac:dyDescent="0.2">
      <c r="A3569" s="5">
        <v>3508</v>
      </c>
      <c r="B3569" s="1832">
        <f>'Acct Summary 7-8'!K4</f>
        <v>2303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2303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2303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2303</v>
      </c>
      <c r="C3588" s="2" t="s">
        <v>569</v>
      </c>
      <c r="D3588" s="2" t="str">
        <f t="shared" si="55"/>
        <v>Error?</v>
      </c>
    </row>
    <row r="3589" spans="1:4" x14ac:dyDescent="0.2">
      <c r="A3589" s="5">
        <v>3528</v>
      </c>
      <c r="B3589" s="1832">
        <f>'Acct Summary 7-8'!K79</f>
        <v>43554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45857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2303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1213</v>
      </c>
      <c r="C3725" s="2" t="s">
        <v>569</v>
      </c>
      <c r="D3725" s="2" t="str">
        <f t="shared" si="57"/>
        <v>Error?</v>
      </c>
    </row>
    <row r="3726" spans="1:4" x14ac:dyDescent="0.2">
      <c r="A3726" s="5">
        <v>3665</v>
      </c>
      <c r="B3726" s="1832">
        <f>'Tax Sched 23'!D13</f>
        <v>1213</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2088984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10469638</v>
      </c>
      <c r="C4122" s="2" t="s">
        <v>569</v>
      </c>
      <c r="D4122" s="2" t="str">
        <f t="shared" si="63"/>
        <v>Error?</v>
      </c>
    </row>
    <row r="4123" spans="1:4" x14ac:dyDescent="0.2">
      <c r="A4123" s="5">
        <v>4062</v>
      </c>
      <c r="B4123" s="1832">
        <f>'Acct Summary 7-8'!D10</f>
        <v>806266</v>
      </c>
      <c r="C4123" s="2" t="s">
        <v>569</v>
      </c>
      <c r="D4123" s="2" t="str">
        <f t="shared" si="63"/>
        <v>Error?</v>
      </c>
    </row>
    <row r="4124" spans="1:4" x14ac:dyDescent="0.2">
      <c r="A4124" s="5">
        <v>4063</v>
      </c>
      <c r="B4124" s="1832">
        <f>'Acct Summary 7-8'!E10</f>
        <v>933586</v>
      </c>
      <c r="C4124" s="2" t="s">
        <v>569</v>
      </c>
      <c r="D4124" s="2" t="str">
        <f t="shared" si="63"/>
        <v>Error?</v>
      </c>
    </row>
    <row r="4125" spans="1:4" x14ac:dyDescent="0.2">
      <c r="A4125" s="5">
        <v>4064</v>
      </c>
      <c r="B4125" s="1832">
        <f>'Acct Summary 7-8'!F10</f>
        <v>421784</v>
      </c>
      <c r="C4125" s="2" t="s">
        <v>569</v>
      </c>
      <c r="D4125" s="2" t="str">
        <f t="shared" si="63"/>
        <v>Error?</v>
      </c>
    </row>
    <row r="4126" spans="1:4" x14ac:dyDescent="0.2">
      <c r="A4126" s="5">
        <v>4065</v>
      </c>
      <c r="B4126" s="1832">
        <f>'Acct Summary 7-8'!G10</f>
        <v>343154</v>
      </c>
      <c r="C4126" s="2" t="s">
        <v>569</v>
      </c>
      <c r="D4126" s="2" t="str">
        <f t="shared" si="63"/>
        <v>Error?</v>
      </c>
    </row>
    <row r="4127" spans="1:4" x14ac:dyDescent="0.2">
      <c r="A4127" s="5">
        <v>4066</v>
      </c>
      <c r="B4127" s="1832">
        <f>'Acct Summary 7-8'!H10</f>
        <v>-2400</v>
      </c>
      <c r="C4127" s="2" t="s">
        <v>569</v>
      </c>
      <c r="D4127" s="2" t="str">
        <f t="shared" si="63"/>
        <v>Error?</v>
      </c>
    </row>
    <row r="4128" spans="1:4" x14ac:dyDescent="0.2">
      <c r="A4128" s="5">
        <v>4067</v>
      </c>
      <c r="B4128" s="1832">
        <f>'Acct Summary 7-8'!I10</f>
        <v>59812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2303</v>
      </c>
      <c r="C4130" s="2" t="s">
        <v>569</v>
      </c>
      <c r="D4130" s="2" t="str">
        <f t="shared" si="63"/>
        <v>Error?</v>
      </c>
    </row>
    <row r="4131" spans="1:4" x14ac:dyDescent="0.2">
      <c r="A4131" s="5">
        <v>4070</v>
      </c>
      <c r="B4131" s="1832">
        <f>'Acct Summary 7-8'!C18</f>
        <v>2088984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10005809</v>
      </c>
      <c r="C4136" s="2" t="s">
        <v>569</v>
      </c>
      <c r="D4136" s="2" t="str">
        <f t="shared" si="63"/>
        <v>Error?</v>
      </c>
    </row>
    <row r="4137" spans="1:4" x14ac:dyDescent="0.2">
      <c r="A4137" s="5">
        <v>4076</v>
      </c>
      <c r="B4137" s="1832">
        <f>'Acct Summary 7-8'!D19</f>
        <v>694347</v>
      </c>
      <c r="C4137" s="2" t="s">
        <v>569</v>
      </c>
      <c r="D4137" s="2" t="str">
        <f t="shared" si="63"/>
        <v>Error?</v>
      </c>
    </row>
    <row r="4138" spans="1:4" x14ac:dyDescent="0.2">
      <c r="A4138" s="5">
        <v>4077</v>
      </c>
      <c r="B4138" s="1832">
        <f>'Acct Summary 7-8'!E19</f>
        <v>883100</v>
      </c>
      <c r="C4138" s="2" t="s">
        <v>569</v>
      </c>
      <c r="D4138" s="2" t="str">
        <f t="shared" si="63"/>
        <v>Error?</v>
      </c>
    </row>
    <row r="4139" spans="1:4" x14ac:dyDescent="0.2">
      <c r="A4139" s="5">
        <v>4078</v>
      </c>
      <c r="B4139" s="1832">
        <f>'Acct Summary 7-8'!F19</f>
        <v>307888</v>
      </c>
      <c r="C4139" s="2" t="s">
        <v>569</v>
      </c>
      <c r="D4139" s="2" t="str">
        <f t="shared" si="63"/>
        <v>Error?</v>
      </c>
    </row>
    <row r="4140" spans="1:4" x14ac:dyDescent="0.2">
      <c r="A4140" s="5">
        <v>4079</v>
      </c>
      <c r="B4140" s="1832">
        <f>'Acct Summary 7-8'!G19</f>
        <v>331121</v>
      </c>
      <c r="C4140" s="2" t="s">
        <v>569</v>
      </c>
      <c r="D4140" s="2" t="str">
        <f t="shared" si="63"/>
        <v>Error?</v>
      </c>
    </row>
    <row r="4141" spans="1:4" x14ac:dyDescent="0.2">
      <c r="A4141" s="5">
        <v>4080</v>
      </c>
      <c r="B4141" s="1832">
        <f>'Acct Summary 7-8'!H19</f>
        <v>1032054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1735000</v>
      </c>
      <c r="C4171" s="2" t="s">
        <v>569</v>
      </c>
      <c r="D4171" s="2" t="str">
        <f t="shared" si="64"/>
        <v>Error?</v>
      </c>
    </row>
    <row r="4172" spans="1:4" x14ac:dyDescent="0.2">
      <c r="A4172" s="5">
        <v>4111</v>
      </c>
      <c r="B4172" s="1832">
        <f>'Short-Term Long-Term Debt 24'!J49</f>
        <v>860000</v>
      </c>
      <c r="C4172" s="2" t="s">
        <v>569</v>
      </c>
      <c r="D4172" s="2" t="str">
        <f t="shared" si="64"/>
        <v>Error?</v>
      </c>
    </row>
    <row r="4173" spans="1:4" x14ac:dyDescent="0.2">
      <c r="A4173" s="5">
        <v>4112</v>
      </c>
      <c r="B4173" s="1832">
        <f>'Short-Term Long-Term Debt 24'!H49</f>
        <v>840000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220.3</v>
      </c>
      <c r="C4265" s="2" t="s">
        <v>569</v>
      </c>
      <c r="D4265" s="2" t="str">
        <f t="shared" si="65"/>
        <v>Error?</v>
      </c>
      <c r="E4265" s="125"/>
    </row>
    <row r="4266" spans="1:5" x14ac:dyDescent="0.2">
      <c r="A4266" s="12">
        <v>4205</v>
      </c>
      <c r="B4266" s="1832">
        <f>('FP Info 3'!F10)*100000</f>
        <v>242.29999999999998</v>
      </c>
      <c r="C4266" s="2" t="s">
        <v>569</v>
      </c>
      <c r="D4266" s="2" t="str">
        <f t="shared" si="65"/>
        <v>Error?</v>
      </c>
      <c r="E4266" s="125"/>
    </row>
    <row r="4267" spans="1:5" x14ac:dyDescent="0.2">
      <c r="A4267" s="12">
        <v>4206</v>
      </c>
      <c r="B4267" s="1832">
        <f>('FP Info 3'!H10)*100000</f>
        <v>99.5</v>
      </c>
      <c r="C4267" s="2" t="s">
        <v>569</v>
      </c>
      <c r="D4267" s="2" t="str">
        <f t="shared" si="65"/>
        <v>Error?</v>
      </c>
      <c r="E4267" s="125"/>
    </row>
    <row r="4268" spans="1:5" x14ac:dyDescent="0.2">
      <c r="A4268" s="12">
        <v>4207</v>
      </c>
      <c r="B4268" s="1832">
        <f>('FP Info 3'!J10)*100000</f>
        <v>562</v>
      </c>
      <c r="C4268" s="2" t="s">
        <v>569</v>
      </c>
      <c r="D4268" s="2" t="str">
        <f t="shared" si="65"/>
        <v>Error?</v>
      </c>
    </row>
    <row r="4269" spans="1:5" x14ac:dyDescent="0.2">
      <c r="A4269" s="12">
        <v>4208</v>
      </c>
      <c r="B4269" s="1832">
        <f>'FP Info 3'!J16</f>
        <v>10244110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2993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6349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6458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13742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0.39999999999999997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306761690</v>
      </c>
      <c r="D4995" s="2" t="str">
        <f t="shared" si="77"/>
        <v>Error?</v>
      </c>
    </row>
    <row r="4996" spans="1:4" x14ac:dyDescent="0.2">
      <c r="A4996" s="12">
        <v>4935</v>
      </c>
      <c r="B4996" s="1832">
        <f>'FP Info 3'!H31</f>
        <v>21166556.610000003</v>
      </c>
      <c r="D4996" s="2" t="str">
        <f t="shared" si="77"/>
        <v>Error?</v>
      </c>
    </row>
    <row r="4997" spans="1:4" x14ac:dyDescent="0.2">
      <c r="A4997" s="12">
        <v>4936</v>
      </c>
      <c r="B4997" s="1832">
        <f>'FP Info 3'!H37</f>
        <v>1735000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60000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60000</v>
      </c>
      <c r="D5024" s="2" t="str">
        <f t="shared" si="77"/>
        <v>Error?</v>
      </c>
    </row>
    <row r="5025" spans="1:4" x14ac:dyDescent="0.2">
      <c r="A5025" s="10">
        <v>4964</v>
      </c>
      <c r="B5025" s="1832"/>
      <c r="C5025" s="2" t="s">
        <v>569</v>
      </c>
      <c r="D5025" s="2" t="str">
        <f t="shared" si="77"/>
        <v>OK</v>
      </c>
    </row>
    <row r="5026" spans="1:4" x14ac:dyDescent="0.2">
      <c r="A5026" s="5">
        <v>4965</v>
      </c>
      <c r="B5026" s="1832">
        <f>'Revenues 9-14'!C6</f>
        <v>1213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6500705</v>
      </c>
      <c r="D5061" s="2" t="str">
        <f t="shared" si="78"/>
        <v>Error?</v>
      </c>
    </row>
    <row r="5062" spans="1:4" x14ac:dyDescent="0.2">
      <c r="A5062" s="10">
        <v>5001</v>
      </c>
      <c r="B5062" s="1832"/>
      <c r="D5062" s="2" t="str">
        <f t="shared" si="78"/>
        <v>OK</v>
      </c>
    </row>
    <row r="5063" spans="1:4" x14ac:dyDescent="0.2">
      <c r="A5063" s="5">
        <v>5002</v>
      </c>
      <c r="B5063" s="1832">
        <f>'Revenues 9-14'!C7</f>
        <v>212054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6713972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108997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108997</v>
      </c>
      <c r="C5071" s="2" t="s">
        <v>569</v>
      </c>
      <c r="D5071" s="2" t="str">
        <f t="shared" si="78"/>
        <v>Error?</v>
      </c>
    </row>
    <row r="5072" spans="1:4" x14ac:dyDescent="0.2">
      <c r="A5072" s="5">
        <v>5011</v>
      </c>
      <c r="B5072" s="1832">
        <f>'Revenues 9-14'!C20</f>
        <v>60890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60890</v>
      </c>
      <c r="C5087" s="2" t="s">
        <v>569</v>
      </c>
      <c r="D5087" s="2" t="str">
        <f t="shared" si="78"/>
        <v>Error?</v>
      </c>
    </row>
    <row r="5088" spans="1:4" x14ac:dyDescent="0.2">
      <c r="A5088" s="5">
        <v>5027</v>
      </c>
      <c r="B5088" s="1832">
        <f>'Revenues 9-14'!C65</f>
        <v>180288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180288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10744</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10744</v>
      </c>
      <c r="C5096" s="2" t="s">
        <v>569</v>
      </c>
      <c r="D5096" s="2" t="str">
        <f t="shared" si="78"/>
        <v>Error?</v>
      </c>
    </row>
    <row r="5097" spans="1:4" x14ac:dyDescent="0.2">
      <c r="A5097" s="5">
        <v>5036</v>
      </c>
      <c r="B5097" s="1832">
        <f>'Revenues 9-14'!C77</f>
        <v>5820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165540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9345</v>
      </c>
      <c r="D5101" s="2" t="str">
        <f t="shared" si="78"/>
        <v>Error?</v>
      </c>
    </row>
    <row r="5102" spans="1:4" x14ac:dyDescent="0.2">
      <c r="A5102" s="5">
        <v>5041</v>
      </c>
      <c r="B5102" s="1832">
        <f>'Revenues 9-14'!C82</f>
        <v>180705</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4790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8585</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13375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70893</v>
      </c>
      <c r="D5119" s="2" t="str">
        <f t="shared" ref="D5119:D5182" si="79">IF(ISBLANK(B5119),"OK",IF(A5119-B5119=0,"OK","Error?"))</f>
        <v>Error?</v>
      </c>
    </row>
    <row r="5120" spans="1:4" x14ac:dyDescent="0.2">
      <c r="A5120" s="5">
        <v>5059</v>
      </c>
      <c r="B5120" s="1832">
        <f>'Revenues 9-14'!C108</f>
        <v>70893</v>
      </c>
      <c r="C5120" s="2" t="s">
        <v>569</v>
      </c>
      <c r="D5120" s="2" t="str">
        <f t="shared" si="79"/>
        <v>Error?</v>
      </c>
    </row>
    <row r="5121" spans="1:4" x14ac:dyDescent="0.2">
      <c r="A5121" s="5">
        <v>5060</v>
      </c>
      <c r="B5121" s="1832">
        <f>'Revenues 9-14'!C109</f>
        <v>7339864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551505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551505</v>
      </c>
      <c r="C5132" s="2" t="s">
        <v>569</v>
      </c>
      <c r="D5132" s="2" t="str">
        <f t="shared" si="79"/>
        <v>Error?</v>
      </c>
    </row>
    <row r="5133" spans="1:4" x14ac:dyDescent="0.2">
      <c r="A5133" s="5">
        <v>5072</v>
      </c>
      <c r="B5133" s="1832">
        <f>'Revenues 9-14'!C125</f>
        <v>115038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115038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115038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666543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9504</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9504</v>
      </c>
      <c r="C5246" s="2" t="s">
        <v>569</v>
      </c>
      <c r="D5246" s="2" t="str">
        <f t="shared" si="80"/>
        <v>Error?</v>
      </c>
    </row>
    <row r="5247" spans="1:4" x14ac:dyDescent="0.2">
      <c r="A5247" s="5">
        <v>5186</v>
      </c>
      <c r="B5247" s="1832">
        <f>'Revenues 9-14'!C200</f>
        <v>84108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6458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84108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9012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240074</v>
      </c>
      <c r="D5278" s="2" t="str">
        <f t="shared" si="81"/>
        <v>Error?</v>
      </c>
    </row>
    <row r="5279" spans="1:4" x14ac:dyDescent="0.2">
      <c r="A5279" s="5">
        <v>5218</v>
      </c>
      <c r="B5279" s="1832">
        <f>'Revenues 9-14'!C214</f>
        <v>2007</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251093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374247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374247</v>
      </c>
      <c r="C5326" s="2" t="s">
        <v>569</v>
      </c>
      <c r="D5326" s="2" t="str">
        <f t="shared" si="82"/>
        <v>Error?</v>
      </c>
    </row>
    <row r="5327" spans="1:5" x14ac:dyDescent="0.2">
      <c r="A5327" s="5">
        <v>5266</v>
      </c>
      <c r="B5327" s="1832">
        <f>'Revenues 9-14'!C268</f>
        <v>8380654</v>
      </c>
      <c r="C5327" s="2" t="s">
        <v>569</v>
      </c>
      <c r="D5327" s="2" t="str">
        <f t="shared" si="82"/>
        <v>Error?</v>
      </c>
    </row>
    <row r="5328" spans="1:5" x14ac:dyDescent="0.2">
      <c r="A5328" s="5">
        <v>5267</v>
      </c>
      <c r="B5328" s="1832">
        <f>'Revenues 9-14'!D5</f>
        <v>720232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720232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21056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21056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14978</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14978</v>
      </c>
      <c r="C5355" s="2" t="s">
        <v>569</v>
      </c>
      <c r="D5355" s="2" t="str">
        <f t="shared" si="82"/>
        <v>Error?</v>
      </c>
    </row>
    <row r="5356" spans="1:4" x14ac:dyDescent="0.2">
      <c r="A5356" s="5">
        <v>5295</v>
      </c>
      <c r="B5356" s="1832">
        <f>'Revenues 9-14'!D109</f>
        <v>756266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806266</v>
      </c>
      <c r="C5508" s="2" t="s">
        <v>569</v>
      </c>
      <c r="D5508" s="2" t="str">
        <f t="shared" si="85"/>
        <v>Error?</v>
      </c>
    </row>
    <row r="5509" spans="1:4" x14ac:dyDescent="0.2">
      <c r="A5509" s="5">
        <v>5448</v>
      </c>
      <c r="B5509" s="1832">
        <f>'Revenues 9-14'!E5</f>
        <v>915066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915066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18520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18520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933586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933586</v>
      </c>
      <c r="C5552" s="2" t="s">
        <v>569</v>
      </c>
      <c r="D5552" s="2" t="str">
        <f t="shared" si="85"/>
        <v>Error?</v>
      </c>
    </row>
    <row r="5553" spans="1:4" x14ac:dyDescent="0.2">
      <c r="A5553" s="5">
        <v>5492</v>
      </c>
      <c r="B5553" s="1832">
        <f>'Revenues 9-14'!F5</f>
        <v>300496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300496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2781</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5326</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8107</v>
      </c>
      <c r="C5579" s="2" t="s">
        <v>569</v>
      </c>
      <c r="D5579" s="2" t="str">
        <f t="shared" si="86"/>
        <v>Error?</v>
      </c>
    </row>
    <row r="5580" spans="1:4" x14ac:dyDescent="0.2">
      <c r="A5580" s="5">
        <v>5519</v>
      </c>
      <c r="B5580" s="1832">
        <f>'Revenues 9-14'!F65</f>
        <v>15733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15733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324336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4496</v>
      </c>
      <c r="D5615" s="2" t="str">
        <f t="shared" si="86"/>
        <v>Error?</v>
      </c>
    </row>
    <row r="5616" spans="1:4" x14ac:dyDescent="0.2">
      <c r="A5616" s="10">
        <v>5555</v>
      </c>
      <c r="B5616" s="1832"/>
      <c r="D5616" s="2" t="str">
        <f t="shared" si="86"/>
        <v>OK</v>
      </c>
    </row>
    <row r="5617" spans="1:5" x14ac:dyDescent="0.2">
      <c r="A5617" s="5">
        <v>5556</v>
      </c>
      <c r="B5617" s="1832">
        <f>'Revenues 9-14'!F153</f>
        <v>92952</v>
      </c>
      <c r="D5617" s="2" t="str">
        <f t="shared" si="86"/>
        <v>Error?</v>
      </c>
    </row>
    <row r="5618" spans="1:5" x14ac:dyDescent="0.2">
      <c r="A5618" s="5">
        <v>5557</v>
      </c>
      <c r="B5618" s="1832">
        <f>'Revenues 9-14'!F155</f>
        <v>97448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97448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97448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421784</v>
      </c>
      <c r="C5720" s="2" t="s">
        <v>569</v>
      </c>
      <c r="D5720" s="2" t="str">
        <f t="shared" si="88"/>
        <v>Error?</v>
      </c>
    </row>
    <row r="5721" spans="1:4" x14ac:dyDescent="0.2">
      <c r="A5721" s="5">
        <v>5660</v>
      </c>
      <c r="B5721" s="1832">
        <f>'Revenues 9-14'!G5</f>
        <v>154665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178929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333594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2009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2009</v>
      </c>
      <c r="C5730" s="2" t="s">
        <v>569</v>
      </c>
      <c r="D5730" s="2" t="str">
        <f t="shared" si="88"/>
        <v>Error?</v>
      </c>
    </row>
    <row r="5731" spans="1:4" x14ac:dyDescent="0.2">
      <c r="A5731" s="5">
        <v>5670</v>
      </c>
      <c r="B5731" s="1832">
        <f>'Revenues 9-14'!G65</f>
        <v>7551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7551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343154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-2400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-2400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-2400</v>
      </c>
      <c r="C5915" s="2" t="s">
        <v>569</v>
      </c>
      <c r="D5915" s="2" t="str">
        <f t="shared" si="91"/>
        <v>Error?</v>
      </c>
    </row>
    <row r="5916" spans="1:4" x14ac:dyDescent="0.2">
      <c r="A5916" s="5">
        <v>5855</v>
      </c>
      <c r="B5916" s="1832">
        <f>'Revenues 9-14'!I5</f>
        <v>1213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1213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58599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58599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59812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1213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1213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1090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1090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2303</v>
      </c>
      <c r="C6023" s="2" t="s">
        <v>569</v>
      </c>
      <c r="D6023" s="2" t="str">
        <f t="shared" si="93"/>
        <v>Error?</v>
      </c>
    </row>
    <row r="6024" spans="1:5" x14ac:dyDescent="0.2">
      <c r="A6024" s="5">
        <v>5963</v>
      </c>
      <c r="B6024" s="1832">
        <f>'Revenues 9-14'!G109</f>
        <v>343154</v>
      </c>
      <c r="C6024" s="2" t="s">
        <v>569</v>
      </c>
      <c r="D6024" s="2" t="str">
        <f t="shared" si="93"/>
        <v>Error?</v>
      </c>
    </row>
    <row r="6025" spans="1:5" x14ac:dyDescent="0.2">
      <c r="A6025" s="5">
        <v>5964</v>
      </c>
      <c r="B6025" s="1832">
        <f>'Revenues 9-14'!H109</f>
        <v>-2400</v>
      </c>
      <c r="C6025" s="2" t="s">
        <v>569</v>
      </c>
      <c r="D6025" s="2" t="str">
        <f t="shared" si="93"/>
        <v>Error?</v>
      </c>
    </row>
    <row r="6026" spans="1:5" x14ac:dyDescent="0.2">
      <c r="A6026" s="5">
        <v>5965</v>
      </c>
      <c r="B6026" s="1832">
        <f>'Revenues 9-14'!I109</f>
        <v>59812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2303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657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67043</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104183</v>
      </c>
      <c r="D6099" s="2" t="str">
        <f t="shared" si="94"/>
        <v>Error?</v>
      </c>
      <c r="E6099" s="2" t="s">
        <v>189</v>
      </c>
    </row>
    <row r="6100" spans="1:5" x14ac:dyDescent="0.2">
      <c r="A6100">
        <v>6039</v>
      </c>
      <c r="B6100" s="1832">
        <f>'Assets-Liab 5-6'!D9</f>
        <v>43245</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4556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2043</v>
      </c>
      <c r="D6129" s="2" t="str">
        <f t="shared" si="94"/>
        <v>Error?</v>
      </c>
      <c r="E6129" s="2" t="s">
        <v>189</v>
      </c>
    </row>
    <row r="6130" spans="1:5" x14ac:dyDescent="0.2">
      <c r="A6130">
        <v>6069</v>
      </c>
      <c r="B6130" s="1832">
        <f>'Assets-Liab 5-6'!H25</f>
        <v>65000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624</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4556</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4556</v>
      </c>
      <c r="D6216" s="2" t="str">
        <f t="shared" si="96"/>
        <v>Error?</v>
      </c>
      <c r="E6216" s="2" t="s">
        <v>189</v>
      </c>
    </row>
    <row r="6217" spans="1:5" x14ac:dyDescent="0.2">
      <c r="A6217">
        <v>6156</v>
      </c>
      <c r="B6217" s="1832">
        <f>'Assets-Liab 5-6'!J4</f>
        <v>4556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110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110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110</v>
      </c>
      <c r="D6263" s="2" t="str">
        <f t="shared" si="96"/>
        <v>Error?</v>
      </c>
      <c r="E6263" s="2" t="s">
        <v>189</v>
      </c>
    </row>
    <row r="6264" spans="1:5" x14ac:dyDescent="0.2">
      <c r="A6264">
        <v>6203</v>
      </c>
      <c r="B6264" s="1832">
        <f>'Acct Summary 7-8'!J79</f>
        <v>4446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4556</v>
      </c>
      <c r="D6266" s="2" t="str">
        <f t="shared" si="96"/>
        <v>Error?</v>
      </c>
      <c r="E6266" s="2" t="s">
        <v>189</v>
      </c>
    </row>
    <row r="6267" spans="1:5" x14ac:dyDescent="0.2">
      <c r="A6267">
        <v>6206</v>
      </c>
      <c r="B6267" s="1832">
        <f>'Acct Summary 7-8'!C82</f>
        <v>463829</v>
      </c>
      <c r="D6267" s="2" t="str">
        <f t="shared" si="96"/>
        <v>Error?</v>
      </c>
      <c r="E6267" s="2" t="s">
        <v>189</v>
      </c>
    </row>
    <row r="6268" spans="1:5" x14ac:dyDescent="0.2">
      <c r="A6268">
        <v>6207</v>
      </c>
      <c r="B6268" s="1832">
        <f>'Acct Summary 7-8'!D82</f>
        <v>171919</v>
      </c>
      <c r="D6268" s="2" t="str">
        <f t="shared" si="96"/>
        <v>Error?</v>
      </c>
      <c r="E6268" s="2" t="s">
        <v>189</v>
      </c>
    </row>
    <row r="6269" spans="1:5" x14ac:dyDescent="0.2">
      <c r="A6269">
        <v>6208</v>
      </c>
      <c r="B6269" s="1832">
        <f>'Acct Summary 7-8'!E82</f>
        <v>50486</v>
      </c>
      <c r="D6269" s="2" t="str">
        <f t="shared" si="96"/>
        <v>Error?</v>
      </c>
      <c r="E6269" s="2" t="s">
        <v>189</v>
      </c>
    </row>
    <row r="6270" spans="1:5" x14ac:dyDescent="0.2">
      <c r="A6270">
        <v>6209</v>
      </c>
      <c r="B6270" s="1832">
        <f>'Acct Summary 7-8'!F82</f>
        <v>53896</v>
      </c>
      <c r="D6270" s="2" t="str">
        <f t="shared" si="96"/>
        <v>Error?</v>
      </c>
      <c r="E6270" s="2" t="s">
        <v>189</v>
      </c>
    </row>
    <row r="6271" spans="1:5" x14ac:dyDescent="0.2">
      <c r="A6271">
        <v>6210</v>
      </c>
      <c r="B6271" s="1832">
        <f>'Acct Summary 7-8'!G82</f>
        <v>12033</v>
      </c>
      <c r="D6271" s="2" t="str">
        <f t="shared" ref="D6271:D6334" si="97">IF(ISBLANK(B6271),"OK",IF(A6271-B6271=0,"OK","Error?"))</f>
        <v>Error?</v>
      </c>
      <c r="E6271" s="2" t="s">
        <v>189</v>
      </c>
    </row>
    <row r="6272" spans="1:5" x14ac:dyDescent="0.2">
      <c r="A6272">
        <v>6211</v>
      </c>
      <c r="B6272" s="1832">
        <f>'Acct Summary 7-8'!H82</f>
        <v>-234454</v>
      </c>
      <c r="D6272" s="2" t="str">
        <f t="shared" si="97"/>
        <v>Error?</v>
      </c>
      <c r="E6272" s="2" t="s">
        <v>189</v>
      </c>
    </row>
    <row r="6273" spans="1:5" x14ac:dyDescent="0.2">
      <c r="A6273">
        <v>6212</v>
      </c>
      <c r="B6273" s="1832">
        <f>'Acct Summary 7-8'!I82</f>
        <v>-740188</v>
      </c>
      <c r="D6273" s="2" t="str">
        <f t="shared" si="97"/>
        <v>Error?</v>
      </c>
      <c r="E6273" s="2" t="s">
        <v>189</v>
      </c>
    </row>
    <row r="6274" spans="1:5" x14ac:dyDescent="0.2">
      <c r="A6274">
        <v>6213</v>
      </c>
      <c r="B6274" s="1832">
        <f>'Acct Summary 7-8'!J82</f>
        <v>110</v>
      </c>
      <c r="D6274" s="2" t="str">
        <f t="shared" si="97"/>
        <v>Error?</v>
      </c>
      <c r="E6274" s="2" t="s">
        <v>189</v>
      </c>
    </row>
    <row r="6275" spans="1:5" x14ac:dyDescent="0.2">
      <c r="A6275">
        <v>6214</v>
      </c>
      <c r="B6275" s="1832">
        <f>'Acct Summary 7-8'!K82</f>
        <v>2303</v>
      </c>
      <c r="D6275" s="2" t="str">
        <f t="shared" si="97"/>
        <v>Error?</v>
      </c>
      <c r="E6275" s="2" t="s">
        <v>189</v>
      </c>
    </row>
    <row r="6276" spans="1:5" x14ac:dyDescent="0.2">
      <c r="A6276">
        <v>6215</v>
      </c>
      <c r="B6276" s="1832">
        <f>'Acct Summary 7-8'!C83</f>
        <v>7.0586998133929157E-2</v>
      </c>
      <c r="D6276" s="2" t="str">
        <f t="shared" si="97"/>
        <v>Error?</v>
      </c>
      <c r="E6276" s="2" t="s">
        <v>189</v>
      </c>
    </row>
    <row r="6277" spans="1:5" x14ac:dyDescent="0.2">
      <c r="A6277">
        <v>6216</v>
      </c>
      <c r="B6277" s="1832">
        <f>'Acct Summary 7-8'!D83</f>
        <v>0.18565065035338837</v>
      </c>
      <c r="D6277" s="2" t="str">
        <f t="shared" si="97"/>
        <v>Error?</v>
      </c>
      <c r="E6277" s="2" t="s">
        <v>189</v>
      </c>
    </row>
    <row r="6278" spans="1:5" x14ac:dyDescent="0.2">
      <c r="A6278">
        <v>6217</v>
      </c>
      <c r="B6278" s="1832">
        <f>'Acct Summary 7-8'!E83</f>
        <v>6.9972114270508201E-2</v>
      </c>
      <c r="D6278" s="2" t="str">
        <f t="shared" si="97"/>
        <v>Error?</v>
      </c>
      <c r="E6278" s="2" t="s">
        <v>189</v>
      </c>
    </row>
    <row r="6279" spans="1:5" x14ac:dyDescent="0.2">
      <c r="A6279">
        <v>6218</v>
      </c>
      <c r="B6279" s="1832">
        <f>'Acct Summary 7-8'!F83</f>
        <v>9.1451609345385251E-2</v>
      </c>
      <c r="D6279" s="2" t="str">
        <f t="shared" si="97"/>
        <v>Error?</v>
      </c>
      <c r="E6279" s="2" t="s">
        <v>189</v>
      </c>
    </row>
    <row r="6280" spans="1:5" x14ac:dyDescent="0.2">
      <c r="A6280">
        <v>6219</v>
      </c>
      <c r="B6280" s="1832">
        <f>'Acct Summary 7-8'!G83</f>
        <v>4.613172826253642E-2</v>
      </c>
      <c r="D6280" s="2" t="str">
        <f t="shared" si="97"/>
        <v>Error?</v>
      </c>
      <c r="E6280" s="2" t="s">
        <v>189</v>
      </c>
    </row>
    <row r="6281" spans="1:5" x14ac:dyDescent="0.2">
      <c r="A6281">
        <v>6220</v>
      </c>
      <c r="B6281" s="1832">
        <f>'Acct Summary 7-8'!H83</f>
        <v>3.6414382231886311</v>
      </c>
      <c r="D6281" s="2" t="str">
        <f t="shared" si="97"/>
        <v>Error?</v>
      </c>
      <c r="E6281" s="2" t="s">
        <v>189</v>
      </c>
    </row>
    <row r="6282" spans="1:5" x14ac:dyDescent="0.2">
      <c r="A6282">
        <v>6221</v>
      </c>
      <c r="B6282" s="1832">
        <f>'Acct Summary 7-8'!I83</f>
        <v>-0.34304331907438906</v>
      </c>
      <c r="D6282" s="2" t="str">
        <f t="shared" si="97"/>
        <v>Error?</v>
      </c>
      <c r="E6282" s="2" t="s">
        <v>189</v>
      </c>
    </row>
    <row r="6283" spans="1:5" x14ac:dyDescent="0.2">
      <c r="A6283">
        <v>6222</v>
      </c>
      <c r="B6283" s="1832">
        <f>'Acct Summary 7-8'!J83</f>
        <v>2.4143985952589993E-2</v>
      </c>
      <c r="D6283" s="2" t="str">
        <f t="shared" si="97"/>
        <v>Error?</v>
      </c>
      <c r="E6283" s="2" t="s">
        <v>189</v>
      </c>
    </row>
    <row r="6284" spans="1:5" x14ac:dyDescent="0.2">
      <c r="A6284">
        <v>6223</v>
      </c>
      <c r="B6284" s="1832">
        <f>'Acct Summary 7-8'!K83</f>
        <v>5.0221340253396425E-2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110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110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110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266272</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326587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161815</v>
      </c>
      <c r="D6880" s="2" t="str">
        <f t="shared" si="106"/>
        <v>Error?</v>
      </c>
    </row>
    <row r="6881" spans="1:4" x14ac:dyDescent="0.2">
      <c r="A6881">
        <v>6820</v>
      </c>
      <c r="B6881" s="1832">
        <f>'Expenditures 15-22'!K22</f>
        <v>161815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68267</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68267</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68267</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68267</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18524</v>
      </c>
      <c r="D7073" s="2" t="str">
        <f t="shared" si="109"/>
        <v>Error?</v>
      </c>
    </row>
    <row r="7074" spans="1:4" x14ac:dyDescent="0.2">
      <c r="A7074">
        <v>7013</v>
      </c>
      <c r="B7074" s="1832">
        <f>'Expenditures 15-22'!K216</f>
        <v>18524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110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60315</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68267</v>
      </c>
      <c r="D7624" s="2" t="str">
        <f t="shared" si="124"/>
        <v>Error?</v>
      </c>
      <c r="E7624" s="2" t="s">
        <v>19</v>
      </c>
    </row>
    <row r="7625" spans="1:5" x14ac:dyDescent="0.2">
      <c r="A7625">
        <f t="shared" si="123"/>
        <v>7564</v>
      </c>
      <c r="B7625" s="1832">
        <f>'Cap Outlay Deprec 26'!I17</f>
        <v>6826.7</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816547.7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800000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4200000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-548434</v>
      </c>
      <c r="D7820" s="2" t="str">
        <f t="shared" si="128"/>
        <v>Error?</v>
      </c>
    </row>
    <row r="7821" spans="1:5" x14ac:dyDescent="0.2">
      <c r="A7821">
        <v>7760</v>
      </c>
      <c r="B7821" s="1832">
        <f>'ICR Computation 30'!G40</f>
        <v>-548434</v>
      </c>
      <c r="D7821" s="2" t="str">
        <f t="shared" si="128"/>
        <v>Error?</v>
      </c>
    </row>
    <row r="7822" spans="1:5" x14ac:dyDescent="0.2">
      <c r="A7822" s="1">
        <v>7761</v>
      </c>
      <c r="B7822" s="1832">
        <f>'PCTC-OEPP 27-28'!F14</f>
        <v>10133281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326587</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33666</v>
      </c>
      <c r="D7831" s="2" t="str">
        <f t="shared" si="129"/>
        <v>Error?</v>
      </c>
      <c r="E7831" s="4" t="s">
        <v>1998</v>
      </c>
    </row>
    <row r="7832" spans="1:5" x14ac:dyDescent="0.2">
      <c r="A7832">
        <v>7771</v>
      </c>
      <c r="B7832" s="1832">
        <f>'PCTC-OEPP 27-28'!F56</f>
        <v>677</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1728146</v>
      </c>
      <c r="D7834" s="2" t="str">
        <f t="shared" si="129"/>
        <v>Error?</v>
      </c>
      <c r="E7834" s="4" t="s">
        <v>1998</v>
      </c>
    </row>
    <row r="7835" spans="1:5" x14ac:dyDescent="0.2">
      <c r="A7835">
        <v>7774</v>
      </c>
      <c r="B7835" s="1832">
        <f>'PCTC-OEPP 27-28'!F78</f>
        <v>8405135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12793.20395738204</v>
      </c>
      <c r="D7837" s="2" t="str">
        <f t="shared" si="129"/>
        <v>Error?</v>
      </c>
      <c r="E7837" s="4" t="s">
        <v>1998</v>
      </c>
    </row>
    <row r="7838" spans="1:5" x14ac:dyDescent="0.2">
      <c r="A7838">
        <v>7777</v>
      </c>
      <c r="B7838" s="1832">
        <f>'PCTC-OEPP 27-28'!F96</f>
        <v>180705</v>
      </c>
      <c r="D7838" s="2" t="str">
        <f t="shared" si="129"/>
        <v>Error?</v>
      </c>
      <c r="E7838" s="4" t="s">
        <v>1998</v>
      </c>
    </row>
    <row r="7839" spans="1:5" x14ac:dyDescent="0.2">
      <c r="A7839">
        <v>7778</v>
      </c>
      <c r="B7839" s="1832">
        <f>'PCTC-OEPP 27-28'!F102</f>
        <v>14978</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115038</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97448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9504</v>
      </c>
      <c r="D7858" s="2" t="str">
        <f t="shared" si="129"/>
        <v>Error?</v>
      </c>
      <c r="E7858" s="4" t="s">
        <v>1998</v>
      </c>
    </row>
    <row r="7859" spans="1:5" x14ac:dyDescent="0.2">
      <c r="A7859">
        <v>7798</v>
      </c>
      <c r="B7859" s="1832">
        <f>'PCTC-OEPP 27-28'!F127</f>
        <v>84108</v>
      </c>
      <c r="D7859" s="2" t="str">
        <f t="shared" si="129"/>
        <v>Error?</v>
      </c>
      <c r="E7859" s="4" t="s">
        <v>1998</v>
      </c>
    </row>
    <row r="7860" spans="1:5" x14ac:dyDescent="0.2">
      <c r="A7860">
        <v>7799</v>
      </c>
      <c r="B7860" s="1832">
        <f>'PCTC-OEPP 27-28'!F128</f>
        <v>6458</v>
      </c>
      <c r="D7860" s="2" t="str">
        <f t="shared" si="129"/>
        <v>Error?</v>
      </c>
      <c r="E7860" s="4" t="s">
        <v>1998</v>
      </c>
    </row>
    <row r="7861" spans="1:5" x14ac:dyDescent="0.2">
      <c r="A7861">
        <v>7800</v>
      </c>
      <c r="B7861" s="1832">
        <f>'PCTC-OEPP 27-28'!F129</f>
        <v>240074</v>
      </c>
      <c r="D7861" s="2" t="str">
        <f t="shared" si="129"/>
        <v>Error?</v>
      </c>
      <c r="E7861" s="4" t="s">
        <v>1998</v>
      </c>
    </row>
    <row r="7862" spans="1:5" x14ac:dyDescent="0.2">
      <c r="A7862">
        <v>7801</v>
      </c>
      <c r="B7862" s="1832">
        <f>'PCTC-OEPP 27-28'!F130</f>
        <v>2007</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13742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2993</v>
      </c>
      <c r="D7874" s="2" t="str">
        <f t="shared" si="129"/>
        <v>Error?</v>
      </c>
      <c r="E7874" s="4" t="s">
        <v>1998</v>
      </c>
    </row>
    <row r="7875" spans="1:5" x14ac:dyDescent="0.2">
      <c r="A7875">
        <v>7814</v>
      </c>
      <c r="B7875" s="1832">
        <f>'PCTC-OEPP 27-28'!F170</f>
        <v>6349</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805630</v>
      </c>
      <c r="D7877" s="2" t="str">
        <f t="shared" si="129"/>
        <v>Error?</v>
      </c>
      <c r="E7877" s="4" t="s">
        <v>1998</v>
      </c>
    </row>
    <row r="7878" spans="1:5" x14ac:dyDescent="0.2">
      <c r="A7878">
        <v>7817</v>
      </c>
      <c r="B7878" s="1832">
        <f>'PCTC-OEPP 27-28'!F176</f>
        <v>7599505</v>
      </c>
      <c r="D7878" s="2" t="str">
        <f t="shared" si="129"/>
        <v>Error?</v>
      </c>
      <c r="E7878" s="4" t="s">
        <v>1998</v>
      </c>
    </row>
    <row r="7879" spans="1:5" x14ac:dyDescent="0.2">
      <c r="A7879">
        <v>7818</v>
      </c>
      <c r="B7879" s="1832">
        <f>'PCTC-OEPP 27-28'!F178</f>
        <v>8416052.6999999993</v>
      </c>
      <c r="D7879" s="2" t="str">
        <f t="shared" si="129"/>
        <v>Error?</v>
      </c>
      <c r="E7879" s="4" t="s">
        <v>1998</v>
      </c>
    </row>
    <row r="7880" spans="1:5" x14ac:dyDescent="0.2">
      <c r="A7880">
        <v>7819</v>
      </c>
      <c r="B7880" s="1832">
        <f>'PCTC-OEPP 27-28'!F180</f>
        <v>12809.821461187214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85" zoomScaleNormal="85" workbookViewId="0">
      <selection activeCell="V18" sqref="V18"/>
    </sheetView>
  </sheetViews>
  <sheetFormatPr defaultColWidth="9.140625" defaultRowHeight="12.75" x14ac:dyDescent="0.2"/>
  <cols>
    <col min="1" max="1" width="7.85546875" style="959" customWidth="1"/>
    <col min="2" max="2" width="2.140625" style="955" customWidth="1"/>
    <col min="3" max="3" width="9.140625" style="959"/>
    <col min="4" max="4" width="13" style="959" customWidth="1"/>
    <col min="5" max="5" width="16" style="959" customWidth="1"/>
    <col min="6" max="6" width="4.140625" style="959" customWidth="1"/>
    <col min="7" max="7" width="3.85546875" style="959" customWidth="1"/>
    <col min="8" max="8" width="9.85546875" style="959" customWidth="1"/>
    <col min="9" max="9" width="10.85546875" style="959" customWidth="1"/>
    <col min="10" max="10" width="5" style="959" customWidth="1"/>
    <col min="11" max="11" width="6.5703125" style="959" customWidth="1"/>
    <col min="12" max="12" width="12.85546875" style="959" customWidth="1"/>
    <col min="13" max="13" width="2.85546875" style="959" customWidth="1"/>
    <col min="14" max="14" width="13.140625" style="959" customWidth="1"/>
    <col min="15" max="15" width="7.140625" style="959" customWidth="1"/>
    <col min="16" max="16" width="7" style="959" customWidth="1"/>
    <col min="17"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Palos Heights SD 128</v>
      </c>
      <c r="B7" s="2516"/>
      <c r="C7" s="2516"/>
      <c r="D7" s="2554"/>
      <c r="E7" s="2555">
        <f>COVER!A13</f>
        <v>7016128002</v>
      </c>
      <c r="F7" s="2556"/>
      <c r="G7" s="2522" t="str">
        <f>COVER!T23</f>
        <v>06-5035081</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RSM US LLP</v>
      </c>
      <c r="H9" s="2529"/>
      <c r="I9" s="2529"/>
      <c r="J9" s="2529"/>
      <c r="K9" s="2529"/>
      <c r="L9" s="2530"/>
    </row>
    <row r="10" spans="1:29" ht="13.5" customHeight="1" x14ac:dyDescent="0.2">
      <c r="A10" s="2512" t="str">
        <f>COVER!A38</f>
        <v>Dr. Merryl Brownlow</v>
      </c>
      <c r="B10" s="2513"/>
      <c r="C10" s="2513"/>
      <c r="D10" s="2513"/>
      <c r="E10" s="2513"/>
      <c r="F10" s="2514"/>
      <c r="G10" s="2528" t="str">
        <f>COVER!T17</f>
        <v>One South Wacker Drive, Suite 800</v>
      </c>
      <c r="H10" s="2541"/>
      <c r="I10" s="2541"/>
      <c r="J10" s="2541"/>
      <c r="K10" s="2541"/>
      <c r="L10" s="2542"/>
    </row>
    <row r="11" spans="1:29" ht="13.5" customHeight="1" x14ac:dyDescent="0.2">
      <c r="A11" s="963" t="s">
        <v>1502</v>
      </c>
      <c r="B11" s="964"/>
      <c r="C11" s="965"/>
      <c r="D11" s="970"/>
      <c r="E11" s="965"/>
      <c r="F11" s="969"/>
      <c r="G11" s="2528" t="str">
        <f>COVER!T19</f>
        <v xml:space="preserve">Chicago </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john.george@rsmus.com</v>
      </c>
      <c r="J13" s="2550"/>
      <c r="K13" s="2550"/>
      <c r="L13" s="2551"/>
    </row>
    <row r="14" spans="1:29" ht="13.5" customHeight="1" x14ac:dyDescent="0.2">
      <c r="A14" s="2528" t="str">
        <f>COVER!A19</f>
        <v>12809 South McVicker</v>
      </c>
      <c r="B14" s="2541"/>
      <c r="C14" s="2541"/>
      <c r="D14" s="2541"/>
      <c r="E14" s="2541"/>
      <c r="F14" s="2542"/>
      <c r="G14" s="974" t="s">
        <v>1175</v>
      </c>
      <c r="H14" s="972"/>
      <c r="I14" s="972"/>
      <c r="J14" s="972"/>
      <c r="K14" s="972"/>
      <c r="L14" s="973"/>
    </row>
    <row r="15" spans="1:29" ht="13.5" customHeight="1" x14ac:dyDescent="0.2">
      <c r="A15" s="2528" t="str">
        <f>COVER!A21</f>
        <v>Palos Heights</v>
      </c>
      <c r="B15" s="2541"/>
      <c r="C15" s="2541"/>
      <c r="D15" s="2541"/>
      <c r="E15" s="2541"/>
      <c r="F15" s="2542"/>
      <c r="G15" s="2538" t="str">
        <f>COVER!T15</f>
        <v>John George</v>
      </c>
      <c r="H15" s="2539"/>
      <c r="I15" s="2539"/>
      <c r="J15" s="2539"/>
      <c r="K15" s="2539"/>
      <c r="L15" s="2540"/>
    </row>
    <row r="16" spans="1:29" ht="12.2" customHeight="1" x14ac:dyDescent="0.2">
      <c r="A16" s="2518">
        <f>COVER!A25</f>
        <v>60463</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312-634-4414</v>
      </c>
      <c r="H18" s="2516"/>
      <c r="I18" s="2516"/>
      <c r="J18" s="2516"/>
      <c r="K18" s="2515" t="str">
        <f>COVER!X21</f>
        <v>312-634-5523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3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1.1"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1.1"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0" zoomScaleNormal="100" workbookViewId="0">
      <selection activeCell="V18" sqref="V18"/>
    </sheetView>
  </sheetViews>
  <sheetFormatPr defaultColWidth="10.85546875" defaultRowHeight="11.25" x14ac:dyDescent="0.2"/>
  <cols>
    <col min="1" max="1" width="1.85546875" style="994" customWidth="1"/>
    <col min="2" max="2" width="2.85546875" style="998" customWidth="1"/>
    <col min="3" max="3" width="3.140625" style="1008" customWidth="1"/>
    <col min="4" max="4" width="97.85546875" style="998" customWidth="1"/>
    <col min="5" max="5" width="4.140625" style="998" customWidth="1"/>
    <col min="6" max="16384" width="10.85546875" style="998"/>
  </cols>
  <sheetData>
    <row r="1" spans="1:11" s="991" customFormat="1" ht="12.75" x14ac:dyDescent="0.2">
      <c r="A1" s="2557" t="str">
        <f>'Single Audit Cover'!A7</f>
        <v xml:space="preserve">  Palos Heights SD 128</v>
      </c>
      <c r="B1" s="2558"/>
      <c r="C1" s="2558"/>
      <c r="D1" s="2558"/>
    </row>
    <row r="2" spans="1:11" s="991" customFormat="1" ht="12.75" x14ac:dyDescent="0.2">
      <c r="A2" s="2559">
        <f>'Single Audit Cover'!E7</f>
        <v>7016128002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Normal="100" zoomScaleSheetLayoutView="100" workbookViewId="0">
      <selection activeCell="V18" sqref="V18"/>
    </sheetView>
  </sheetViews>
  <sheetFormatPr defaultColWidth="15.85546875" defaultRowHeight="12.75" x14ac:dyDescent="0.2"/>
  <cols>
    <col min="1" max="1" width="31.85546875" style="295" customWidth="1"/>
    <col min="2" max="2" width="29.5703125" style="1034" customWidth="1"/>
    <col min="3" max="3" width="1.140625" style="1034" customWidth="1"/>
    <col min="4" max="4" width="24.42578125" style="1035" customWidth="1"/>
    <col min="5" max="5" width="5" style="295" customWidth="1"/>
    <col min="6" max="16384" width="15.85546875" style="295"/>
  </cols>
  <sheetData>
    <row r="1" spans="1:5" x14ac:dyDescent="0.2">
      <c r="A1" s="2562" t="str">
        <f>'Single Audit Cover'!A7</f>
        <v xml:space="preserve">  Palos Heights SD 128</v>
      </c>
      <c r="B1" s="2562"/>
      <c r="C1" s="2562"/>
      <c r="D1" s="2562"/>
      <c r="E1" s="2562"/>
    </row>
    <row r="2" spans="1:5" x14ac:dyDescent="0.2">
      <c r="A2" s="2563">
        <f>'Single Audit Cover'!E7</f>
        <v>7016128002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374247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-6349</v>
      </c>
    </row>
    <row r="19" spans="1:4" ht="13.5" thickBot="1" x14ac:dyDescent="0.25">
      <c r="A19" s="1041" t="s">
        <v>1224</v>
      </c>
      <c r="D19" s="1042">
        <f>SUM(D10:D17)</f>
        <v>367898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367898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367898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70" zoomScaleNormal="70" workbookViewId="0">
      <selection activeCell="O21" sqref="O21"/>
    </sheetView>
  </sheetViews>
  <sheetFormatPr defaultColWidth="33.5703125" defaultRowHeight="12.75" x14ac:dyDescent="0.2"/>
  <cols>
    <col min="1" max="1" width="0.140625" style="295" customWidth="1"/>
    <col min="2" max="2" width="32.85546875" style="295" customWidth="1"/>
    <col min="3" max="3" width="8.85546875" style="1127" customWidth="1"/>
    <col min="4" max="4" width="12.85546875" style="1128" customWidth="1"/>
    <col min="5" max="6" width="11.85546875" style="295" customWidth="1"/>
    <col min="7" max="7" width="11.85546875" style="1034" customWidth="1"/>
    <col min="8" max="8" width="13.85546875" style="1034" bestFit="1" customWidth="1"/>
    <col min="9" max="9" width="11.85546875" style="1034" customWidth="1"/>
    <col min="10" max="10" width="13.85546875" style="1034" customWidth="1"/>
    <col min="11" max="12" width="11.85546875" style="1034" customWidth="1"/>
    <col min="13" max="13" width="11.85546875" style="295" customWidth="1"/>
    <col min="14" max="14" width="2.85546875" style="295" customWidth="1"/>
    <col min="15" max="16384" width="33.5703125" style="295"/>
  </cols>
  <sheetData>
    <row r="1" spans="2:14" ht="11.85" customHeight="1" x14ac:dyDescent="0.2">
      <c r="B1" s="2521" t="str">
        <f>'Single Audit Cover'!A7</f>
        <v xml:space="preserve">  Palos Heights SD 128</v>
      </c>
      <c r="C1" s="2566"/>
      <c r="D1" s="2566"/>
      <c r="E1" s="2566"/>
      <c r="F1" s="2566"/>
      <c r="G1" s="2566"/>
      <c r="H1" s="2566"/>
      <c r="I1" s="2566"/>
      <c r="J1" s="2566"/>
      <c r="K1" s="2566"/>
      <c r="L1" s="2566"/>
      <c r="M1" s="2566"/>
    </row>
    <row r="2" spans="2:14" ht="15" x14ac:dyDescent="0.2">
      <c r="B2" s="2567">
        <f>'Single Audit Cover'!E7</f>
        <v>7016128002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25"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85" zoomScaleNormal="85" workbookViewId="0">
      <selection activeCell="C21" sqref="C21:D21"/>
    </sheetView>
  </sheetViews>
  <sheetFormatPr defaultColWidth="8" defaultRowHeight="12.75" x14ac:dyDescent="0.2"/>
  <cols>
    <col min="1" max="1" width="1.42578125" style="295" customWidth="1"/>
    <col min="2" max="2" width="53.140625" style="295" customWidth="1"/>
    <col min="3" max="3" width="14" style="1034" customWidth="1"/>
    <col min="4" max="4" width="16.85546875" style="1034" customWidth="1"/>
    <col min="5" max="5" width="7.5703125" style="295" customWidth="1"/>
    <col min="6" max="6" width="2.85546875" style="295" customWidth="1"/>
    <col min="7" max="7" width="3.140625" style="295" customWidth="1"/>
    <col min="8" max="16384" width="8" style="295"/>
  </cols>
  <sheetData>
    <row r="1" spans="1:7" ht="13.5" customHeight="1" x14ac:dyDescent="0.2">
      <c r="A1" s="2571" t="str">
        <f>'Single Audit Cover'!A7</f>
        <v xml:space="preserve">  Palos Heights SD 128</v>
      </c>
      <c r="B1" s="2571"/>
      <c r="C1" s="2571"/>
      <c r="D1" s="2571"/>
      <c r="E1" s="2571"/>
      <c r="F1" s="2571"/>
    </row>
    <row r="2" spans="1:7" ht="13.5" customHeight="1" x14ac:dyDescent="0.2">
      <c r="A2" s="2567">
        <f>'Single Audit Cover'!E7</f>
        <v>7016128002</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85" customHeight="1" x14ac:dyDescent="0.2">
      <c r="A18" s="1059"/>
      <c r="B18" s="1060"/>
      <c r="C18" s="1061"/>
      <c r="D18" s="2574"/>
      <c r="E18" s="2574"/>
      <c r="F18" s="2574"/>
    </row>
    <row r="19" spans="1:6" ht="20.85" customHeight="1" x14ac:dyDescent="0.2">
      <c r="A19" s="1059"/>
      <c r="B19" s="1060"/>
      <c r="C19" s="1061"/>
      <c r="D19" s="2574"/>
      <c r="E19" s="2574"/>
      <c r="F19" s="2574"/>
    </row>
    <row r="20" spans="1:6" ht="20.85" customHeight="1" x14ac:dyDescent="0.2">
      <c r="A20" s="1059"/>
      <c r="B20" s="1060"/>
      <c r="C20" s="1061"/>
      <c r="D20" s="2574"/>
      <c r="E20" s="2574"/>
      <c r="F20" s="2574"/>
    </row>
    <row r="21" spans="1:6" ht="20.85" customHeight="1" x14ac:dyDescent="0.2">
      <c r="A21" s="1059"/>
      <c r="B21" s="1060"/>
      <c r="C21" s="1061"/>
      <c r="D21" s="2574"/>
      <c r="E21" s="2574"/>
      <c r="F21" s="2574"/>
    </row>
    <row r="22" spans="1:6" ht="20.85" customHeight="1" x14ac:dyDescent="0.2">
      <c r="A22" s="1059"/>
      <c r="B22" s="1060"/>
      <c r="C22" s="1061"/>
      <c r="D22" s="2574"/>
      <c r="E22" s="2574"/>
      <c r="F22" s="2574"/>
    </row>
    <row r="23" spans="1:6" ht="20.85" customHeight="1" x14ac:dyDescent="0.2">
      <c r="A23" s="1059"/>
      <c r="B23" s="1060"/>
      <c r="C23" s="1061"/>
      <c r="D23" s="2574"/>
      <c r="E23" s="2574"/>
      <c r="F23" s="2574"/>
    </row>
    <row r="24" spans="1:6" ht="20.85" customHeight="1" x14ac:dyDescent="0.2">
      <c r="A24" s="1059"/>
      <c r="B24" s="1060"/>
      <c r="C24" s="1061"/>
      <c r="D24" s="2574"/>
      <c r="E24" s="2574"/>
      <c r="F24" s="2574"/>
    </row>
    <row r="25" spans="1:6" ht="20.85" customHeight="1" x14ac:dyDescent="0.2">
      <c r="A25" s="1059"/>
      <c r="B25" s="1060"/>
      <c r="C25" s="1061"/>
      <c r="D25" s="2574"/>
      <c r="E25" s="2574"/>
      <c r="F25" s="2574"/>
    </row>
    <row r="26" spans="1:6" ht="20.85" customHeight="1" x14ac:dyDescent="0.2">
      <c r="A26" s="1059"/>
      <c r="B26" s="1060"/>
      <c r="C26" s="1061"/>
      <c r="D26" s="2574"/>
      <c r="E26" s="2574"/>
      <c r="F26" s="2574"/>
    </row>
    <row r="27" spans="1:6" ht="20.85" customHeight="1" x14ac:dyDescent="0.2">
      <c r="A27" s="1059"/>
      <c r="B27" s="1060"/>
      <c r="C27" s="1061"/>
      <c r="D27" s="2574"/>
      <c r="E27" s="2574"/>
      <c r="F27" s="2574"/>
    </row>
    <row r="28" spans="1:6" ht="20.85" customHeight="1" x14ac:dyDescent="0.2">
      <c r="A28" s="1059"/>
      <c r="B28" s="1060"/>
      <c r="C28" s="1061"/>
      <c r="D28" s="2574"/>
      <c r="E28" s="2574"/>
      <c r="F28" s="2574"/>
    </row>
    <row r="29" spans="1:6" ht="20.8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M108" sqref="M10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855468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38898</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2064</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2091</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21" sqref="C21:D21"/>
    </sheetView>
  </sheetViews>
  <sheetFormatPr defaultColWidth="9.140625" defaultRowHeight="12.75" x14ac:dyDescent="0.2"/>
  <cols>
    <col min="1" max="1" width="1.42578125" style="1076" customWidth="1"/>
    <col min="2" max="2" width="24.42578125" style="1127" customWidth="1"/>
    <col min="3" max="3" width="29.5703125" style="295" customWidth="1"/>
    <col min="4" max="4" width="9.140625" style="295" customWidth="1"/>
    <col min="5" max="5" width="5.140625" style="1034" customWidth="1"/>
    <col min="6" max="8" width="5.140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Palos Heights SD 128</v>
      </c>
      <c r="C1" s="2587"/>
      <c r="D1" s="2587"/>
      <c r="E1" s="2587"/>
      <c r="F1" s="2587"/>
      <c r="G1" s="2587"/>
      <c r="H1" s="2587"/>
      <c r="I1" s="2587"/>
      <c r="J1" s="1178"/>
    </row>
    <row r="2" spans="2:10" s="295" customFormat="1" ht="12.75" customHeight="1" x14ac:dyDescent="0.2">
      <c r="B2" s="2588">
        <f>'Single Audit Cover'!E7</f>
        <v>7016128002</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9" t="str">
        <f>"Total Federal Expenditures for 7/1/"&amp;MID('AFR20'!E2,3,2)-1&amp;"-6/30/"&amp;MID('AFR20'!E2,3,2)</f>
        <v>Total Federal Expenditures for 7/1/19-6/30/20</v>
      </c>
      <c r="C45" s="1920"/>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21" sqref="C21:D2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Palos Heights SD 128</v>
      </c>
      <c r="C1" s="2586"/>
      <c r="D1" s="2586"/>
      <c r="E1" s="2586"/>
      <c r="F1" s="2586"/>
      <c r="G1" s="2586"/>
      <c r="H1" s="2586"/>
      <c r="I1" s="2586"/>
      <c r="J1" s="2586"/>
      <c r="K1" s="2586"/>
      <c r="L1" s="1144"/>
      <c r="M1" s="1144"/>
    </row>
    <row r="2" spans="1:13" ht="12" customHeight="1" x14ac:dyDescent="0.2">
      <c r="B2" s="2588">
        <f>'Single Audit Cover'!E7</f>
        <v>7016128002</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21" sqref="C21:D21"/>
    </sheetView>
  </sheetViews>
  <sheetFormatPr defaultColWidth="9.140625" defaultRowHeight="12.75" x14ac:dyDescent="0.2"/>
  <cols>
    <col min="1" max="1" width="1.5703125" style="295" customWidth="1"/>
    <col min="2" max="2" width="21.5703125" style="295" customWidth="1"/>
    <col min="3" max="3" width="6.140625" style="295" customWidth="1"/>
    <col min="4" max="4" width="4.855468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Palos Heights SD 128</v>
      </c>
      <c r="C1" s="2613"/>
      <c r="D1" s="2613"/>
      <c r="E1" s="2613"/>
      <c r="F1" s="2613"/>
      <c r="G1" s="2613"/>
      <c r="H1" s="2613"/>
      <c r="I1" s="2613"/>
      <c r="J1" s="2613"/>
      <c r="K1" s="2613"/>
      <c r="L1" s="1221"/>
    </row>
    <row r="2" spans="1:12" ht="12.75" customHeight="1" x14ac:dyDescent="0.2">
      <c r="B2" s="2614">
        <f>'Single Audit Cover'!E7</f>
        <v>7016128002</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6"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6"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21" sqref="C21:D21"/>
    </sheetView>
  </sheetViews>
  <sheetFormatPr defaultColWidth="9.140625" defaultRowHeight="12.75" x14ac:dyDescent="0.2"/>
  <cols>
    <col min="1" max="1" width="1.5703125" style="295" customWidth="1"/>
    <col min="2" max="2" width="14.85546875" style="295" customWidth="1"/>
    <col min="3" max="3" width="40.85546875" style="295" customWidth="1"/>
    <col min="4" max="4" width="42.140625" style="295" customWidth="1"/>
    <col min="5" max="5" width="8.140625" style="295" customWidth="1"/>
    <col min="6" max="9" width="9.140625" style="295"/>
    <col min="10" max="10" width="6.85546875" style="295" customWidth="1"/>
    <col min="11" max="16384" width="9.140625" style="295"/>
  </cols>
  <sheetData>
    <row r="1" spans="2:5" s="1058" customFormat="1" ht="12.75" customHeight="1" x14ac:dyDescent="0.2">
      <c r="B1" s="2586" t="str">
        <f>'Single Audit Cover'!A7</f>
        <v xml:space="preserve">  Palos Heights SD 128</v>
      </c>
      <c r="C1" s="2586"/>
      <c r="D1" s="2586"/>
      <c r="E1" s="1240"/>
    </row>
    <row r="2" spans="2:5" s="1058" customFormat="1" ht="12.75" customHeight="1" x14ac:dyDescent="0.2">
      <c r="B2" s="2588">
        <f>'Single Audit Cover'!E7</f>
        <v>7016128002</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3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R62" sqref="R62"/>
    </sheetView>
  </sheetViews>
  <sheetFormatPr defaultColWidth="9.140625" defaultRowHeight="12" x14ac:dyDescent="0.2"/>
  <cols>
    <col min="1" max="1" width="4.85546875" style="217" customWidth="1"/>
    <col min="2" max="2" width="2.85546875" style="325" customWidth="1"/>
    <col min="3" max="3" width="3.85546875" style="325" customWidth="1"/>
    <col min="4" max="4" width="14.85546875" style="325" customWidth="1"/>
    <col min="5" max="5" width="2.85546875" style="325" customWidth="1"/>
    <col min="6" max="6" width="14.85546875" style="325" customWidth="1"/>
    <col min="7" max="7" width="4" style="325" customWidth="1"/>
    <col min="8" max="8" width="14.85546875" style="325" customWidth="1"/>
    <col min="9" max="9" width="2.85546875" style="325" customWidth="1"/>
    <col min="10" max="10" width="14.85546875" style="325" customWidth="1"/>
    <col min="11" max="11" width="2.85546875" style="325" customWidth="1"/>
    <col min="12" max="12" width="14.85546875" style="325" customWidth="1"/>
    <col min="13" max="13" width="2.85546875" style="325" customWidth="1"/>
    <col min="14" max="14" width="3.85546875" style="217" customWidth="1"/>
    <col min="15" max="15" width="4.85546875" style="325" customWidth="1"/>
    <col min="16" max="17" width="5.855468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1.1"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306761690</v>
      </c>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2.2030000000000001E-3</v>
      </c>
      <c r="E10" s="333" t="s">
        <v>998</v>
      </c>
      <c r="F10" s="332">
        <v>2.4229999999999998E-3</v>
      </c>
      <c r="G10" s="333" t="s">
        <v>998</v>
      </c>
      <c r="H10" s="332">
        <v>9.9500000000000001E-4</v>
      </c>
      <c r="I10" s="333" t="s">
        <v>999</v>
      </c>
      <c r="J10" s="1424">
        <f>ROUND(D10+F10+H10,5)</f>
        <v>5.62E-3</v>
      </c>
      <c r="K10" s="217"/>
      <c r="L10" s="332">
        <v>3.9999999999999998E-6</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9668516</v>
      </c>
      <c r="E16" s="1547"/>
      <c r="F16" s="1546">
        <f>SUM('Acct Summary 7-8'!C17,'Acct Summary 7-8'!D17,'Acct Summary 7-8'!F17)</f>
        <v>8919060</v>
      </c>
      <c r="G16" s="1547"/>
      <c r="H16" s="1546">
        <f>SUM(D16-F16)</f>
        <v>749456</v>
      </c>
      <c r="I16" s="1548"/>
      <c r="J16" s="1546">
        <f>SUM('Acct Summary 7-8'!C81,'Acct Summary 7-8'!D81,'Acct Summary 7-8'!F81,'Acct Summary 7-8'!I81)</f>
        <v>10244110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21166556.610000003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1735000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Normal="100" workbookViewId="0">
      <selection activeCell="R62" sqref="R62"/>
    </sheetView>
  </sheetViews>
  <sheetFormatPr defaultColWidth="9.140625" defaultRowHeight="12" x14ac:dyDescent="0.2"/>
  <cols>
    <col min="1" max="1" width="2" style="362" customWidth="1"/>
    <col min="2" max="2" width="2.85546875" style="411" customWidth="1"/>
    <col min="3" max="3" width="15.140625" style="362" customWidth="1"/>
    <col min="4" max="4" width="37.85546875" style="362" customWidth="1"/>
    <col min="5" max="5" width="1.85546875" style="362" customWidth="1"/>
    <col min="6" max="6" width="31.140625" style="362" customWidth="1"/>
    <col min="7" max="7" width="1.85546875" style="362" customWidth="1"/>
    <col min="8" max="8" width="15.85546875" style="413" customWidth="1"/>
    <col min="9" max="9" width="2.85546875" style="362" customWidth="1"/>
    <col min="10" max="10" width="5.85546875" style="362" hidden="1" customWidth="1"/>
    <col min="11" max="11" width="10.85546875" style="413" customWidth="1"/>
    <col min="12" max="12" width="2.85546875" style="362" customWidth="1"/>
    <col min="13" max="13" width="10.85546875" style="362" customWidth="1"/>
    <col min="14" max="14" width="2.85546875" style="362" customWidth="1"/>
    <col min="15" max="15" width="10.85546875" style="362" customWidth="1"/>
    <col min="16" max="16" width="0.85546875" style="362" customWidth="1"/>
    <col min="17" max="18" width="2.855468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Palos Heights SD 128</v>
      </c>
      <c r="E7" s="368"/>
      <c r="G7" s="247"/>
      <c r="H7" s="364"/>
      <c r="I7" s="364"/>
      <c r="J7" s="364"/>
      <c r="K7" s="364"/>
      <c r="L7" s="307"/>
      <c r="M7" s="307"/>
      <c r="N7" s="307"/>
      <c r="O7" s="307"/>
      <c r="P7" s="307"/>
    </row>
    <row r="8" spans="1:18" ht="12.75" x14ac:dyDescent="0.2">
      <c r="A8" s="307"/>
      <c r="B8" s="307"/>
      <c r="C8" s="366" t="s">
        <v>1115</v>
      </c>
      <c r="D8" s="369">
        <f>COVER!A13</f>
        <v>7016128002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10244110</v>
      </c>
      <c r="I12" s="380"/>
      <c r="J12" s="380"/>
      <c r="K12" s="1559">
        <f>TRUNC((H12/H13*100000),5)/100000</f>
        <v>1.0595328176000001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9668516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8919060</v>
      </c>
      <c r="I17" s="380"/>
      <c r="J17" s="389"/>
      <c r="K17" s="1559">
        <f>TRUNC((H17/H18*100000),5)/100000</f>
        <v>0.92248489839999992</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9668516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10041019</v>
      </c>
      <c r="I24" s="394"/>
      <c r="J24" s="394"/>
      <c r="K24" s="1555">
        <f>TRUNC(((H24/H25*100000)/100000),2)</f>
        <v>405.28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24775.166669999999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1465400.5931299999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1735000</v>
      </c>
      <c r="I32" s="392"/>
      <c r="J32" s="392"/>
      <c r="K32" s="1555">
        <f>TRUNC(100-((((H32/H33*100))*100)/100),2)</f>
        <v>91.8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21166556.610000003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70" zoomScaleNormal="70" workbookViewId="0">
      <pane ySplit="2" topLeftCell="A39" activePane="bottomLeft" state="frozen"/>
      <selection activeCell="R62" sqref="R62"/>
      <selection pane="bottomLeft" activeCell="R62" sqref="R62"/>
    </sheetView>
  </sheetViews>
  <sheetFormatPr defaultColWidth="9.140625" defaultRowHeight="12.75" x14ac:dyDescent="0.2"/>
  <cols>
    <col min="1" max="1" width="47.140625" style="441" customWidth="1"/>
    <col min="2" max="2" width="4.5703125" style="442" customWidth="1"/>
    <col min="3" max="14" width="13.855468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6399800</v>
      </c>
      <c r="D4" s="1573">
        <v>882790</v>
      </c>
      <c r="E4" s="1573">
        <v>721516</v>
      </c>
      <c r="F4" s="1573">
        <v>600719</v>
      </c>
      <c r="G4" s="1573">
        <v>263507</v>
      </c>
      <c r="H4" s="1573">
        <v>615</v>
      </c>
      <c r="I4" s="1573">
        <v>2157710</v>
      </c>
      <c r="J4" s="1574">
        <v>4556</v>
      </c>
      <c r="K4" s="1573">
        <v>45857</v>
      </c>
      <c r="L4" s="1573">
        <v>14081</v>
      </c>
      <c r="M4" s="1575"/>
      <c r="N4" s="1576"/>
    </row>
    <row r="5" spans="1:14" x14ac:dyDescent="0.2">
      <c r="A5" s="427" t="s">
        <v>985</v>
      </c>
      <c r="B5" s="429">
        <v>120</v>
      </c>
      <c r="C5" s="1572">
        <v>0</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67043</v>
      </c>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v>0</v>
      </c>
      <c r="J8" s="1579"/>
      <c r="K8" s="1584"/>
      <c r="L8" s="1585"/>
      <c r="M8" s="1575"/>
      <c r="N8" s="1576"/>
    </row>
    <row r="9" spans="1:14" ht="13.5" customHeight="1" x14ac:dyDescent="0.2">
      <c r="A9" s="430" t="s">
        <v>268</v>
      </c>
      <c r="B9" s="429">
        <v>160</v>
      </c>
      <c r="C9" s="1581">
        <v>104183</v>
      </c>
      <c r="D9" s="1574">
        <v>43245</v>
      </c>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6571026</v>
      </c>
      <c r="D13" s="1587">
        <f t="shared" ref="D13:L13" si="0">SUM(D4:D12)</f>
        <v>926035</v>
      </c>
      <c r="E13" s="1587">
        <f t="shared" si="0"/>
        <v>721516</v>
      </c>
      <c r="F13" s="1587">
        <f t="shared" si="0"/>
        <v>600719</v>
      </c>
      <c r="G13" s="1587">
        <f t="shared" si="0"/>
        <v>263507</v>
      </c>
      <c r="H13" s="1587">
        <f t="shared" si="0"/>
        <v>615</v>
      </c>
      <c r="I13" s="1587">
        <f t="shared" si="0"/>
        <v>2157710</v>
      </c>
      <c r="J13" s="1587">
        <f t="shared" si="0"/>
        <v>4556</v>
      </c>
      <c r="K13" s="1587">
        <f t="shared" si="0"/>
        <v>45857</v>
      </c>
      <c r="L13" s="1587">
        <f t="shared" si="0"/>
        <v>14081</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58959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11320319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14947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875000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860000</v>
      </c>
    </row>
    <row r="23" spans="1:14" ht="13.5" customHeight="1" thickBot="1" x14ac:dyDescent="0.25">
      <c r="A23" s="1426" t="s">
        <v>638</v>
      </c>
      <c r="B23" s="1429"/>
      <c r="C23" s="1575"/>
      <c r="D23" s="1575"/>
      <c r="E23" s="1575"/>
      <c r="F23" s="1575"/>
      <c r="G23" s="1575"/>
      <c r="H23" s="1575"/>
      <c r="I23" s="1575"/>
      <c r="J23" s="1575"/>
      <c r="K23" s="1575"/>
      <c r="L23" s="1575"/>
      <c r="M23" s="1594">
        <f>SUM(M15:M22)</f>
        <v>11394225</v>
      </c>
      <c r="N23" s="1594">
        <f>SUM(N21:N22)</f>
        <v>1735000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v>2043</v>
      </c>
      <c r="H25" s="1584">
        <v>65000</v>
      </c>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c r="F28" s="1574">
        <v>0</v>
      </c>
      <c r="G28" s="1579">
        <v>0</v>
      </c>
      <c r="H28" s="1579">
        <v>0</v>
      </c>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0</v>
      </c>
      <c r="D30" s="1579">
        <v>0</v>
      </c>
      <c r="E30" s="1574"/>
      <c r="F30" s="1574">
        <v>0</v>
      </c>
      <c r="G30" s="1574">
        <v>624</v>
      </c>
      <c r="H30" s="1574"/>
      <c r="I30" s="1574"/>
      <c r="J30" s="1574"/>
      <c r="K30" s="1583"/>
      <c r="L30" s="1575"/>
      <c r="M30" s="1575"/>
      <c r="N30" s="1575"/>
    </row>
    <row r="31" spans="1:14" ht="13.5" customHeight="1" x14ac:dyDescent="0.2">
      <c r="A31" s="430" t="s">
        <v>646</v>
      </c>
      <c r="B31" s="429">
        <v>480</v>
      </c>
      <c r="C31" s="1573">
        <v>0</v>
      </c>
      <c r="D31" s="1574">
        <v>0</v>
      </c>
      <c r="E31" s="1574"/>
      <c r="F31" s="1573">
        <v>11380</v>
      </c>
      <c r="G31" s="1574">
        <v>0</v>
      </c>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14081</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11380</v>
      </c>
      <c r="G34" s="1600">
        <f t="shared" si="1"/>
        <v>2667</v>
      </c>
      <c r="H34" s="1600">
        <f t="shared" si="1"/>
        <v>65000</v>
      </c>
      <c r="I34" s="1600">
        <f t="shared" si="1"/>
        <v>0</v>
      </c>
      <c r="J34" s="1600">
        <f t="shared" si="1"/>
        <v>0</v>
      </c>
      <c r="K34" s="1600">
        <f t="shared" si="1"/>
        <v>0</v>
      </c>
      <c r="L34" s="1601">
        <f>SUM(L33)</f>
        <v>14081</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1735000</v>
      </c>
    </row>
    <row r="37" spans="1:14" ht="13.5" thickBot="1" x14ac:dyDescent="0.25">
      <c r="A37" s="1426" t="s">
        <v>648</v>
      </c>
      <c r="B37" s="1429"/>
      <c r="C37" s="1582"/>
      <c r="D37" s="1582"/>
      <c r="E37" s="1582"/>
      <c r="F37" s="1582"/>
      <c r="G37" s="1582"/>
      <c r="H37" s="1582"/>
      <c r="I37" s="1582"/>
      <c r="J37" s="1582"/>
      <c r="K37" s="1582"/>
      <c r="L37" s="1585"/>
      <c r="M37" s="1575"/>
      <c r="N37" s="1594">
        <f>SUM(N36:N36)</f>
        <v>1735000</v>
      </c>
    </row>
    <row r="38" spans="1:14" s="307" customFormat="1" ht="13.5" customHeight="1" thickTop="1" x14ac:dyDescent="0.2">
      <c r="A38" s="438" t="s">
        <v>417</v>
      </c>
      <c r="B38" s="432">
        <v>714</v>
      </c>
      <c r="C38" s="1573"/>
      <c r="D38" s="1573">
        <v>926035</v>
      </c>
      <c r="E38" s="1573">
        <v>721516</v>
      </c>
      <c r="F38" s="1573">
        <v>589339</v>
      </c>
      <c r="G38" s="1573">
        <v>260840</v>
      </c>
      <c r="H38" s="1573">
        <v>-64385</v>
      </c>
      <c r="I38" s="1573"/>
      <c r="J38" s="1574">
        <v>4556</v>
      </c>
      <c r="K38" s="1573">
        <v>45857</v>
      </c>
      <c r="L38" s="1586"/>
      <c r="M38" s="1604"/>
      <c r="N38" s="1604"/>
    </row>
    <row r="39" spans="1:14" s="307" customFormat="1" ht="13.5" customHeight="1" x14ac:dyDescent="0.2">
      <c r="A39" s="438" t="s">
        <v>339</v>
      </c>
      <c r="B39" s="432">
        <v>730</v>
      </c>
      <c r="C39" s="1573">
        <v>6571026</v>
      </c>
      <c r="D39" s="1573"/>
      <c r="E39" s="1573"/>
      <c r="F39" s="1573"/>
      <c r="G39" s="1573"/>
      <c r="H39" s="1573"/>
      <c r="I39" s="1573">
        <v>2157710</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11394225</v>
      </c>
      <c r="N40" s="1604"/>
    </row>
    <row r="41" spans="1:14" ht="13.5" customHeight="1" thickBot="1" x14ac:dyDescent="0.25">
      <c r="A41" s="1426" t="s">
        <v>650</v>
      </c>
      <c r="B41" s="1405"/>
      <c r="C41" s="1594">
        <f>(SUM(C34,C37,C38,C39))</f>
        <v>6571026</v>
      </c>
      <c r="D41" s="1594">
        <f t="shared" ref="D41:L41" si="2">SUM(D34,D37,D38:D39)</f>
        <v>926035</v>
      </c>
      <c r="E41" s="1594">
        <f t="shared" si="2"/>
        <v>721516</v>
      </c>
      <c r="F41" s="1594">
        <f t="shared" si="2"/>
        <v>600719</v>
      </c>
      <c r="G41" s="1594">
        <f t="shared" si="2"/>
        <v>263507</v>
      </c>
      <c r="H41" s="1594">
        <f t="shared" si="2"/>
        <v>615</v>
      </c>
      <c r="I41" s="1594">
        <f t="shared" si="2"/>
        <v>2157710</v>
      </c>
      <c r="J41" s="1594">
        <f t="shared" si="2"/>
        <v>4556</v>
      </c>
      <c r="K41" s="1594">
        <f t="shared" si="2"/>
        <v>45857</v>
      </c>
      <c r="L41" s="1594">
        <f t="shared" si="2"/>
        <v>14081</v>
      </c>
      <c r="M41" s="1594">
        <f>SUM(M40)</f>
        <v>11394225</v>
      </c>
      <c r="N41" s="1594">
        <f>SUM(N37)</f>
        <v>1735000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5" zoomScaleNormal="85" zoomScaleSheetLayoutView="100" workbookViewId="0">
      <pane ySplit="2" topLeftCell="A6" activePane="bottomLeft" state="frozen"/>
      <selection activeCell="R62" sqref="R62"/>
      <selection pane="bottomLeft" activeCell="R62" sqref="R62"/>
    </sheetView>
  </sheetViews>
  <sheetFormatPr defaultColWidth="9.140625" defaultRowHeight="12.75" x14ac:dyDescent="0.2"/>
  <cols>
    <col min="1" max="1" width="55.85546875" style="441" customWidth="1"/>
    <col min="2" max="2" width="4.85546875" style="442" customWidth="1"/>
    <col min="3" max="11" width="13.855468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7339864</v>
      </c>
      <c r="D4" s="1606">
        <f>'Revenues 9-14'!D109</f>
        <v>756266</v>
      </c>
      <c r="E4" s="1606">
        <f>'Revenues 9-14'!E109</f>
        <v>933586</v>
      </c>
      <c r="F4" s="1606">
        <f>'Revenues 9-14'!F109</f>
        <v>324336</v>
      </c>
      <c r="G4" s="1606">
        <f>'Revenues 9-14'!G109</f>
        <v>343154</v>
      </c>
      <c r="H4" s="1606">
        <f>'Revenues 9-14'!H109</f>
        <v>-2400</v>
      </c>
      <c r="I4" s="1606">
        <f>'Revenues 9-14'!I109</f>
        <v>59812</v>
      </c>
      <c r="J4" s="1606">
        <f>'Revenues 9-14'!J109</f>
        <v>110</v>
      </c>
      <c r="K4" s="1606">
        <f>'Revenues 9-14'!K109</f>
        <v>2303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666543</v>
      </c>
      <c r="D6" s="1607">
        <f>'Revenues 9-14'!D170</f>
        <v>50000</v>
      </c>
      <c r="E6" s="1607">
        <f>'Revenues 9-14'!E170</f>
        <v>0</v>
      </c>
      <c r="F6" s="1607">
        <f>'Revenues 9-14'!F170</f>
        <v>97448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374247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8380654</v>
      </c>
      <c r="D8" s="1594">
        <f t="shared" ref="D8:K8" si="0">SUM(D4:D7)</f>
        <v>806266</v>
      </c>
      <c r="E8" s="1594">
        <f t="shared" si="0"/>
        <v>933586</v>
      </c>
      <c r="F8" s="1594">
        <f t="shared" si="0"/>
        <v>421784</v>
      </c>
      <c r="G8" s="1594">
        <f t="shared" si="0"/>
        <v>343154</v>
      </c>
      <c r="H8" s="1594">
        <f t="shared" si="0"/>
        <v>-2400</v>
      </c>
      <c r="I8" s="1594">
        <f t="shared" si="0"/>
        <v>59812</v>
      </c>
      <c r="J8" s="1594">
        <f t="shared" si="0"/>
        <v>110</v>
      </c>
      <c r="K8" s="1594">
        <f t="shared" si="0"/>
        <v>2303</v>
      </c>
      <c r="L8" s="325"/>
    </row>
    <row r="9" spans="1:13" ht="15.75" thickTop="1" x14ac:dyDescent="0.2">
      <c r="A9" s="449" t="s">
        <v>1634</v>
      </c>
      <c r="B9" s="450">
        <v>3998</v>
      </c>
      <c r="C9" s="1586">
        <v>2088984</v>
      </c>
      <c r="D9" s="1613"/>
      <c r="E9" s="1586"/>
      <c r="F9" s="1586"/>
      <c r="G9" s="1614"/>
      <c r="H9" s="1586"/>
      <c r="I9" s="1609" t="s">
        <v>1159</v>
      </c>
      <c r="J9" s="1583"/>
      <c r="K9" s="1586"/>
      <c r="L9" s="325"/>
    </row>
    <row r="10" spans="1:13" s="452" customFormat="1" ht="13.5" thickBot="1" x14ac:dyDescent="0.25">
      <c r="A10" s="1426" t="s">
        <v>1163</v>
      </c>
      <c r="B10" s="1407"/>
      <c r="C10" s="1594">
        <f>SUM(C8:C9)</f>
        <v>10469638</v>
      </c>
      <c r="D10" s="1594">
        <f t="shared" ref="D10:K10" si="1">SUM(D8:D9)</f>
        <v>806266</v>
      </c>
      <c r="E10" s="1594">
        <f t="shared" si="1"/>
        <v>933586</v>
      </c>
      <c r="F10" s="1594">
        <f t="shared" si="1"/>
        <v>421784</v>
      </c>
      <c r="G10" s="1594">
        <f t="shared" si="1"/>
        <v>343154</v>
      </c>
      <c r="H10" s="1594">
        <f t="shared" si="1"/>
        <v>-2400</v>
      </c>
      <c r="I10" s="1594">
        <f t="shared" si="1"/>
        <v>59812</v>
      </c>
      <c r="J10" s="1594">
        <f t="shared" si="1"/>
        <v>110</v>
      </c>
      <c r="K10" s="1594">
        <f t="shared" si="1"/>
        <v>2303</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5091270</v>
      </c>
      <c r="D12" s="1616" t="s">
        <v>1159</v>
      </c>
      <c r="E12" s="1575" t="s">
        <v>1159</v>
      </c>
      <c r="F12" s="1575" t="s">
        <v>1159</v>
      </c>
      <c r="G12" s="1606">
        <f>'Expenditures 15-22'!K229</f>
        <v>155119</v>
      </c>
      <c r="H12" s="1617"/>
      <c r="I12" s="1575" t="s">
        <v>1159</v>
      </c>
      <c r="J12" s="1575" t="s">
        <v>1159</v>
      </c>
      <c r="K12" s="1617" t="s">
        <v>1159</v>
      </c>
      <c r="L12" s="325"/>
    </row>
    <row r="13" spans="1:13" ht="15.75" customHeight="1" x14ac:dyDescent="0.2">
      <c r="A13" s="1314" t="s">
        <v>454</v>
      </c>
      <c r="B13" s="1316">
        <v>2000</v>
      </c>
      <c r="C13" s="1607">
        <f>'Expenditures 15-22'!K74</f>
        <v>2790364</v>
      </c>
      <c r="D13" s="1607">
        <f>'Expenditures 15-22'!K129</f>
        <v>693670</v>
      </c>
      <c r="E13" s="1576" t="s">
        <v>1159</v>
      </c>
      <c r="F13" s="1607">
        <f>'Expenditures 15-22'!K184</f>
        <v>307888</v>
      </c>
      <c r="G13" s="1607">
        <f>'Expenditures 15-22'!K279</f>
        <v>176002</v>
      </c>
      <c r="H13" s="1607">
        <f>'Expenditures 15-22'!K303</f>
        <v>1032054</v>
      </c>
      <c r="I13" s="1575" t="s">
        <v>1159</v>
      </c>
      <c r="J13" s="1607">
        <f>'Expenditures 15-22'!K330</f>
        <v>0</v>
      </c>
      <c r="K13" s="1618">
        <f>'Expenditures 15-22'!K352</f>
        <v>0</v>
      </c>
      <c r="L13" s="325"/>
    </row>
    <row r="14" spans="1:13" ht="15.75" customHeight="1" x14ac:dyDescent="0.2">
      <c r="A14" s="1314" t="s">
        <v>446</v>
      </c>
      <c r="B14" s="1316">
        <v>3000</v>
      </c>
      <c r="C14" s="1607">
        <f>'Expenditures 15-22'!K75</f>
        <v>33666</v>
      </c>
      <c r="D14" s="1607">
        <f>'Expenditures 15-22'!K130</f>
        <v>677</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1525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883100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7916825</v>
      </c>
      <c r="D17" s="1594">
        <f t="shared" si="2"/>
        <v>694347</v>
      </c>
      <c r="E17" s="1594">
        <f t="shared" si="2"/>
        <v>883100</v>
      </c>
      <c r="F17" s="1594">
        <f t="shared" si="2"/>
        <v>307888</v>
      </c>
      <c r="G17" s="1594">
        <f t="shared" si="2"/>
        <v>331121</v>
      </c>
      <c r="H17" s="1594">
        <f t="shared" si="2"/>
        <v>1032054</v>
      </c>
      <c r="I17" s="1575"/>
      <c r="J17" s="1594">
        <f>SUM(J12:J16)</f>
        <v>0</v>
      </c>
      <c r="K17" s="1594">
        <f>SUM(K12:K16)</f>
        <v>0</v>
      </c>
      <c r="L17" s="325"/>
    </row>
    <row r="18" spans="1:12" ht="15" customHeight="1" thickTop="1" x14ac:dyDescent="0.2">
      <c r="A18" s="1430" t="s">
        <v>1635</v>
      </c>
      <c r="B18" s="1431">
        <v>4180</v>
      </c>
      <c r="C18" s="1606">
        <f t="shared" ref="C18:H18" si="3">C9</f>
        <v>2088984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10005809</v>
      </c>
      <c r="D19" s="1594">
        <f t="shared" si="4"/>
        <v>694347</v>
      </c>
      <c r="E19" s="1594">
        <f t="shared" si="4"/>
        <v>883100</v>
      </c>
      <c r="F19" s="1594">
        <f t="shared" si="4"/>
        <v>307888</v>
      </c>
      <c r="G19" s="1594">
        <f t="shared" si="4"/>
        <v>331121</v>
      </c>
      <c r="H19" s="1594">
        <f t="shared" si="4"/>
        <v>1032054</v>
      </c>
      <c r="I19" s="1575"/>
      <c r="J19" s="1594">
        <f>SUM(J17:J18)</f>
        <v>0</v>
      </c>
      <c r="K19" s="1594">
        <f>SUM(K17:K18)</f>
        <v>0</v>
      </c>
      <c r="L19" s="325"/>
    </row>
    <row r="20" spans="1:12" ht="16.5" thickTop="1" thickBot="1" x14ac:dyDescent="0.25">
      <c r="A20" s="2231" t="s">
        <v>1636</v>
      </c>
      <c r="B20" s="2232"/>
      <c r="C20" s="1622">
        <f>C8-C17</f>
        <v>463829</v>
      </c>
      <c r="D20" s="1622">
        <f t="shared" ref="D20:K20" si="5">D8-D17</f>
        <v>111919</v>
      </c>
      <c r="E20" s="1622">
        <f t="shared" si="5"/>
        <v>50486</v>
      </c>
      <c r="F20" s="1622">
        <f t="shared" si="5"/>
        <v>113896</v>
      </c>
      <c r="G20" s="1622">
        <f t="shared" si="5"/>
        <v>12033</v>
      </c>
      <c r="H20" s="1622">
        <f t="shared" si="5"/>
        <v>-1034454</v>
      </c>
      <c r="I20" s="1622">
        <f t="shared" si="5"/>
        <v>59812</v>
      </c>
      <c r="J20" s="1622">
        <f t="shared" si="5"/>
        <v>110</v>
      </c>
      <c r="K20" s="1622">
        <f t="shared" si="5"/>
        <v>2303</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0</v>
      </c>
      <c r="D25" s="1574"/>
      <c r="E25" s="1574"/>
      <c r="F25" s="1574"/>
      <c r="G25" s="1574"/>
      <c r="H25" s="1574">
        <v>800000</v>
      </c>
      <c r="I25" s="1582"/>
      <c r="J25" s="1574"/>
      <c r="K25" s="1574"/>
      <c r="L25" s="453"/>
    </row>
    <row r="26" spans="1:12" s="433" customFormat="1" ht="13.5" customHeight="1" x14ac:dyDescent="0.2">
      <c r="A26" s="1260" t="s">
        <v>183</v>
      </c>
      <c r="B26" s="432">
        <v>7120</v>
      </c>
      <c r="C26" s="1574">
        <v>0</v>
      </c>
      <c r="D26" s="1574">
        <v>0</v>
      </c>
      <c r="E26" s="1574"/>
      <c r="F26" s="1574"/>
      <c r="G26" s="1574"/>
      <c r="H26" s="1574">
        <v>0</v>
      </c>
      <c r="I26" s="1582"/>
      <c r="J26" s="1574"/>
      <c r="K26" s="1574"/>
      <c r="L26" s="453"/>
    </row>
    <row r="27" spans="1:12" s="433" customFormat="1" ht="13.5" customHeight="1" x14ac:dyDescent="0.2">
      <c r="A27" s="1260" t="s">
        <v>184</v>
      </c>
      <c r="B27" s="432">
        <v>7130</v>
      </c>
      <c r="C27" s="1574">
        <v>0</v>
      </c>
      <c r="D27" s="1574">
        <v>60000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c r="F28" s="1574"/>
      <c r="G28" s="1574">
        <v>0</v>
      </c>
      <c r="H28" s="1574">
        <v>0</v>
      </c>
      <c r="I28" s="1574"/>
      <c r="J28" s="1574"/>
      <c r="K28" s="1574"/>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c r="E33" s="1574"/>
      <c r="F33" s="1574"/>
      <c r="G33" s="1582"/>
      <c r="H33" s="1574">
        <v>0</v>
      </c>
      <c r="I33" s="1574">
        <v>0</v>
      </c>
      <c r="J33" s="1574"/>
      <c r="K33" s="1574">
        <v>0</v>
      </c>
      <c r="L33" s="453"/>
    </row>
    <row r="34" spans="1:12" s="433" customFormat="1" x14ac:dyDescent="0.2">
      <c r="A34" s="1260" t="s">
        <v>994</v>
      </c>
      <c r="B34" s="454">
        <v>7220</v>
      </c>
      <c r="C34" s="1574"/>
      <c r="D34" s="1574"/>
      <c r="E34" s="1574">
        <v>0</v>
      </c>
      <c r="F34" s="1574"/>
      <c r="G34" s="1582"/>
      <c r="H34" s="1583">
        <v>0</v>
      </c>
      <c r="I34" s="1583">
        <v>0</v>
      </c>
      <c r="J34" s="1583"/>
      <c r="K34" s="1583"/>
      <c r="L34" s="453"/>
    </row>
    <row r="35" spans="1:12" s="433" customFormat="1" x14ac:dyDescent="0.2">
      <c r="A35" s="1260" t="s">
        <v>983</v>
      </c>
      <c r="B35" s="454">
        <v>7230</v>
      </c>
      <c r="C35" s="1574"/>
      <c r="D35" s="1574"/>
      <c r="E35" s="1574">
        <v>0</v>
      </c>
      <c r="F35" s="1574"/>
      <c r="G35" s="1585"/>
      <c r="H35" s="1574"/>
      <c r="I35" s="1574"/>
      <c r="J35" s="1574"/>
      <c r="K35" s="1574">
        <v>0</v>
      </c>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v>0</v>
      </c>
      <c r="E43" s="1574"/>
      <c r="F43" s="1574"/>
      <c r="G43" s="1574"/>
      <c r="H43" s="1574">
        <v>0</v>
      </c>
      <c r="I43" s="1574"/>
      <c r="J43" s="1574"/>
      <c r="K43" s="1574"/>
      <c r="L43" s="453"/>
    </row>
    <row r="44" spans="1:12" s="433" customFormat="1" ht="13.5" customHeight="1" thickBot="1" x14ac:dyDescent="0.25">
      <c r="A44" s="2245" t="s">
        <v>371</v>
      </c>
      <c r="B44" s="2246"/>
      <c r="C44" s="1624">
        <f>SUM(C24:C43)</f>
        <v>0</v>
      </c>
      <c r="D44" s="1624">
        <f t="shared" ref="D44:K44" si="6">SUM(D24:D43)</f>
        <v>60000</v>
      </c>
      <c r="E44" s="1624">
        <f t="shared" si="6"/>
        <v>0</v>
      </c>
      <c r="F44" s="1624">
        <f t="shared" si="6"/>
        <v>0</v>
      </c>
      <c r="G44" s="1624">
        <f t="shared" si="6"/>
        <v>0</v>
      </c>
      <c r="H44" s="1624">
        <f t="shared" si="6"/>
        <v>800000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800000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v>60000</v>
      </c>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v>0</v>
      </c>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60000</v>
      </c>
      <c r="G76" s="1624">
        <f t="shared" si="7"/>
        <v>0</v>
      </c>
      <c r="H76" s="1624">
        <f t="shared" si="7"/>
        <v>0</v>
      </c>
      <c r="I76" s="1624">
        <f t="shared" si="7"/>
        <v>800000</v>
      </c>
      <c r="J76" s="1624">
        <f t="shared" si="7"/>
        <v>0</v>
      </c>
      <c r="K76" s="1624">
        <f t="shared" si="7"/>
        <v>0</v>
      </c>
      <c r="L76" s="453"/>
    </row>
    <row r="77" spans="1:12" ht="14.25" thickTop="1" thickBot="1" x14ac:dyDescent="0.25">
      <c r="A77" s="2223" t="s">
        <v>1167</v>
      </c>
      <c r="B77" s="2224"/>
      <c r="C77" s="1624">
        <f t="shared" ref="C77:K77" si="8">C44-C76</f>
        <v>0</v>
      </c>
      <c r="D77" s="1624">
        <f t="shared" si="8"/>
        <v>60000</v>
      </c>
      <c r="E77" s="1624">
        <f t="shared" si="8"/>
        <v>0</v>
      </c>
      <c r="F77" s="1624">
        <f t="shared" si="8"/>
        <v>-60000</v>
      </c>
      <c r="G77" s="1624">
        <f t="shared" si="8"/>
        <v>0</v>
      </c>
      <c r="H77" s="1624">
        <f t="shared" si="8"/>
        <v>800000</v>
      </c>
      <c r="I77" s="1624">
        <f t="shared" si="8"/>
        <v>-800000</v>
      </c>
      <c r="J77" s="1624">
        <f t="shared" si="8"/>
        <v>0</v>
      </c>
      <c r="K77" s="1624">
        <f t="shared" si="8"/>
        <v>0</v>
      </c>
      <c r="L77" s="325"/>
    </row>
    <row r="78" spans="1:12" ht="21.75" customHeight="1" thickTop="1" thickBot="1" x14ac:dyDescent="0.25">
      <c r="A78" s="2227" t="s">
        <v>593</v>
      </c>
      <c r="B78" s="2228"/>
      <c r="C78" s="1629">
        <f t="shared" ref="C78:K78" si="9">C20+C77</f>
        <v>463829</v>
      </c>
      <c r="D78" s="1629">
        <f t="shared" si="9"/>
        <v>171919</v>
      </c>
      <c r="E78" s="1629">
        <f t="shared" si="9"/>
        <v>50486</v>
      </c>
      <c r="F78" s="1629">
        <f t="shared" si="9"/>
        <v>53896</v>
      </c>
      <c r="G78" s="1629">
        <f t="shared" si="9"/>
        <v>12033</v>
      </c>
      <c r="H78" s="1629">
        <f t="shared" si="9"/>
        <v>-234454</v>
      </c>
      <c r="I78" s="1629">
        <f t="shared" si="9"/>
        <v>-740188</v>
      </c>
      <c r="J78" s="1629">
        <f t="shared" si="9"/>
        <v>110</v>
      </c>
      <c r="K78" s="1629">
        <f t="shared" si="9"/>
        <v>2303</v>
      </c>
      <c r="L78" s="457"/>
    </row>
    <row r="79" spans="1:12" ht="13.5" thickTop="1" x14ac:dyDescent="0.2">
      <c r="A79" s="1844" t="str">
        <f>"Fund Balances - July 1, "&amp;'AFR20'!E2-1</f>
        <v>Fund Balances - July 1, 2019</v>
      </c>
      <c r="B79" s="458"/>
      <c r="C79" s="1583">
        <v>6107197</v>
      </c>
      <c r="D79" s="1630">
        <v>754116</v>
      </c>
      <c r="E79" s="1630">
        <v>671030</v>
      </c>
      <c r="F79" s="1630">
        <v>535443</v>
      </c>
      <c r="G79" s="1630">
        <v>248807</v>
      </c>
      <c r="H79" s="1630">
        <v>170069</v>
      </c>
      <c r="I79" s="1630">
        <v>2897898</v>
      </c>
      <c r="J79" s="1630">
        <v>4446</v>
      </c>
      <c r="K79" s="1630">
        <v>43554</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6571026</v>
      </c>
      <c r="D81" s="1594">
        <f>SUM(D78:D80)</f>
        <v>926035</v>
      </c>
      <c r="E81" s="1594">
        <f t="shared" ref="E81:K81" si="10">SUM(E78:E80)</f>
        <v>721516</v>
      </c>
      <c r="F81" s="1594">
        <f t="shared" si="10"/>
        <v>589339</v>
      </c>
      <c r="G81" s="1594">
        <f t="shared" si="10"/>
        <v>260840</v>
      </c>
      <c r="H81" s="1594">
        <f t="shared" si="10"/>
        <v>-64385</v>
      </c>
      <c r="I81" s="1594">
        <f t="shared" si="10"/>
        <v>2157710</v>
      </c>
      <c r="J81" s="1594">
        <f t="shared" si="10"/>
        <v>4556</v>
      </c>
      <c r="K81" s="1594">
        <f t="shared" si="10"/>
        <v>45857</v>
      </c>
      <c r="L81" s="325"/>
    </row>
    <row r="82" spans="1:12" ht="0.75" customHeight="1" thickTop="1" thickBot="1" x14ac:dyDescent="0.25">
      <c r="A82" s="459" t="s">
        <v>340</v>
      </c>
      <c r="B82" s="460"/>
      <c r="C82" s="461">
        <f>(C81-C79)</f>
        <v>463829</v>
      </c>
      <c r="D82" s="461">
        <f t="shared" ref="D82:K82" si="11">(D81-D79)</f>
        <v>171919</v>
      </c>
      <c r="E82" s="461">
        <f t="shared" si="11"/>
        <v>50486</v>
      </c>
      <c r="F82" s="461">
        <f t="shared" si="11"/>
        <v>53896</v>
      </c>
      <c r="G82" s="461">
        <f t="shared" si="11"/>
        <v>12033</v>
      </c>
      <c r="H82" s="461">
        <f t="shared" si="11"/>
        <v>-234454</v>
      </c>
      <c r="I82" s="461">
        <f t="shared" si="11"/>
        <v>-740188</v>
      </c>
      <c r="J82" s="461">
        <f t="shared" si="11"/>
        <v>110</v>
      </c>
      <c r="K82" s="461">
        <f t="shared" si="11"/>
        <v>2303</v>
      </c>
    </row>
    <row r="83" spans="1:12" ht="14.25" hidden="1" thickTop="1" thickBot="1" x14ac:dyDescent="0.25">
      <c r="A83" s="462" t="s">
        <v>341</v>
      </c>
      <c r="B83" s="428"/>
      <c r="C83" s="463">
        <f>C82/C81</f>
        <v>7.0586998133929157E-2</v>
      </c>
      <c r="D83" s="463">
        <f t="shared" ref="D83:K83" si="12">D82/D81</f>
        <v>0.18565065035338837</v>
      </c>
      <c r="E83" s="463">
        <f t="shared" si="12"/>
        <v>6.9972114270508201E-2</v>
      </c>
      <c r="F83" s="463">
        <f t="shared" si="12"/>
        <v>9.1451609345385251E-2</v>
      </c>
      <c r="G83" s="463">
        <f t="shared" si="12"/>
        <v>4.613172826253642E-2</v>
      </c>
      <c r="H83" s="463">
        <f t="shared" si="12"/>
        <v>3.6414382231886311</v>
      </c>
      <c r="I83" s="463">
        <f t="shared" si="12"/>
        <v>-0.34304331907438906</v>
      </c>
      <c r="J83" s="463">
        <f t="shared" si="12"/>
        <v>2.4143985952589993E-2</v>
      </c>
      <c r="K83" s="463">
        <f t="shared" si="12"/>
        <v>5.0221340253396425E-2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85" zoomScaleNormal="85" zoomScaleSheetLayoutView="75" workbookViewId="0">
      <pane ySplit="2" topLeftCell="A66" activePane="bottomLeft" state="frozen"/>
      <selection activeCell="R62" sqref="R62"/>
      <selection pane="bottomLeft" activeCell="D95" sqref="D95"/>
    </sheetView>
  </sheetViews>
  <sheetFormatPr defaultColWidth="9.140625" defaultRowHeight="12.75" x14ac:dyDescent="0.2"/>
  <cols>
    <col min="1" max="1" width="54.140625" style="490" customWidth="1"/>
    <col min="2" max="2" width="4.85546875" style="491" customWidth="1"/>
    <col min="3" max="11" width="13.855468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6500705</v>
      </c>
      <c r="D5" s="1586">
        <v>720232</v>
      </c>
      <c r="E5" s="1573">
        <v>915066</v>
      </c>
      <c r="F5" s="1631">
        <v>300496</v>
      </c>
      <c r="G5" s="1573">
        <v>154665</v>
      </c>
      <c r="H5" s="1573">
        <v>0</v>
      </c>
      <c r="I5" s="1573">
        <v>1213</v>
      </c>
      <c r="J5" s="1574">
        <v>0</v>
      </c>
      <c r="K5" s="1573">
        <v>1213</v>
      </c>
    </row>
    <row r="6" spans="1:12" ht="15" x14ac:dyDescent="0.2">
      <c r="A6" s="427" t="s">
        <v>1643</v>
      </c>
      <c r="B6" s="429">
        <v>1130</v>
      </c>
      <c r="C6" s="1573">
        <v>1213</v>
      </c>
      <c r="D6" s="1573"/>
      <c r="E6" s="1580"/>
      <c r="F6" s="1580"/>
      <c r="G6" s="1575"/>
      <c r="H6" s="1575"/>
      <c r="I6" s="1575"/>
      <c r="J6" s="1575"/>
      <c r="K6" s="1575"/>
    </row>
    <row r="7" spans="1:12" x14ac:dyDescent="0.2">
      <c r="A7" s="427" t="s">
        <v>110</v>
      </c>
      <c r="B7" s="471">
        <v>1140</v>
      </c>
      <c r="C7" s="1573">
        <v>212054</v>
      </c>
      <c r="D7" s="1573"/>
      <c r="E7" s="1575"/>
      <c r="F7" s="1574"/>
      <c r="G7" s="1574"/>
      <c r="H7" s="1574"/>
      <c r="I7" s="1575"/>
      <c r="J7" s="1575"/>
      <c r="K7" s="1575"/>
    </row>
    <row r="8" spans="1:12" x14ac:dyDescent="0.2">
      <c r="A8" s="427" t="s">
        <v>410</v>
      </c>
      <c r="B8" s="429">
        <v>1150</v>
      </c>
      <c r="C8" s="1580"/>
      <c r="D8" s="1580"/>
      <c r="E8" s="1582"/>
      <c r="F8" s="1582"/>
      <c r="G8" s="1586">
        <v>178929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6713972</v>
      </c>
      <c r="D12" s="1633">
        <f t="shared" si="0"/>
        <v>720232</v>
      </c>
      <c r="E12" s="1633">
        <f t="shared" si="0"/>
        <v>915066</v>
      </c>
      <c r="F12" s="1633">
        <f t="shared" si="0"/>
        <v>300496</v>
      </c>
      <c r="G12" s="1633">
        <f t="shared" si="0"/>
        <v>333594</v>
      </c>
      <c r="H12" s="1633">
        <f t="shared" si="0"/>
        <v>0</v>
      </c>
      <c r="I12" s="1633">
        <f t="shared" si="0"/>
        <v>1213</v>
      </c>
      <c r="J12" s="1633">
        <f t="shared" si="0"/>
        <v>0</v>
      </c>
      <c r="K12" s="1594">
        <f t="shared" si="0"/>
        <v>1213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108997</v>
      </c>
      <c r="D16" s="1573"/>
      <c r="E16" s="1573">
        <v>0</v>
      </c>
      <c r="F16" s="1573"/>
      <c r="G16" s="1573">
        <v>2009</v>
      </c>
      <c r="H16" s="1573"/>
      <c r="I16" s="1573"/>
      <c r="J16" s="1574"/>
      <c r="K16" s="1573"/>
    </row>
    <row r="17" spans="1:11" ht="12.75" customHeight="1" x14ac:dyDescent="0.2">
      <c r="A17" s="427" t="s">
        <v>802</v>
      </c>
      <c r="B17" s="429">
        <v>1290</v>
      </c>
      <c r="C17" s="1632">
        <v>0</v>
      </c>
      <c r="D17" s="1573"/>
      <c r="E17" s="1573">
        <v>0</v>
      </c>
      <c r="F17" s="1573"/>
      <c r="G17" s="1573"/>
      <c r="H17" s="1573"/>
      <c r="I17" s="1573"/>
      <c r="J17" s="1574"/>
      <c r="K17" s="1573">
        <v>0</v>
      </c>
    </row>
    <row r="18" spans="1:11" ht="12.75" customHeight="1" thickBot="1" x14ac:dyDescent="0.25">
      <c r="A18" s="1406" t="s">
        <v>534</v>
      </c>
      <c r="B18" s="1407"/>
      <c r="C18" s="1635">
        <f>SUM(C14:C17)</f>
        <v>108997</v>
      </c>
      <c r="D18" s="1635">
        <f t="shared" ref="D18:K18" si="1">SUM(D14:D17)</f>
        <v>0</v>
      </c>
      <c r="E18" s="1635">
        <f t="shared" si="1"/>
        <v>0</v>
      </c>
      <c r="F18" s="1635">
        <f t="shared" si="1"/>
        <v>0</v>
      </c>
      <c r="G18" s="1635">
        <f t="shared" si="1"/>
        <v>2009</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60890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60890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2781</v>
      </c>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5326</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8107</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180288</v>
      </c>
      <c r="D65" s="1573">
        <v>21056</v>
      </c>
      <c r="E65" s="1573">
        <v>18520</v>
      </c>
      <c r="F65" s="1574">
        <v>15733</v>
      </c>
      <c r="G65" s="1573">
        <v>7551</v>
      </c>
      <c r="H65" s="1573">
        <v>-2400</v>
      </c>
      <c r="I65" s="1573">
        <v>58599</v>
      </c>
      <c r="J65" s="1574">
        <v>110</v>
      </c>
      <c r="K65" s="1573">
        <v>1090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180288</v>
      </c>
      <c r="D67" s="1594">
        <f t="shared" ref="D67:K67" si="2">SUM(D65:D66)</f>
        <v>21056</v>
      </c>
      <c r="E67" s="1594">
        <f t="shared" si="2"/>
        <v>18520</v>
      </c>
      <c r="F67" s="1594">
        <f t="shared" si="2"/>
        <v>15733</v>
      </c>
      <c r="G67" s="1594">
        <f t="shared" si="2"/>
        <v>7551</v>
      </c>
      <c r="H67" s="1594">
        <f t="shared" si="2"/>
        <v>-2400</v>
      </c>
      <c r="I67" s="1594">
        <f t="shared" si="2"/>
        <v>58599</v>
      </c>
      <c r="J67" s="1594">
        <f t="shared" si="2"/>
        <v>110</v>
      </c>
      <c r="K67" s="1594">
        <f t="shared" si="2"/>
        <v>1090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10744</v>
      </c>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10744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5820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165540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9345</v>
      </c>
      <c r="D81" s="1573"/>
      <c r="E81" s="1575"/>
      <c r="F81" s="1575"/>
      <c r="G81" s="1575"/>
      <c r="H81" s="1575"/>
      <c r="I81" s="1575"/>
      <c r="J81" s="1575"/>
      <c r="K81" s="1575"/>
    </row>
    <row r="82" spans="1:11" ht="12.75" customHeight="1" thickBot="1" x14ac:dyDescent="0.25">
      <c r="A82" s="1406" t="s">
        <v>239</v>
      </c>
      <c r="B82" s="1407"/>
      <c r="C82" s="1633">
        <f>SUM(C77:C81)</f>
        <v>180705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v>4790</v>
      </c>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v>8585</v>
      </c>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13375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14978</v>
      </c>
      <c r="E95" s="1617"/>
      <c r="F95" s="1617"/>
      <c r="G95" s="1617"/>
      <c r="H95" s="1617"/>
      <c r="I95" s="1617"/>
      <c r="J95" s="1617"/>
      <c r="K95" s="1617"/>
    </row>
    <row r="96" spans="1:11" ht="12.75" customHeight="1" x14ac:dyDescent="0.2">
      <c r="A96" s="427" t="s">
        <v>388</v>
      </c>
      <c r="B96" s="429">
        <v>1920</v>
      </c>
      <c r="C96" s="1632"/>
      <c r="D96" s="1632"/>
      <c r="E96" s="1584"/>
      <c r="F96" s="1583"/>
      <c r="G96" s="1583"/>
      <c r="H96" s="1583">
        <v>0</v>
      </c>
      <c r="I96" s="1583"/>
      <c r="J96" s="1583"/>
      <c r="K96" s="1583"/>
    </row>
    <row r="97" spans="1:12" ht="12.75" customHeight="1" x14ac:dyDescent="0.2">
      <c r="A97" s="1265" t="s">
        <v>242</v>
      </c>
      <c r="B97" s="477">
        <v>1930</v>
      </c>
      <c r="C97" s="1598"/>
      <c r="D97" s="1574">
        <v>0</v>
      </c>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0</v>
      </c>
      <c r="D99" s="1573">
        <v>0</v>
      </c>
      <c r="E99" s="1573"/>
      <c r="F99" s="1573"/>
      <c r="G99" s="1573">
        <v>0</v>
      </c>
      <c r="H99" s="1573"/>
      <c r="I99" s="1575"/>
      <c r="J99" s="1574"/>
      <c r="K99" s="1573"/>
    </row>
    <row r="100" spans="1:12" ht="12.75" customHeight="1" x14ac:dyDescent="0.2">
      <c r="A100" s="427" t="s">
        <v>243</v>
      </c>
      <c r="B100" s="429">
        <v>1960</v>
      </c>
      <c r="C100" s="1598">
        <v>0</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0</v>
      </c>
      <c r="D106" s="1598"/>
      <c r="E106" s="1574"/>
      <c r="F106" s="1574"/>
      <c r="G106" s="1574"/>
      <c r="H106" s="1574"/>
      <c r="I106" s="1617"/>
      <c r="J106" s="1574"/>
      <c r="K106" s="1574"/>
    </row>
    <row r="107" spans="1:12" ht="12.75" customHeight="1" x14ac:dyDescent="0.2">
      <c r="A107" s="427" t="s">
        <v>78</v>
      </c>
      <c r="B107" s="429">
        <v>1999</v>
      </c>
      <c r="C107" s="1632">
        <v>70893</v>
      </c>
      <c r="D107" s="1573">
        <v>0</v>
      </c>
      <c r="E107" s="1573"/>
      <c r="F107" s="1573"/>
      <c r="G107" s="1573"/>
      <c r="H107" s="1573">
        <v>0</v>
      </c>
      <c r="I107" s="1573"/>
      <c r="J107" s="1574"/>
      <c r="K107" s="1573"/>
    </row>
    <row r="108" spans="1:12" ht="12.75" customHeight="1" thickBot="1" x14ac:dyDescent="0.25">
      <c r="A108" s="1406" t="s">
        <v>484</v>
      </c>
      <c r="B108" s="1408"/>
      <c r="C108" s="1633">
        <f>SUM(C95:C107)</f>
        <v>70893</v>
      </c>
      <c r="D108" s="1633">
        <f t="shared" ref="D108:K108" si="3">SUM(D95:D107)</f>
        <v>14978</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7339864</v>
      </c>
      <c r="D109" s="1641">
        <f t="shared" si="4"/>
        <v>756266</v>
      </c>
      <c r="E109" s="1641">
        <f t="shared" si="4"/>
        <v>933586</v>
      </c>
      <c r="F109" s="1641">
        <f t="shared" si="4"/>
        <v>324336</v>
      </c>
      <c r="G109" s="1641">
        <f t="shared" si="4"/>
        <v>343154</v>
      </c>
      <c r="H109" s="1641">
        <f t="shared" si="4"/>
        <v>-2400</v>
      </c>
      <c r="I109" s="1641">
        <f t="shared" si="4"/>
        <v>59812</v>
      </c>
      <c r="J109" s="1641">
        <f t="shared" si="4"/>
        <v>110</v>
      </c>
      <c r="K109" s="1629">
        <f t="shared" si="4"/>
        <v>2303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c r="E111" s="1640"/>
      <c r="F111" s="1586"/>
      <c r="G111" s="1586"/>
      <c r="H111" s="1640"/>
      <c r="I111" s="1575"/>
      <c r="J111" s="1575"/>
      <c r="K111" s="1575"/>
    </row>
    <row r="112" spans="1:12" ht="12.75" customHeight="1" x14ac:dyDescent="0.2">
      <c r="A112" s="427" t="s">
        <v>819</v>
      </c>
      <c r="B112" s="429">
        <v>2200</v>
      </c>
      <c r="C112" s="1632">
        <v>0</v>
      </c>
      <c r="D112" s="1573"/>
      <c r="E112" s="1640"/>
      <c r="F112" s="1573"/>
      <c r="G112" s="1573"/>
      <c r="H112" s="1640"/>
      <c r="I112" s="1575"/>
      <c r="J112" s="1575"/>
      <c r="K112" s="1575"/>
      <c r="L112" s="473"/>
    </row>
    <row r="113" spans="1:11" ht="12.75" customHeight="1" x14ac:dyDescent="0.2">
      <c r="A113" s="427" t="s">
        <v>28</v>
      </c>
      <c r="B113" s="429">
        <v>2300</v>
      </c>
      <c r="C113" s="1632">
        <v>0</v>
      </c>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551505</v>
      </c>
      <c r="D117" s="1586">
        <v>50000</v>
      </c>
      <c r="E117" s="1573"/>
      <c r="F117" s="1586"/>
      <c r="G117" s="1586"/>
      <c r="H117" s="1573"/>
      <c r="I117" s="1575"/>
      <c r="J117" s="1574"/>
      <c r="K117" s="1573"/>
    </row>
    <row r="118" spans="1:11" ht="12.75" customHeight="1" x14ac:dyDescent="0.2">
      <c r="A118" s="427" t="s">
        <v>1776</v>
      </c>
      <c r="B118" s="478">
        <v>3002</v>
      </c>
      <c r="C118" s="1632">
        <v>0</v>
      </c>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v>0</v>
      </c>
      <c r="D121" s="1573"/>
      <c r="E121" s="1573"/>
      <c r="F121" s="1573"/>
      <c r="G121" s="1573"/>
      <c r="H121" s="1573"/>
      <c r="I121" s="1575"/>
      <c r="J121" s="1574"/>
      <c r="K121" s="1573"/>
    </row>
    <row r="122" spans="1:11" ht="12.6" customHeight="1" thickBot="1" x14ac:dyDescent="0.25">
      <c r="A122" s="1406" t="s">
        <v>485</v>
      </c>
      <c r="B122" s="1413"/>
      <c r="C122" s="1633">
        <f t="shared" ref="C122:H122" si="5">SUM(C117:C121)</f>
        <v>551505</v>
      </c>
      <c r="D122" s="1633">
        <f t="shared" si="5"/>
        <v>50000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115038</v>
      </c>
      <c r="D125" s="1640"/>
      <c r="E125" s="1575"/>
      <c r="F125" s="1631"/>
      <c r="G125" s="1575"/>
      <c r="H125" s="1575"/>
      <c r="I125" s="1575"/>
      <c r="J125" s="1575"/>
      <c r="K125" s="1575"/>
    </row>
    <row r="126" spans="1:11" ht="12.75" customHeight="1" x14ac:dyDescent="0.2">
      <c r="A126" s="427" t="s">
        <v>1429</v>
      </c>
      <c r="B126" s="478">
        <v>3105</v>
      </c>
      <c r="C126" s="1573">
        <v>0</v>
      </c>
      <c r="D126" s="1640"/>
      <c r="E126" s="1575"/>
      <c r="F126" s="1573"/>
      <c r="G126" s="1575"/>
      <c r="H126" s="1575"/>
      <c r="I126" s="1575"/>
      <c r="J126" s="1575"/>
      <c r="K126" s="1575"/>
    </row>
    <row r="127" spans="1:11" ht="12.75" customHeight="1" x14ac:dyDescent="0.2">
      <c r="A127" s="427" t="s">
        <v>862</v>
      </c>
      <c r="B127" s="478">
        <v>3110</v>
      </c>
      <c r="C127" s="1632">
        <v>0</v>
      </c>
      <c r="D127" s="1573"/>
      <c r="E127" s="1575"/>
      <c r="F127" s="1573"/>
      <c r="G127" s="1575"/>
      <c r="H127" s="1575"/>
      <c r="I127" s="1575"/>
      <c r="J127" s="1575"/>
      <c r="K127" s="1575"/>
    </row>
    <row r="128" spans="1:11" ht="12.75" customHeight="1" x14ac:dyDescent="0.2">
      <c r="A128" s="427" t="s">
        <v>105</v>
      </c>
      <c r="B128" s="478">
        <v>3120</v>
      </c>
      <c r="C128" s="1573">
        <v>0</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v>0</v>
      </c>
      <c r="D130" s="1640"/>
      <c r="E130" s="1575"/>
      <c r="F130" s="1573"/>
      <c r="G130" s="1575"/>
      <c r="H130" s="1575"/>
      <c r="I130" s="1575"/>
      <c r="J130" s="1575"/>
      <c r="K130" s="1575"/>
    </row>
    <row r="131" spans="1:11" ht="12.75" customHeight="1" x14ac:dyDescent="0.2">
      <c r="A131" s="427" t="s">
        <v>66</v>
      </c>
      <c r="B131" s="478">
        <v>3199</v>
      </c>
      <c r="C131" s="1632">
        <v>0</v>
      </c>
      <c r="D131" s="1574"/>
      <c r="E131" s="1575"/>
      <c r="F131" s="1573"/>
      <c r="G131" s="1575"/>
      <c r="H131" s="1575"/>
      <c r="I131" s="1575"/>
      <c r="J131" s="1575"/>
      <c r="K131" s="1575"/>
    </row>
    <row r="132" spans="1:11" ht="12.75" customHeight="1" thickBot="1" x14ac:dyDescent="0.25">
      <c r="A132" s="1406" t="s">
        <v>1025</v>
      </c>
      <c r="B132" s="1414"/>
      <c r="C132" s="1633">
        <f>SUM(C125:C131)</f>
        <v>115038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4496</v>
      </c>
      <c r="G152" s="1574"/>
      <c r="H152" s="1575"/>
      <c r="I152" s="1575"/>
      <c r="J152" s="1575"/>
      <c r="K152" s="1575"/>
    </row>
    <row r="153" spans="1:11" ht="12.75" customHeight="1" x14ac:dyDescent="0.2">
      <c r="A153" s="427" t="s">
        <v>1048</v>
      </c>
      <c r="B153" s="478">
        <v>3510</v>
      </c>
      <c r="C153" s="1632"/>
      <c r="D153" s="1573"/>
      <c r="E153" s="1640"/>
      <c r="F153" s="1573">
        <v>92952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97448</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0</v>
      </c>
      <c r="E167" s="1617"/>
      <c r="F167" s="1617"/>
      <c r="G167" s="1575"/>
      <c r="H167" s="1627"/>
      <c r="I167" s="1575"/>
      <c r="J167" s="1575"/>
      <c r="K167" s="1626">
        <v>0</v>
      </c>
    </row>
    <row r="168" spans="1:11" ht="14.25" thickTop="1" thickBot="1" x14ac:dyDescent="0.25">
      <c r="A168" s="1270" t="s">
        <v>70</v>
      </c>
      <c r="B168" s="484">
        <v>3999</v>
      </c>
      <c r="C168" s="1654">
        <v>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115038</v>
      </c>
      <c r="D169" s="1658">
        <f t="shared" si="6"/>
        <v>0</v>
      </c>
      <c r="E169" s="1658">
        <f t="shared" si="6"/>
        <v>0</v>
      </c>
      <c r="F169" s="1658">
        <f t="shared" si="6"/>
        <v>97448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666543</v>
      </c>
      <c r="D170" s="1641">
        <f t="shared" si="7"/>
        <v>50000</v>
      </c>
      <c r="E170" s="1641">
        <f t="shared" si="7"/>
        <v>0</v>
      </c>
      <c r="F170" s="1641">
        <f t="shared" si="7"/>
        <v>97448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v>9504</v>
      </c>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9504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84108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84108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6458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6458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9012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240074</v>
      </c>
      <c r="D213" s="1573"/>
      <c r="E213" s="1575"/>
      <c r="F213" s="1573"/>
      <c r="G213" s="1573"/>
      <c r="H213" s="1575"/>
      <c r="I213" s="1575"/>
      <c r="J213" s="1575"/>
      <c r="K213" s="1575"/>
    </row>
    <row r="214" spans="1:11" ht="12.75" customHeight="1" x14ac:dyDescent="0.2">
      <c r="A214" s="427" t="s">
        <v>1045</v>
      </c>
      <c r="B214" s="429">
        <v>4625</v>
      </c>
      <c r="C214" s="1632">
        <v>2007</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251093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13742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2993</v>
      </c>
      <c r="D263" s="1651"/>
      <c r="E263" s="1575"/>
      <c r="F263" s="1651"/>
      <c r="G263" s="1651"/>
      <c r="H263" s="1575"/>
      <c r="I263" s="1575"/>
      <c r="J263" s="1575"/>
      <c r="K263" s="1575"/>
    </row>
    <row r="264" spans="1:11" ht="12.75" customHeight="1" thickTop="1" thickBot="1" x14ac:dyDescent="0.25">
      <c r="A264" s="427" t="s">
        <v>374</v>
      </c>
      <c r="B264" s="429">
        <v>4992</v>
      </c>
      <c r="C264" s="1650">
        <v>6349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374247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374247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8380654</v>
      </c>
      <c r="D268" s="1641">
        <f t="shared" si="12"/>
        <v>806266</v>
      </c>
      <c r="E268" s="1641">
        <f t="shared" si="12"/>
        <v>933586</v>
      </c>
      <c r="F268" s="1641">
        <f t="shared" si="12"/>
        <v>421784</v>
      </c>
      <c r="G268" s="1641">
        <f t="shared" si="12"/>
        <v>343154</v>
      </c>
      <c r="H268" s="1641">
        <f t="shared" si="12"/>
        <v>-2400</v>
      </c>
      <c r="I268" s="1641">
        <f t="shared" si="12"/>
        <v>59812</v>
      </c>
      <c r="J268" s="1641">
        <f t="shared" si="12"/>
        <v>110</v>
      </c>
      <c r="K268" s="1629">
        <f t="shared" si="12"/>
        <v>2303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5" zoomScaleNormal="85" workbookViewId="0">
      <pane ySplit="2" topLeftCell="A252" activePane="bottomLeft" state="frozen"/>
      <selection pane="bottomLeft" activeCell="F263" sqref="F263"/>
    </sheetView>
  </sheetViews>
  <sheetFormatPr defaultColWidth="9.140625" defaultRowHeight="12.75" x14ac:dyDescent="0.2"/>
  <cols>
    <col min="1" max="1" width="48.5703125" style="574" customWidth="1"/>
    <col min="2" max="2" width="5" style="575" customWidth="1"/>
    <col min="3" max="8" width="13.140625" style="501" customWidth="1"/>
    <col min="9" max="10" width="13.140625" style="321" customWidth="1"/>
    <col min="11" max="11" width="13.140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2503782</v>
      </c>
      <c r="D5" s="1573">
        <v>463635</v>
      </c>
      <c r="E5" s="1573">
        <v>13232</v>
      </c>
      <c r="F5" s="1573">
        <v>78639</v>
      </c>
      <c r="G5" s="1573">
        <v>2865</v>
      </c>
      <c r="H5" s="1573">
        <v>358</v>
      </c>
      <c r="I5" s="1574"/>
      <c r="J5" s="1574"/>
      <c r="K5" s="1672">
        <f>SUM(C5:J5)</f>
        <v>3062511</v>
      </c>
      <c r="L5" s="1573">
        <v>3127825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266272</v>
      </c>
      <c r="D7" s="1574">
        <v>60315</v>
      </c>
      <c r="E7" s="1574">
        <v>0</v>
      </c>
      <c r="F7" s="1574">
        <v>0</v>
      </c>
      <c r="G7" s="1574"/>
      <c r="H7" s="1574">
        <v>0</v>
      </c>
      <c r="I7" s="1574"/>
      <c r="J7" s="1574"/>
      <c r="K7" s="1672">
        <f t="shared" ref="K7:K32" si="0">SUM(C7:J7)</f>
        <v>326587</v>
      </c>
      <c r="L7" s="1573">
        <v>317507</v>
      </c>
    </row>
    <row r="8" spans="1:14" x14ac:dyDescent="0.2">
      <c r="A8" s="1274" t="s">
        <v>163</v>
      </c>
      <c r="B8" s="503">
        <v>1200</v>
      </c>
      <c r="C8" s="1573">
        <v>925811</v>
      </c>
      <c r="D8" s="1573">
        <v>152014</v>
      </c>
      <c r="E8" s="1573">
        <v>19923</v>
      </c>
      <c r="F8" s="1573">
        <v>5817</v>
      </c>
      <c r="G8" s="1573">
        <v>0</v>
      </c>
      <c r="H8" s="1573">
        <v>212</v>
      </c>
      <c r="I8" s="1574"/>
      <c r="J8" s="1574">
        <v>0</v>
      </c>
      <c r="K8" s="1672">
        <f t="shared" si="0"/>
        <v>1103777</v>
      </c>
      <c r="L8" s="1573">
        <v>1054119</v>
      </c>
    </row>
    <row r="9" spans="1:14" x14ac:dyDescent="0.2">
      <c r="A9" s="1274" t="s">
        <v>716</v>
      </c>
      <c r="B9" s="503" t="s">
        <v>962</v>
      </c>
      <c r="C9" s="1574">
        <v>0</v>
      </c>
      <c r="D9" s="1574">
        <v>0</v>
      </c>
      <c r="E9" s="1574"/>
      <c r="F9" s="1574"/>
      <c r="G9" s="1574"/>
      <c r="H9" s="1574"/>
      <c r="I9" s="1574"/>
      <c r="J9" s="1574"/>
      <c r="K9" s="1672">
        <f t="shared" si="0"/>
        <v>0</v>
      </c>
      <c r="L9" s="1573"/>
    </row>
    <row r="10" spans="1:14" x14ac:dyDescent="0.2">
      <c r="A10" s="1274" t="s">
        <v>717</v>
      </c>
      <c r="B10" s="503">
        <v>1250</v>
      </c>
      <c r="C10" s="1573">
        <v>78872</v>
      </c>
      <c r="D10" s="1573">
        <v>26400</v>
      </c>
      <c r="E10" s="1573">
        <v>4321</v>
      </c>
      <c r="F10" s="1573">
        <v>80028</v>
      </c>
      <c r="G10" s="1573"/>
      <c r="H10" s="1573"/>
      <c r="I10" s="1574">
        <v>0</v>
      </c>
      <c r="J10" s="1574"/>
      <c r="K10" s="1672">
        <f t="shared" si="0"/>
        <v>189621</v>
      </c>
      <c r="L10" s="1573">
        <v>109698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101063</v>
      </c>
      <c r="D14" s="1573">
        <v>1478</v>
      </c>
      <c r="E14" s="1573">
        <v>2957</v>
      </c>
      <c r="F14" s="1573">
        <v>7739</v>
      </c>
      <c r="G14" s="1573"/>
      <c r="H14" s="1573">
        <v>5051</v>
      </c>
      <c r="I14" s="1574"/>
      <c r="J14" s="1574"/>
      <c r="K14" s="1672">
        <f t="shared" si="0"/>
        <v>118288</v>
      </c>
      <c r="L14" s="1573">
        <v>117253</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v>45538</v>
      </c>
      <c r="D16" s="1573">
        <v>0</v>
      </c>
      <c r="E16" s="1573">
        <v>0</v>
      </c>
      <c r="F16" s="1573">
        <v>0</v>
      </c>
      <c r="G16" s="1573"/>
      <c r="H16" s="1573"/>
      <c r="I16" s="1574"/>
      <c r="J16" s="1574"/>
      <c r="K16" s="1672">
        <f t="shared" si="0"/>
        <v>45538</v>
      </c>
      <c r="L16" s="1573">
        <v>45538</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61542</v>
      </c>
      <c r="D18" s="1573">
        <v>20376</v>
      </c>
      <c r="E18" s="1573">
        <v>230</v>
      </c>
      <c r="F18" s="1573">
        <v>985</v>
      </c>
      <c r="G18" s="1573"/>
      <c r="H18" s="1573"/>
      <c r="I18" s="1574"/>
      <c r="J18" s="1574"/>
      <c r="K18" s="1672">
        <f t="shared" si="0"/>
        <v>83133</v>
      </c>
      <c r="L18" s="1573">
        <v>83222</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161815</v>
      </c>
      <c r="I22" s="1673"/>
      <c r="J22" s="1582"/>
      <c r="K22" s="1672">
        <f t="shared" si="0"/>
        <v>161815</v>
      </c>
      <c r="L22" s="1577">
        <v>371976</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3982880</v>
      </c>
      <c r="D33" s="1674">
        <f t="shared" ref="D33:L33" si="1">SUM(D5:D32)</f>
        <v>724218</v>
      </c>
      <c r="E33" s="1674">
        <f t="shared" si="1"/>
        <v>40663</v>
      </c>
      <c r="F33" s="1674">
        <f t="shared" si="1"/>
        <v>173208</v>
      </c>
      <c r="G33" s="1674">
        <f t="shared" si="1"/>
        <v>2865</v>
      </c>
      <c r="H33" s="1674">
        <f t="shared" si="1"/>
        <v>167436</v>
      </c>
      <c r="I33" s="1674">
        <f t="shared" si="1"/>
        <v>0</v>
      </c>
      <c r="J33" s="1674">
        <f t="shared" si="1"/>
        <v>0</v>
      </c>
      <c r="K33" s="1674">
        <f t="shared" si="1"/>
        <v>5091270</v>
      </c>
      <c r="L33" s="1674">
        <f t="shared" si="1"/>
        <v>5227138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93572</v>
      </c>
      <c r="D36" s="1586">
        <v>12471</v>
      </c>
      <c r="E36" s="1586">
        <v>18075</v>
      </c>
      <c r="F36" s="1586">
        <v>903</v>
      </c>
      <c r="G36" s="1586"/>
      <c r="H36" s="1586"/>
      <c r="I36" s="1574"/>
      <c r="J36" s="1574"/>
      <c r="K36" s="1672">
        <f t="shared" ref="K36:K41" si="2">SUM(C36:J36)</f>
        <v>125021</v>
      </c>
      <c r="L36" s="1573">
        <v>120917</v>
      </c>
    </row>
    <row r="37" spans="1:14" x14ac:dyDescent="0.2">
      <c r="A37" s="1274" t="s">
        <v>1081</v>
      </c>
      <c r="B37" s="503">
        <v>2120</v>
      </c>
      <c r="C37" s="1573">
        <v>0</v>
      </c>
      <c r="D37" s="1573">
        <v>0</v>
      </c>
      <c r="E37" s="1573">
        <v>0</v>
      </c>
      <c r="F37" s="1573"/>
      <c r="G37" s="1573"/>
      <c r="H37" s="1573"/>
      <c r="I37" s="1574"/>
      <c r="J37" s="1574"/>
      <c r="K37" s="1672">
        <f t="shared" si="2"/>
        <v>0</v>
      </c>
      <c r="L37" s="1573"/>
    </row>
    <row r="38" spans="1:14" x14ac:dyDescent="0.2">
      <c r="A38" s="1274" t="s">
        <v>196</v>
      </c>
      <c r="B38" s="503">
        <v>2130</v>
      </c>
      <c r="C38" s="1573">
        <v>138862</v>
      </c>
      <c r="D38" s="1573">
        <v>23931</v>
      </c>
      <c r="E38" s="1573">
        <v>39433</v>
      </c>
      <c r="F38" s="1573">
        <v>1707</v>
      </c>
      <c r="G38" s="1573"/>
      <c r="H38" s="1573"/>
      <c r="I38" s="1574"/>
      <c r="J38" s="1574"/>
      <c r="K38" s="1672">
        <f t="shared" si="2"/>
        <v>203933</v>
      </c>
      <c r="L38" s="1573">
        <v>190483</v>
      </c>
    </row>
    <row r="39" spans="1:14" x14ac:dyDescent="0.2">
      <c r="A39" s="1274" t="s">
        <v>197</v>
      </c>
      <c r="B39" s="503">
        <v>2140</v>
      </c>
      <c r="C39" s="1573">
        <v>59899</v>
      </c>
      <c r="D39" s="1573">
        <v>20390</v>
      </c>
      <c r="E39" s="1573">
        <v>0</v>
      </c>
      <c r="F39" s="1573">
        <v>743</v>
      </c>
      <c r="G39" s="1573"/>
      <c r="H39" s="1573"/>
      <c r="I39" s="1574"/>
      <c r="J39" s="1574"/>
      <c r="K39" s="1672">
        <f t="shared" si="2"/>
        <v>81032</v>
      </c>
      <c r="L39" s="1573">
        <v>81067</v>
      </c>
    </row>
    <row r="40" spans="1:14" x14ac:dyDescent="0.2">
      <c r="A40" s="1274" t="s">
        <v>198</v>
      </c>
      <c r="B40" s="503">
        <v>2150</v>
      </c>
      <c r="C40" s="1573">
        <v>135395</v>
      </c>
      <c r="D40" s="1573">
        <v>26743</v>
      </c>
      <c r="E40" s="1573">
        <v>15440</v>
      </c>
      <c r="F40" s="1573">
        <v>1270</v>
      </c>
      <c r="G40" s="1573"/>
      <c r="H40" s="1573"/>
      <c r="I40" s="1574"/>
      <c r="J40" s="1574"/>
      <c r="K40" s="1672">
        <f t="shared" si="2"/>
        <v>178848</v>
      </c>
      <c r="L40" s="1573">
        <v>175255</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427728</v>
      </c>
      <c r="D42" s="1674">
        <f t="shared" ref="D42:L42" si="3">SUM(D36:D41)</f>
        <v>83535</v>
      </c>
      <c r="E42" s="1674">
        <f t="shared" si="3"/>
        <v>72948</v>
      </c>
      <c r="F42" s="1674">
        <f t="shared" si="3"/>
        <v>4623</v>
      </c>
      <c r="G42" s="1674">
        <f t="shared" si="3"/>
        <v>0</v>
      </c>
      <c r="H42" s="1674">
        <f t="shared" si="3"/>
        <v>0</v>
      </c>
      <c r="I42" s="1674">
        <f t="shared" si="3"/>
        <v>0</v>
      </c>
      <c r="J42" s="1674">
        <f t="shared" si="3"/>
        <v>0</v>
      </c>
      <c r="K42" s="1674">
        <f t="shared" si="3"/>
        <v>588834</v>
      </c>
      <c r="L42" s="1674">
        <f t="shared" si="3"/>
        <v>567722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58449</v>
      </c>
      <c r="F44" s="1586">
        <v>1821</v>
      </c>
      <c r="G44" s="1586"/>
      <c r="H44" s="1586"/>
      <c r="I44" s="1574"/>
      <c r="J44" s="1574"/>
      <c r="K44" s="1678">
        <f>SUM(C44:J44)</f>
        <v>60270</v>
      </c>
      <c r="L44" s="1586">
        <v>83047</v>
      </c>
    </row>
    <row r="45" spans="1:14" x14ac:dyDescent="0.2">
      <c r="A45" s="1274" t="s">
        <v>810</v>
      </c>
      <c r="B45" s="503">
        <v>2220</v>
      </c>
      <c r="C45" s="1573">
        <v>103901</v>
      </c>
      <c r="D45" s="1573">
        <v>16504</v>
      </c>
      <c r="E45" s="1573">
        <v>0</v>
      </c>
      <c r="F45" s="1573">
        <v>2972</v>
      </c>
      <c r="G45" s="1573">
        <v>0</v>
      </c>
      <c r="H45" s="1573"/>
      <c r="I45" s="1574"/>
      <c r="J45" s="1574"/>
      <c r="K45" s="1678">
        <f>SUM(C45:J45)</f>
        <v>123377</v>
      </c>
      <c r="L45" s="1573">
        <v>128606</v>
      </c>
    </row>
    <row r="46" spans="1:14" x14ac:dyDescent="0.2">
      <c r="A46" s="1274" t="s">
        <v>811</v>
      </c>
      <c r="B46" s="503">
        <v>2230</v>
      </c>
      <c r="C46" s="1573"/>
      <c r="D46" s="1573"/>
      <c r="E46" s="1573">
        <v>0</v>
      </c>
      <c r="F46" s="1573">
        <v>15870</v>
      </c>
      <c r="G46" s="1573"/>
      <c r="H46" s="1573"/>
      <c r="I46" s="1574"/>
      <c r="J46" s="1574"/>
      <c r="K46" s="1678">
        <f>SUM(C46:J46)</f>
        <v>15870</v>
      </c>
      <c r="L46" s="1573">
        <v>13358</v>
      </c>
    </row>
    <row r="47" spans="1:14" ht="12.75" customHeight="1" thickBot="1" x14ac:dyDescent="0.25">
      <c r="A47" s="1380" t="s">
        <v>557</v>
      </c>
      <c r="B47" s="1381" t="s">
        <v>32</v>
      </c>
      <c r="C47" s="1674">
        <f>SUM(C44:C46)</f>
        <v>103901</v>
      </c>
      <c r="D47" s="1674">
        <f t="shared" ref="D47:K47" si="4">SUM(D44:D46)</f>
        <v>16504</v>
      </c>
      <c r="E47" s="1674">
        <f t="shared" si="4"/>
        <v>58449</v>
      </c>
      <c r="F47" s="1674">
        <f t="shared" si="4"/>
        <v>20663</v>
      </c>
      <c r="G47" s="1674">
        <f t="shared" si="4"/>
        <v>0</v>
      </c>
      <c r="H47" s="1674">
        <f t="shared" si="4"/>
        <v>0</v>
      </c>
      <c r="I47" s="1674">
        <f t="shared" si="4"/>
        <v>0</v>
      </c>
      <c r="J47" s="1674">
        <f t="shared" si="4"/>
        <v>0</v>
      </c>
      <c r="K47" s="1674">
        <f t="shared" si="4"/>
        <v>199517</v>
      </c>
      <c r="L47" s="1674">
        <f>SUM(L44:L46)</f>
        <v>225011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145867</v>
      </c>
      <c r="F49" s="1586">
        <v>3474</v>
      </c>
      <c r="G49" s="1586"/>
      <c r="H49" s="1586">
        <v>8864</v>
      </c>
      <c r="I49" s="1574"/>
      <c r="J49" s="1574"/>
      <c r="K49" s="1678">
        <f>SUM(C49:J49)</f>
        <v>158205</v>
      </c>
      <c r="L49" s="1586">
        <v>151500</v>
      </c>
    </row>
    <row r="50" spans="1:14" x14ac:dyDescent="0.2">
      <c r="A50" s="1274" t="s">
        <v>813</v>
      </c>
      <c r="B50" s="503">
        <v>2320</v>
      </c>
      <c r="C50" s="1573">
        <v>215596</v>
      </c>
      <c r="D50" s="1573">
        <v>62175</v>
      </c>
      <c r="E50" s="1573">
        <v>5736</v>
      </c>
      <c r="F50" s="1573">
        <v>5115</v>
      </c>
      <c r="G50" s="1573"/>
      <c r="H50" s="1573">
        <v>2183</v>
      </c>
      <c r="I50" s="1574"/>
      <c r="J50" s="1574"/>
      <c r="K50" s="1678">
        <f>SUM(C50:J50)</f>
        <v>290805</v>
      </c>
      <c r="L50" s="1573">
        <v>300392</v>
      </c>
    </row>
    <row r="51" spans="1:14" x14ac:dyDescent="0.2">
      <c r="A51" s="1274" t="s">
        <v>42</v>
      </c>
      <c r="B51" s="503">
        <v>2330</v>
      </c>
      <c r="C51" s="1573">
        <v>135849</v>
      </c>
      <c r="D51" s="1573">
        <v>27861</v>
      </c>
      <c r="E51" s="1573">
        <v>2334</v>
      </c>
      <c r="F51" s="1573">
        <v>0</v>
      </c>
      <c r="G51" s="1573"/>
      <c r="H51" s="1573"/>
      <c r="I51" s="1574"/>
      <c r="J51" s="1574"/>
      <c r="K51" s="1678">
        <f>SUM(C51:J51)</f>
        <v>166044</v>
      </c>
      <c r="L51" s="1573">
        <v>165330</v>
      </c>
    </row>
    <row r="52" spans="1:14" ht="22.5" x14ac:dyDescent="0.2">
      <c r="A52" s="1275" t="s">
        <v>295</v>
      </c>
      <c r="B52" s="511" t="s">
        <v>363</v>
      </c>
      <c r="C52" s="1579"/>
      <c r="D52" s="1579">
        <v>0</v>
      </c>
      <c r="E52" s="1579"/>
      <c r="F52" s="1579"/>
      <c r="G52" s="1579"/>
      <c r="H52" s="1579"/>
      <c r="I52" s="1579"/>
      <c r="J52" s="1579"/>
      <c r="K52" s="1678">
        <f>SUM(C52:J52)</f>
        <v>0</v>
      </c>
      <c r="L52" s="1579"/>
    </row>
    <row r="53" spans="1:14" ht="12.75" customHeight="1" thickBot="1" x14ac:dyDescent="0.25">
      <c r="A53" s="1380" t="s">
        <v>712</v>
      </c>
      <c r="B53" s="1381" t="s">
        <v>33</v>
      </c>
      <c r="C53" s="1674">
        <f>SUM(C49:C52)</f>
        <v>351445</v>
      </c>
      <c r="D53" s="1674">
        <f t="shared" ref="D53:L53" si="5">SUM(D49:D52)</f>
        <v>90036</v>
      </c>
      <c r="E53" s="1674">
        <f t="shared" si="5"/>
        <v>153937</v>
      </c>
      <c r="F53" s="1674">
        <f t="shared" si="5"/>
        <v>8589</v>
      </c>
      <c r="G53" s="1674">
        <f t="shared" si="5"/>
        <v>0</v>
      </c>
      <c r="H53" s="1674">
        <f t="shared" si="5"/>
        <v>11047</v>
      </c>
      <c r="I53" s="1674">
        <f t="shared" si="5"/>
        <v>0</v>
      </c>
      <c r="J53" s="1674">
        <f t="shared" si="5"/>
        <v>0</v>
      </c>
      <c r="K53" s="1674">
        <f t="shared" si="5"/>
        <v>615054</v>
      </c>
      <c r="L53" s="1674">
        <f t="shared" si="5"/>
        <v>617222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440368</v>
      </c>
      <c r="D55" s="1586">
        <v>141872</v>
      </c>
      <c r="E55" s="1586">
        <v>2744</v>
      </c>
      <c r="F55" s="1586">
        <v>3439</v>
      </c>
      <c r="G55" s="1586">
        <v>0</v>
      </c>
      <c r="H55" s="1586">
        <v>1325</v>
      </c>
      <c r="I55" s="1574"/>
      <c r="J55" s="1574"/>
      <c r="K55" s="1678">
        <f>SUM(C55:J55)</f>
        <v>589748</v>
      </c>
      <c r="L55" s="1586">
        <v>596664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440368</v>
      </c>
      <c r="D57" s="1679">
        <f t="shared" ref="D57:K57" si="6">SUM(D55:D56)</f>
        <v>141872</v>
      </c>
      <c r="E57" s="1679">
        <f t="shared" si="6"/>
        <v>2744</v>
      </c>
      <c r="F57" s="1679">
        <f t="shared" si="6"/>
        <v>3439</v>
      </c>
      <c r="G57" s="1679">
        <f t="shared" si="6"/>
        <v>0</v>
      </c>
      <c r="H57" s="1679">
        <f t="shared" si="6"/>
        <v>1325</v>
      </c>
      <c r="I57" s="1679">
        <f t="shared" si="6"/>
        <v>0</v>
      </c>
      <c r="J57" s="1679">
        <f t="shared" si="6"/>
        <v>0</v>
      </c>
      <c r="K57" s="1679">
        <f t="shared" si="6"/>
        <v>589748</v>
      </c>
      <c r="L57" s="1674">
        <f>SUM(L55:L56)</f>
        <v>596664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87583</v>
      </c>
      <c r="D59" s="1586">
        <v>25598</v>
      </c>
      <c r="E59" s="1586">
        <v>870</v>
      </c>
      <c r="F59" s="1586"/>
      <c r="G59" s="1586"/>
      <c r="H59" s="1586"/>
      <c r="I59" s="1574"/>
      <c r="J59" s="1574"/>
      <c r="K59" s="1678">
        <f t="shared" ref="K59:K64" si="7">SUM(C59:J59)</f>
        <v>114051</v>
      </c>
      <c r="L59" s="1586">
        <v>114626</v>
      </c>
      <c r="M59" s="501"/>
      <c r="N59" s="501"/>
    </row>
    <row r="60" spans="1:14" s="321" customFormat="1" x14ac:dyDescent="0.2">
      <c r="A60" s="1274" t="s">
        <v>460</v>
      </c>
      <c r="B60" s="503">
        <v>2520</v>
      </c>
      <c r="C60" s="1573">
        <v>49059</v>
      </c>
      <c r="D60" s="1573">
        <v>6397</v>
      </c>
      <c r="E60" s="1573">
        <v>46799</v>
      </c>
      <c r="F60" s="1573"/>
      <c r="G60" s="1573"/>
      <c r="H60" s="1573"/>
      <c r="I60" s="1574"/>
      <c r="J60" s="1574"/>
      <c r="K60" s="1678">
        <f t="shared" si="7"/>
        <v>102255</v>
      </c>
      <c r="L60" s="1573">
        <v>105782</v>
      </c>
      <c r="M60" s="501"/>
      <c r="N60" s="501"/>
    </row>
    <row r="61" spans="1:14" s="321" customFormat="1" x14ac:dyDescent="0.2">
      <c r="A61" s="1274" t="s">
        <v>195</v>
      </c>
      <c r="B61" s="503">
        <v>2540</v>
      </c>
      <c r="C61" s="1573"/>
      <c r="D61" s="1573">
        <v>13</v>
      </c>
      <c r="E61" s="1573"/>
      <c r="F61" s="1573"/>
      <c r="G61" s="1573"/>
      <c r="H61" s="1573"/>
      <c r="I61" s="1574"/>
      <c r="J61" s="1574"/>
      <c r="K61" s="1678">
        <f t="shared" si="7"/>
        <v>13</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8333</v>
      </c>
      <c r="D63" s="1573"/>
      <c r="E63" s="1573"/>
      <c r="F63" s="1573">
        <v>15235</v>
      </c>
      <c r="G63" s="1573"/>
      <c r="H63" s="1573"/>
      <c r="I63" s="1574"/>
      <c r="J63" s="1574"/>
      <c r="K63" s="1678">
        <f t="shared" si="7"/>
        <v>23568</v>
      </c>
      <c r="L63" s="1573">
        <v>43088</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144975</v>
      </c>
      <c r="D65" s="1674">
        <f t="shared" ref="D65:L65" si="8">SUM(D59:D64)</f>
        <v>32008</v>
      </c>
      <c r="E65" s="1674">
        <f t="shared" si="8"/>
        <v>47669</v>
      </c>
      <c r="F65" s="1674">
        <f t="shared" si="8"/>
        <v>15235</v>
      </c>
      <c r="G65" s="1674">
        <f t="shared" si="8"/>
        <v>0</v>
      </c>
      <c r="H65" s="1674">
        <f t="shared" si="8"/>
        <v>0</v>
      </c>
      <c r="I65" s="1674">
        <f t="shared" si="8"/>
        <v>0</v>
      </c>
      <c r="J65" s="1674">
        <f t="shared" si="8"/>
        <v>0</v>
      </c>
      <c r="K65" s="1674">
        <f t="shared" si="8"/>
        <v>239887</v>
      </c>
      <c r="L65" s="1674">
        <f t="shared" si="8"/>
        <v>263496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63159</v>
      </c>
      <c r="D71" s="1573">
        <v>3720</v>
      </c>
      <c r="E71" s="1573">
        <v>200863</v>
      </c>
      <c r="F71" s="1573">
        <v>22569</v>
      </c>
      <c r="G71" s="1573">
        <v>198746</v>
      </c>
      <c r="H71" s="1573"/>
      <c r="I71" s="1574">
        <v>68267</v>
      </c>
      <c r="J71" s="1574"/>
      <c r="K71" s="1678">
        <f>SUM(C71:J71)</f>
        <v>557324</v>
      </c>
      <c r="L71" s="1573">
        <v>416421</v>
      </c>
      <c r="M71" s="501"/>
      <c r="N71" s="501"/>
    </row>
    <row r="72" spans="1:14" s="321" customFormat="1" ht="12.75" customHeight="1" thickBot="1" x14ac:dyDescent="0.25">
      <c r="A72" s="1380" t="s">
        <v>37</v>
      </c>
      <c r="B72" s="1383" t="s">
        <v>36</v>
      </c>
      <c r="C72" s="1674">
        <f>SUM(C67:C71)</f>
        <v>63159</v>
      </c>
      <c r="D72" s="1674">
        <f t="shared" ref="D72:K72" si="9">SUM(D67:D71)</f>
        <v>3720</v>
      </c>
      <c r="E72" s="1674">
        <f t="shared" si="9"/>
        <v>200863</v>
      </c>
      <c r="F72" s="1674">
        <f t="shared" si="9"/>
        <v>22569</v>
      </c>
      <c r="G72" s="1674">
        <f t="shared" si="9"/>
        <v>198746</v>
      </c>
      <c r="H72" s="1674">
        <f t="shared" si="9"/>
        <v>0</v>
      </c>
      <c r="I72" s="1674">
        <f t="shared" si="9"/>
        <v>68267</v>
      </c>
      <c r="J72" s="1674">
        <f t="shared" si="9"/>
        <v>0</v>
      </c>
      <c r="K72" s="1674">
        <f t="shared" si="9"/>
        <v>557324</v>
      </c>
      <c r="L72" s="1674">
        <f>SUM(L67:L71)</f>
        <v>416421</v>
      </c>
      <c r="M72" s="501"/>
      <c r="N72" s="501"/>
    </row>
    <row r="73" spans="1:14" s="321" customFormat="1" ht="14.25" thickTop="1" thickBot="1" x14ac:dyDescent="0.25">
      <c r="A73" s="1280" t="s">
        <v>973</v>
      </c>
      <c r="B73" s="515" t="s">
        <v>570</v>
      </c>
      <c r="C73" s="1649"/>
      <c r="D73" s="1649"/>
      <c r="E73" s="1649"/>
      <c r="F73" s="1649">
        <v>0</v>
      </c>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1531576</v>
      </c>
      <c r="D74" s="1681">
        <f t="shared" ref="D74:K74" si="10">SUM(D42,D47,D53,D57,D65,D72,D73)</f>
        <v>367675</v>
      </c>
      <c r="E74" s="1681">
        <f t="shared" si="10"/>
        <v>536610</v>
      </c>
      <c r="F74" s="1681">
        <f t="shared" si="10"/>
        <v>75118</v>
      </c>
      <c r="G74" s="1681">
        <f t="shared" si="10"/>
        <v>198746</v>
      </c>
      <c r="H74" s="1681">
        <f t="shared" si="10"/>
        <v>12372</v>
      </c>
      <c r="I74" s="1681">
        <f t="shared" si="10"/>
        <v>68267</v>
      </c>
      <c r="J74" s="1681">
        <f t="shared" si="10"/>
        <v>0</v>
      </c>
      <c r="K74" s="1681">
        <f t="shared" si="10"/>
        <v>2790364</v>
      </c>
      <c r="L74" s="1681">
        <f>SUM(L42,L47,L53,L57,L65,L72,L73)</f>
        <v>2686536</v>
      </c>
    </row>
    <row r="75" spans="1:14" s="254" customFormat="1" ht="15.75" customHeight="1" thickTop="1" thickBot="1" x14ac:dyDescent="0.25">
      <c r="A75" s="1348" t="s">
        <v>47</v>
      </c>
      <c r="B75" s="1349" t="s">
        <v>571</v>
      </c>
      <c r="C75" s="1649"/>
      <c r="D75" s="1649"/>
      <c r="E75" s="1649">
        <v>33653</v>
      </c>
      <c r="F75" s="1649">
        <v>13</v>
      </c>
      <c r="G75" s="1649"/>
      <c r="H75" s="1649"/>
      <c r="I75" s="1627"/>
      <c r="J75" s="1627"/>
      <c r="K75" s="1674">
        <f>SUM(C75:J75)</f>
        <v>33666</v>
      </c>
      <c r="L75" s="1651">
        <v>44485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0</v>
      </c>
      <c r="F79" s="1673"/>
      <c r="G79" s="1673"/>
      <c r="H79" s="1573">
        <v>1525</v>
      </c>
      <c r="I79" s="1582"/>
      <c r="J79" s="1582"/>
      <c r="K79" s="1672">
        <f t="shared" si="11"/>
        <v>1525</v>
      </c>
      <c r="L79" s="1573">
        <v>80000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1525</v>
      </c>
      <c r="I84" s="1582"/>
      <c r="J84" s="1582"/>
      <c r="K84" s="1674">
        <f>SUM(K78:K83)</f>
        <v>1525</v>
      </c>
      <c r="L84" s="1674">
        <f>SUM(L78:L83)</f>
        <v>80000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1525</v>
      </c>
      <c r="I102" s="1582"/>
      <c r="J102" s="1582"/>
      <c r="K102" s="1681">
        <f>SUM(K84,K92,K100,K101)</f>
        <v>1525</v>
      </c>
      <c r="L102" s="1681">
        <f>SUM(L84,L92,L100,L101)</f>
        <v>80000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5514456</v>
      </c>
      <c r="D114" s="1674">
        <f t="shared" ref="D114:K114" si="13">SUM(D33,D74,D75,D102,D112,D113)</f>
        <v>1091893</v>
      </c>
      <c r="E114" s="1674">
        <f t="shared" si="13"/>
        <v>610926</v>
      </c>
      <c r="F114" s="1674">
        <f t="shared" si="13"/>
        <v>248339</v>
      </c>
      <c r="G114" s="1674">
        <f t="shared" si="13"/>
        <v>201611</v>
      </c>
      <c r="H114" s="1674">
        <f>SUM(H33,H74,H75,H102,H112,H113)</f>
        <v>181333</v>
      </c>
      <c r="I114" s="1674">
        <f t="shared" si="13"/>
        <v>68267</v>
      </c>
      <c r="J114" s="1674">
        <f t="shared" si="13"/>
        <v>0</v>
      </c>
      <c r="K114" s="1674">
        <f t="shared" si="13"/>
        <v>7916825</v>
      </c>
      <c r="L114" s="1674">
        <f>SUM(L33,L74,L75,L102,L112,L113)</f>
        <v>8038159</v>
      </c>
    </row>
    <row r="115" spans="1:14" ht="13.5" thickTop="1" x14ac:dyDescent="0.2">
      <c r="A115" s="2261" t="s">
        <v>989</v>
      </c>
      <c r="B115" s="2262"/>
      <c r="C115" s="1675"/>
      <c r="D115" s="1675"/>
      <c r="E115" s="1675"/>
      <c r="F115" s="1675"/>
      <c r="G115" s="1675"/>
      <c r="H115" s="1675"/>
      <c r="I115" s="1675"/>
      <c r="J115" s="1675"/>
      <c r="K115" s="1689">
        <f>'Revenues 9-14'!C268-'Expenditures 15-22'!K114</f>
        <v>463829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c r="G122" s="1573"/>
      <c r="H122" s="1573"/>
      <c r="I122" s="1574"/>
      <c r="J122" s="1574"/>
      <c r="K122" s="1674">
        <f>SUM(C122:J122)</f>
        <v>0</v>
      </c>
      <c r="L122" s="1573"/>
    </row>
    <row r="123" spans="1:14" ht="14.25" thickTop="1" thickBot="1" x14ac:dyDescent="0.25">
      <c r="A123" s="1274" t="s">
        <v>4</v>
      </c>
      <c r="B123" s="503">
        <v>2530</v>
      </c>
      <c r="C123" s="1573"/>
      <c r="D123" s="1573"/>
      <c r="E123" s="1573">
        <v>6375</v>
      </c>
      <c r="F123" s="1573">
        <v>750</v>
      </c>
      <c r="G123" s="1573">
        <v>70274</v>
      </c>
      <c r="H123" s="1573">
        <v>4734</v>
      </c>
      <c r="I123" s="1574"/>
      <c r="J123" s="1574"/>
      <c r="K123" s="1674">
        <f>SUM(C123:J123)</f>
        <v>82133</v>
      </c>
      <c r="L123" s="1573">
        <v>159500</v>
      </c>
    </row>
    <row r="124" spans="1:14" ht="14.25" thickTop="1" thickBot="1" x14ac:dyDescent="0.25">
      <c r="A124" s="1274" t="s">
        <v>195</v>
      </c>
      <c r="B124" s="503">
        <v>2540</v>
      </c>
      <c r="C124" s="1573">
        <v>268066</v>
      </c>
      <c r="D124" s="1573">
        <v>43763</v>
      </c>
      <c r="E124" s="1573">
        <v>121659</v>
      </c>
      <c r="F124" s="1573">
        <v>172849</v>
      </c>
      <c r="G124" s="1573">
        <v>5200</v>
      </c>
      <c r="H124" s="1573"/>
      <c r="I124" s="1574">
        <v>0</v>
      </c>
      <c r="J124" s="1574"/>
      <c r="K124" s="1674">
        <f>SUM(C124:J124)</f>
        <v>611537</v>
      </c>
      <c r="L124" s="1573">
        <v>664601</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268066</v>
      </c>
      <c r="D127" s="1674">
        <f t="shared" ref="D127:L127" si="14">SUM(D122:D126)</f>
        <v>43763</v>
      </c>
      <c r="E127" s="1674">
        <f t="shared" si="14"/>
        <v>128034</v>
      </c>
      <c r="F127" s="1674">
        <f t="shared" si="14"/>
        <v>173599</v>
      </c>
      <c r="G127" s="1674">
        <f t="shared" si="14"/>
        <v>75474</v>
      </c>
      <c r="H127" s="1674">
        <f t="shared" si="14"/>
        <v>4734</v>
      </c>
      <c r="I127" s="1674">
        <f t="shared" si="14"/>
        <v>0</v>
      </c>
      <c r="J127" s="1674">
        <f t="shared" si="14"/>
        <v>0</v>
      </c>
      <c r="K127" s="1674">
        <f t="shared" si="14"/>
        <v>693670</v>
      </c>
      <c r="L127" s="1674">
        <f t="shared" si="14"/>
        <v>824101</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268066</v>
      </c>
      <c r="D129" s="1681">
        <f t="shared" ref="D129:L129" si="15">SUM(D120,D127,D128)</f>
        <v>43763</v>
      </c>
      <c r="E129" s="1681">
        <f t="shared" si="15"/>
        <v>128034</v>
      </c>
      <c r="F129" s="1681">
        <f t="shared" si="15"/>
        <v>173599</v>
      </c>
      <c r="G129" s="1681">
        <f t="shared" si="15"/>
        <v>75474</v>
      </c>
      <c r="H129" s="1681">
        <f t="shared" si="15"/>
        <v>4734</v>
      </c>
      <c r="I129" s="1681">
        <f t="shared" si="15"/>
        <v>0</v>
      </c>
      <c r="J129" s="1681">
        <f t="shared" si="15"/>
        <v>0</v>
      </c>
      <c r="K129" s="1681">
        <f t="shared" si="15"/>
        <v>693670</v>
      </c>
      <c r="L129" s="1681">
        <f t="shared" si="15"/>
        <v>824101</v>
      </c>
    </row>
    <row r="130" spans="1:14" ht="15.75" customHeight="1" thickTop="1" thickBot="1" x14ac:dyDescent="0.25">
      <c r="A130" s="1348" t="s">
        <v>1029</v>
      </c>
      <c r="B130" s="1349" t="s">
        <v>571</v>
      </c>
      <c r="C130" s="1651"/>
      <c r="D130" s="1651"/>
      <c r="E130" s="1651"/>
      <c r="F130" s="1651">
        <v>677</v>
      </c>
      <c r="G130" s="1651"/>
      <c r="H130" s="1651"/>
      <c r="I130" s="1627"/>
      <c r="J130" s="1627"/>
      <c r="K130" s="1674">
        <f>SUM(C130:J130)</f>
        <v>677</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268066</v>
      </c>
      <c r="D151" s="1674">
        <f t="shared" ref="D151:K151" si="16">SUM(D129,D130,D139,D149,D150)</f>
        <v>43763</v>
      </c>
      <c r="E151" s="1674">
        <f t="shared" si="16"/>
        <v>128034</v>
      </c>
      <c r="F151" s="1674">
        <f t="shared" si="16"/>
        <v>174276</v>
      </c>
      <c r="G151" s="1674">
        <f t="shared" si="16"/>
        <v>75474</v>
      </c>
      <c r="H151" s="1674">
        <f t="shared" si="16"/>
        <v>4734</v>
      </c>
      <c r="I151" s="1674">
        <f t="shared" si="16"/>
        <v>0</v>
      </c>
      <c r="J151" s="1674">
        <f t="shared" si="16"/>
        <v>0</v>
      </c>
      <c r="K151" s="1674">
        <f t="shared" si="16"/>
        <v>694347</v>
      </c>
      <c r="L151" s="1674">
        <f>SUM(L129,L130,L139,L149,L150)</f>
        <v>824101</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111919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v>0</v>
      </c>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43100</v>
      </c>
      <c r="I169" s="1673"/>
      <c r="J169" s="1673"/>
      <c r="K169" s="1672">
        <f>SUM(C169:H169)</f>
        <v>43100</v>
      </c>
      <c r="L169" s="1695">
        <v>43100</v>
      </c>
    </row>
    <row r="170" spans="1:14" ht="33.75" customHeight="1" x14ac:dyDescent="0.2">
      <c r="A170" s="543" t="s">
        <v>1651</v>
      </c>
      <c r="B170" s="545" t="s">
        <v>31</v>
      </c>
      <c r="C170" s="1673"/>
      <c r="D170" s="1673"/>
      <c r="E170" s="1673"/>
      <c r="F170" s="1673"/>
      <c r="G170" s="1673"/>
      <c r="H170" s="1646">
        <v>840000</v>
      </c>
      <c r="I170" s="1673"/>
      <c r="J170" s="1673"/>
      <c r="K170" s="1672">
        <f>SUM(C170:J170)</f>
        <v>840000</v>
      </c>
      <c r="L170" s="1646">
        <v>840000</v>
      </c>
    </row>
    <row r="171" spans="1:14" ht="15.75" customHeight="1" x14ac:dyDescent="0.2">
      <c r="A171" s="507" t="s">
        <v>761</v>
      </c>
      <c r="B171" s="546" t="s">
        <v>84</v>
      </c>
      <c r="C171" s="1673"/>
      <c r="D171" s="1673"/>
      <c r="E171" s="1573"/>
      <c r="F171" s="1673"/>
      <c r="G171" s="1673"/>
      <c r="H171" s="1646">
        <v>0</v>
      </c>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883100</v>
      </c>
      <c r="I172" s="1684"/>
      <c r="J172" s="1673"/>
      <c r="K172" s="1681">
        <f>SUM(K168,K169,K170,K171)</f>
        <v>883100</v>
      </c>
      <c r="L172" s="1681">
        <f>SUM(L168,L169,L170,L171)</f>
        <v>883100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883100</v>
      </c>
      <c r="I174" s="1684"/>
      <c r="J174" s="1673"/>
      <c r="K174" s="1681">
        <f>SUM(K160,K172,K173)</f>
        <v>883100</v>
      </c>
      <c r="L174" s="1681">
        <f>SUM(L160,L172,L173)</f>
        <v>883100</v>
      </c>
    </row>
    <row r="175" spans="1:14" ht="13.5" thickTop="1" x14ac:dyDescent="0.2">
      <c r="A175" s="2261" t="s">
        <v>989</v>
      </c>
      <c r="B175" s="2262"/>
      <c r="C175" s="1673"/>
      <c r="D175" s="1673"/>
      <c r="E175" s="1673"/>
      <c r="F175" s="1673"/>
      <c r="G175" s="1673"/>
      <c r="H175" s="1675"/>
      <c r="I175" s="1673"/>
      <c r="J175" s="1673"/>
      <c r="K175" s="1689">
        <f>'Revenues 9-14'!E268-'Expenditures 15-22'!K174</f>
        <v>50486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307888</v>
      </c>
      <c r="F182" s="1573">
        <v>0</v>
      </c>
      <c r="G182" s="1573"/>
      <c r="H182" s="1573"/>
      <c r="I182" s="1574"/>
      <c r="J182" s="1574"/>
      <c r="K182" s="1672">
        <f>SUM(C182:J182)</f>
        <v>307888</v>
      </c>
      <c r="L182" s="1573">
        <v>316500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307888</v>
      </c>
      <c r="F184" s="1681">
        <f t="shared" si="17"/>
        <v>0</v>
      </c>
      <c r="G184" s="1681">
        <f t="shared" si="17"/>
        <v>0</v>
      </c>
      <c r="H184" s="1681">
        <f t="shared" si="17"/>
        <v>0</v>
      </c>
      <c r="I184" s="1681">
        <f t="shared" si="17"/>
        <v>0</v>
      </c>
      <c r="J184" s="1681">
        <f t="shared" si="17"/>
        <v>0</v>
      </c>
      <c r="K184" s="1681">
        <f>SUM(K180,K182,K183)</f>
        <v>307888</v>
      </c>
      <c r="L184" s="1681">
        <f>SUM(L180, L182:L183)</f>
        <v>316500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307888</v>
      </c>
      <c r="F210" s="1674">
        <f>SUM(F184,F185)</f>
        <v>0</v>
      </c>
      <c r="G210" s="1674">
        <f>SUM(G184,G185)</f>
        <v>0</v>
      </c>
      <c r="H210" s="1674">
        <f>SUM(H184,H185,H196,H208,H209)</f>
        <v>0</v>
      </c>
      <c r="I210" s="1674">
        <f>SUM(I184,I185)</f>
        <v>0</v>
      </c>
      <c r="J210" s="1674">
        <f>SUM(J184,J185)</f>
        <v>0</v>
      </c>
      <c r="K210" s="1672">
        <f>SUM(K184,K185,K196,K208,K209)</f>
        <v>307888</v>
      </c>
      <c r="L210" s="1674">
        <f>SUM(L184,L185,L196,L208,L209)</f>
        <v>316500</v>
      </c>
    </row>
    <row r="211" spans="1:14" ht="13.5" thickTop="1" x14ac:dyDescent="0.2">
      <c r="A211" s="2261" t="s">
        <v>989</v>
      </c>
      <c r="B211" s="2262"/>
      <c r="C211" s="1675"/>
      <c r="D211" s="1675"/>
      <c r="E211" s="1675"/>
      <c r="F211" s="1675"/>
      <c r="G211" s="1675"/>
      <c r="H211" s="1675"/>
      <c r="I211" s="1673"/>
      <c r="J211" s="1673"/>
      <c r="K211" s="1689">
        <f>'Revenues 9-14'!F268-'Expenditures 15-22'!K210</f>
        <v>113896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37139</v>
      </c>
      <c r="E215" s="1673"/>
      <c r="F215" s="1673"/>
      <c r="G215" s="1673"/>
      <c r="H215" s="1673"/>
      <c r="I215" s="1673"/>
      <c r="J215" s="1673"/>
      <c r="K215" s="1672">
        <f>D215</f>
        <v>37139</v>
      </c>
      <c r="L215" s="1573">
        <v>38100</v>
      </c>
    </row>
    <row r="216" spans="1:14" x14ac:dyDescent="0.2">
      <c r="A216" s="1274" t="s">
        <v>162</v>
      </c>
      <c r="B216" s="503" t="s">
        <v>961</v>
      </c>
      <c r="C216" s="1673"/>
      <c r="D216" s="1574">
        <v>18524</v>
      </c>
      <c r="E216" s="1673"/>
      <c r="F216" s="1673"/>
      <c r="G216" s="1673"/>
      <c r="H216" s="1673"/>
      <c r="I216" s="1673"/>
      <c r="J216" s="1673"/>
      <c r="K216" s="1672">
        <f t="shared" ref="K216:K228" si="19">D216</f>
        <v>18524</v>
      </c>
      <c r="L216" s="1573">
        <v>17500</v>
      </c>
    </row>
    <row r="217" spans="1:14" x14ac:dyDescent="0.2">
      <c r="A217" s="1274" t="s">
        <v>163</v>
      </c>
      <c r="B217" s="503">
        <v>1200</v>
      </c>
      <c r="C217" s="1673"/>
      <c r="D217" s="1573">
        <v>90914</v>
      </c>
      <c r="E217" s="1673"/>
      <c r="F217" s="1673"/>
      <c r="G217" s="1673"/>
      <c r="H217" s="1673"/>
      <c r="I217" s="1673"/>
      <c r="J217" s="1673"/>
      <c r="K217" s="1672">
        <f t="shared" si="19"/>
        <v>90914</v>
      </c>
      <c r="L217" s="1573">
        <v>76000</v>
      </c>
    </row>
    <row r="218" spans="1:14" x14ac:dyDescent="0.2">
      <c r="A218" s="1274" t="s">
        <v>276</v>
      </c>
      <c r="B218" s="503" t="s">
        <v>962</v>
      </c>
      <c r="C218" s="1673"/>
      <c r="D218" s="1574">
        <v>0</v>
      </c>
      <c r="E218" s="1673"/>
      <c r="F218" s="1673"/>
      <c r="G218" s="1673"/>
      <c r="H218" s="1673"/>
      <c r="I218" s="1673"/>
      <c r="J218" s="1673"/>
      <c r="K218" s="1672">
        <f t="shared" si="19"/>
        <v>0</v>
      </c>
      <c r="L218" s="1573"/>
    </row>
    <row r="219" spans="1:14" x14ac:dyDescent="0.2">
      <c r="A219" s="1274" t="s">
        <v>277</v>
      </c>
      <c r="B219" s="503">
        <v>1250</v>
      </c>
      <c r="C219" s="1673"/>
      <c r="D219" s="1573">
        <v>5042</v>
      </c>
      <c r="E219" s="1673"/>
      <c r="F219" s="1673"/>
      <c r="G219" s="1673"/>
      <c r="H219" s="1673"/>
      <c r="I219" s="1673"/>
      <c r="J219" s="1673"/>
      <c r="K219" s="1672">
        <f t="shared" si="19"/>
        <v>5042</v>
      </c>
      <c r="L219" s="1573">
        <v>8970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1953</v>
      </c>
      <c r="E223" s="1673"/>
      <c r="F223" s="1673"/>
      <c r="G223" s="1673"/>
      <c r="H223" s="1673"/>
      <c r="I223" s="1673"/>
      <c r="J223" s="1673"/>
      <c r="K223" s="1672">
        <f t="shared" si="19"/>
        <v>1953</v>
      </c>
      <c r="L223" s="1573">
        <v>2300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v>660</v>
      </c>
      <c r="E225" s="1673"/>
      <c r="F225" s="1673"/>
      <c r="G225" s="1673"/>
      <c r="H225" s="1673"/>
      <c r="I225" s="1673"/>
      <c r="J225" s="1673"/>
      <c r="K225" s="1672">
        <f t="shared" si="19"/>
        <v>660</v>
      </c>
      <c r="L225" s="1573">
        <v>800</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887</v>
      </c>
      <c r="E227" s="1673"/>
      <c r="F227" s="1673"/>
      <c r="G227" s="1673"/>
      <c r="H227" s="1673"/>
      <c r="I227" s="1673"/>
      <c r="J227" s="1673"/>
      <c r="K227" s="1672">
        <f t="shared" si="19"/>
        <v>887</v>
      </c>
      <c r="L227" s="1573">
        <v>1000</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155119</v>
      </c>
      <c r="E229" s="1673"/>
      <c r="F229" s="1673"/>
      <c r="G229" s="1673"/>
      <c r="H229" s="1673"/>
      <c r="I229" s="1673"/>
      <c r="J229" s="1673"/>
      <c r="K229" s="1674">
        <f>SUM(K215:K228)</f>
        <v>155119</v>
      </c>
      <c r="L229" s="1674">
        <f>SUM(L215:L228)</f>
        <v>144670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1372</v>
      </c>
      <c r="E232" s="1673"/>
      <c r="F232" s="1673"/>
      <c r="G232" s="1673"/>
      <c r="H232" s="1673"/>
      <c r="I232" s="1673"/>
      <c r="J232" s="1673"/>
      <c r="K232" s="1672">
        <f t="shared" ref="K232:K237" si="20">D232</f>
        <v>1372</v>
      </c>
      <c r="L232" s="1573">
        <v>1500</v>
      </c>
    </row>
    <row r="233" spans="1:12" x14ac:dyDescent="0.2">
      <c r="A233" s="1274" t="s">
        <v>1081</v>
      </c>
      <c r="B233" s="503">
        <v>2120</v>
      </c>
      <c r="C233" s="1673"/>
      <c r="D233" s="1573">
        <v>0</v>
      </c>
      <c r="E233" s="1673"/>
      <c r="F233" s="1673"/>
      <c r="G233" s="1673"/>
      <c r="H233" s="1673"/>
      <c r="I233" s="1673"/>
      <c r="J233" s="1673"/>
      <c r="K233" s="1672">
        <f t="shared" si="20"/>
        <v>0</v>
      </c>
      <c r="L233" s="1573">
        <v>1000</v>
      </c>
    </row>
    <row r="234" spans="1:12" x14ac:dyDescent="0.2">
      <c r="A234" s="1274" t="s">
        <v>196</v>
      </c>
      <c r="B234" s="503">
        <v>2130</v>
      </c>
      <c r="C234" s="1673"/>
      <c r="D234" s="1573">
        <v>26174</v>
      </c>
      <c r="E234" s="1673"/>
      <c r="F234" s="1673"/>
      <c r="G234" s="1673"/>
      <c r="H234" s="1673"/>
      <c r="I234" s="1673"/>
      <c r="J234" s="1673"/>
      <c r="K234" s="1672">
        <f t="shared" si="20"/>
        <v>26174</v>
      </c>
      <c r="L234" s="1573">
        <v>28000</v>
      </c>
    </row>
    <row r="235" spans="1:12" x14ac:dyDescent="0.2">
      <c r="A235" s="1274" t="s">
        <v>197</v>
      </c>
      <c r="B235" s="503">
        <v>2140</v>
      </c>
      <c r="C235" s="1673"/>
      <c r="D235" s="1573">
        <v>777</v>
      </c>
      <c r="E235" s="1673"/>
      <c r="F235" s="1673"/>
      <c r="G235" s="1673"/>
      <c r="H235" s="1673"/>
      <c r="I235" s="1673"/>
      <c r="J235" s="1673"/>
      <c r="K235" s="1672">
        <f t="shared" si="20"/>
        <v>777</v>
      </c>
      <c r="L235" s="1573">
        <v>900</v>
      </c>
    </row>
    <row r="236" spans="1:12" x14ac:dyDescent="0.2">
      <c r="A236" s="1274" t="s">
        <v>198</v>
      </c>
      <c r="B236" s="503">
        <v>2150</v>
      </c>
      <c r="C236" s="1673"/>
      <c r="D236" s="1573">
        <v>1913</v>
      </c>
      <c r="E236" s="1673"/>
      <c r="F236" s="1673"/>
      <c r="G236" s="1673"/>
      <c r="H236" s="1673"/>
      <c r="I236" s="1673"/>
      <c r="J236" s="1673"/>
      <c r="K236" s="1672">
        <f t="shared" si="20"/>
        <v>1913</v>
      </c>
      <c r="L236" s="1573">
        <v>2000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30236</v>
      </c>
      <c r="E238" s="1673"/>
      <c r="F238" s="1673"/>
      <c r="G238" s="1673"/>
      <c r="H238" s="1673"/>
      <c r="I238" s="1673"/>
      <c r="J238" s="1673"/>
      <c r="K238" s="1674">
        <f>SUM(K232:K237)</f>
        <v>30236</v>
      </c>
      <c r="L238" s="1674">
        <f>SUM(L232:L237)</f>
        <v>33400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100</v>
      </c>
    </row>
    <row r="241" spans="1:12" x14ac:dyDescent="0.2">
      <c r="A241" s="1274" t="s">
        <v>810</v>
      </c>
      <c r="B241" s="503">
        <v>2220</v>
      </c>
      <c r="C241" s="1673"/>
      <c r="D241" s="1573">
        <v>5114</v>
      </c>
      <c r="E241" s="1673"/>
      <c r="F241" s="1673"/>
      <c r="G241" s="1673"/>
      <c r="H241" s="1673"/>
      <c r="I241" s="1673"/>
      <c r="J241" s="1673"/>
      <c r="K241" s="1678">
        <f>D241</f>
        <v>5114</v>
      </c>
      <c r="L241" s="1573">
        <v>5400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5114</v>
      </c>
      <c r="E243" s="1673"/>
      <c r="F243" s="1673"/>
      <c r="G243" s="1673"/>
      <c r="H243" s="1673"/>
      <c r="I243" s="1673"/>
      <c r="J243" s="1673"/>
      <c r="K243" s="1674">
        <f>SUM(K240:K242)</f>
        <v>5114</v>
      </c>
      <c r="L243" s="1674">
        <f>SUM(L240:L242)</f>
        <v>5500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200</v>
      </c>
    </row>
    <row r="246" spans="1:12" x14ac:dyDescent="0.2">
      <c r="A246" s="1274" t="s">
        <v>813</v>
      </c>
      <c r="B246" s="503">
        <v>2320</v>
      </c>
      <c r="C246" s="1673"/>
      <c r="D246" s="1573">
        <v>12652</v>
      </c>
      <c r="E246" s="1673"/>
      <c r="F246" s="1673"/>
      <c r="G246" s="1673"/>
      <c r="H246" s="1673"/>
      <c r="I246" s="1673"/>
      <c r="J246" s="1673"/>
      <c r="K246" s="1678">
        <f t="shared" ref="K246:K256" si="21">D246</f>
        <v>12652</v>
      </c>
      <c r="L246" s="1573">
        <v>13060</v>
      </c>
    </row>
    <row r="247" spans="1:12" x14ac:dyDescent="0.2">
      <c r="A247" s="1274" t="s">
        <v>814</v>
      </c>
      <c r="B247" s="503">
        <v>2330</v>
      </c>
      <c r="C247" s="1673"/>
      <c r="D247" s="1573">
        <v>4122</v>
      </c>
      <c r="E247" s="1673"/>
      <c r="F247" s="1673"/>
      <c r="G247" s="1673"/>
      <c r="H247" s="1673"/>
      <c r="I247" s="1673"/>
      <c r="J247" s="1673"/>
      <c r="K247" s="1678">
        <f t="shared" si="21"/>
        <v>4122</v>
      </c>
      <c r="L247" s="1573">
        <v>4200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16774</v>
      </c>
      <c r="E257" s="1673"/>
      <c r="F257" s="1673"/>
      <c r="G257" s="1673"/>
      <c r="H257" s="1673"/>
      <c r="I257" s="1673"/>
      <c r="J257" s="1673"/>
      <c r="K257" s="1674">
        <f>SUM(K245:K256)</f>
        <v>16774</v>
      </c>
      <c r="L257" s="1674">
        <f>SUM(L245:L256)</f>
        <v>17460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31610</v>
      </c>
      <c r="E259" s="1673"/>
      <c r="F259" s="1673"/>
      <c r="G259" s="1673"/>
      <c r="H259" s="1673"/>
      <c r="I259" s="1673"/>
      <c r="J259" s="1673"/>
      <c r="K259" s="1678">
        <f>D259</f>
        <v>31610</v>
      </c>
      <c r="L259" s="1586">
        <v>34000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31610</v>
      </c>
      <c r="E261" s="1673"/>
      <c r="F261" s="1673"/>
      <c r="G261" s="1673"/>
      <c r="H261" s="1673"/>
      <c r="I261" s="1673"/>
      <c r="J261" s="1673"/>
      <c r="K261" s="1674">
        <f>SUM(K259:K260)</f>
        <v>31610</v>
      </c>
      <c r="L261" s="1674">
        <f>SUM(L259:L260)</f>
        <v>34000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17329</v>
      </c>
      <c r="E263" s="1673"/>
      <c r="F263" s="1673"/>
      <c r="G263" s="1673"/>
      <c r="H263" s="1673"/>
      <c r="I263" s="1673"/>
      <c r="J263" s="1673"/>
      <c r="K263" s="1678">
        <f>D263</f>
        <v>17329</v>
      </c>
      <c r="L263" s="1586">
        <v>18000</v>
      </c>
    </row>
    <row r="264" spans="1:14" x14ac:dyDescent="0.2">
      <c r="A264" s="1274" t="s">
        <v>460</v>
      </c>
      <c r="B264" s="559">
        <v>2520</v>
      </c>
      <c r="C264" s="1673"/>
      <c r="D264" s="1573">
        <v>9705</v>
      </c>
      <c r="E264" s="1673"/>
      <c r="F264" s="1673"/>
      <c r="G264" s="1673"/>
      <c r="H264" s="1673"/>
      <c r="I264" s="1673"/>
      <c r="J264" s="1673"/>
      <c r="K264" s="1678">
        <f t="shared" ref="K264:K269" si="22">D264</f>
        <v>9705</v>
      </c>
      <c r="L264" s="1573">
        <v>9900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52790</v>
      </c>
      <c r="E266" s="1673"/>
      <c r="F266" s="1673"/>
      <c r="G266" s="1673"/>
      <c r="H266" s="1673"/>
      <c r="I266" s="1673"/>
      <c r="J266" s="1673"/>
      <c r="K266" s="1678">
        <f t="shared" si="22"/>
        <v>52790</v>
      </c>
      <c r="L266" s="1573">
        <v>56300</v>
      </c>
    </row>
    <row r="267" spans="1:14" x14ac:dyDescent="0.2">
      <c r="A267" s="1274" t="s">
        <v>947</v>
      </c>
      <c r="B267" s="503">
        <v>2550</v>
      </c>
      <c r="C267" s="1673"/>
      <c r="D267" s="1573">
        <v>0</v>
      </c>
      <c r="E267" s="1673"/>
      <c r="F267" s="1673"/>
      <c r="G267" s="1673"/>
      <c r="H267" s="1673"/>
      <c r="I267" s="1673"/>
      <c r="J267" s="1673"/>
      <c r="K267" s="1678">
        <f t="shared" si="22"/>
        <v>0</v>
      </c>
      <c r="L267" s="1573"/>
    </row>
    <row r="268" spans="1:14" x14ac:dyDescent="0.2">
      <c r="A268" s="1274" t="s">
        <v>100</v>
      </c>
      <c r="B268" s="503">
        <v>2560</v>
      </c>
      <c r="C268" s="1673"/>
      <c r="D268" s="1573">
        <v>638</v>
      </c>
      <c r="E268" s="1673"/>
      <c r="F268" s="1673"/>
      <c r="G268" s="1673"/>
      <c r="H268" s="1673"/>
      <c r="I268" s="1673"/>
      <c r="J268" s="1673"/>
      <c r="K268" s="1678">
        <f t="shared" si="22"/>
        <v>638</v>
      </c>
      <c r="L268" s="1573">
        <v>1100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80462</v>
      </c>
      <c r="E270" s="1673"/>
      <c r="F270" s="1673"/>
      <c r="G270" s="1673"/>
      <c r="H270" s="1673"/>
      <c r="I270" s="1673"/>
      <c r="J270" s="1673"/>
      <c r="K270" s="1674">
        <f>SUM(K263:K269)</f>
        <v>80462</v>
      </c>
      <c r="L270" s="1674">
        <f>SUM(L263:L269)</f>
        <v>85300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11806</v>
      </c>
      <c r="E276" s="1673"/>
      <c r="F276" s="1673"/>
      <c r="G276" s="1673"/>
      <c r="H276" s="1673"/>
      <c r="I276" s="1673"/>
      <c r="J276" s="1673"/>
      <c r="K276" s="1678">
        <f>D276</f>
        <v>11806</v>
      </c>
      <c r="L276" s="1573">
        <v>2500</v>
      </c>
    </row>
    <row r="277" spans="1:12" ht="12.75" customHeight="1" thickBot="1" x14ac:dyDescent="0.25">
      <c r="A277" s="1393" t="s">
        <v>37</v>
      </c>
      <c r="B277" s="1381" t="s">
        <v>36</v>
      </c>
      <c r="C277" s="1673"/>
      <c r="D277" s="1674">
        <f>SUM(D272:D276)</f>
        <v>11806</v>
      </c>
      <c r="E277" s="1673"/>
      <c r="F277" s="1673"/>
      <c r="G277" s="1673"/>
      <c r="H277" s="1673"/>
      <c r="I277" s="1673"/>
      <c r="J277" s="1673"/>
      <c r="K277" s="1674">
        <f>SUM(K272:K276)</f>
        <v>11806</v>
      </c>
      <c r="L277" s="1674">
        <f>SUM(L272:L276)</f>
        <v>2500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176002</v>
      </c>
      <c r="E279" s="1673"/>
      <c r="F279" s="1673"/>
      <c r="G279" s="1673"/>
      <c r="H279" s="1673"/>
      <c r="I279" s="1673"/>
      <c r="J279" s="1673"/>
      <c r="K279" s="1681">
        <f>SUM(K238,K243,K257,K261,K270,K277,K278)</f>
        <v>176002</v>
      </c>
      <c r="L279" s="1681">
        <f>SUM(L238,L243,L257,L261,L270,L277,L278)</f>
        <v>178160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331121</v>
      </c>
      <c r="E295" s="1673"/>
      <c r="F295" s="1673"/>
      <c r="G295" s="1673"/>
      <c r="H295" s="1674">
        <f>H293</f>
        <v>0</v>
      </c>
      <c r="I295" s="1673"/>
      <c r="J295" s="1673"/>
      <c r="K295" s="1674">
        <f>SUM(K229,K279,K280,K285,K293,K294)</f>
        <v>331121</v>
      </c>
      <c r="L295" s="1674">
        <f>SUM(L229,L279,L280,L285,L293,L294)</f>
        <v>322830</v>
      </c>
    </row>
    <row r="296" spans="1:14" ht="13.5" thickTop="1" x14ac:dyDescent="0.2">
      <c r="A296" s="2261" t="s">
        <v>989</v>
      </c>
      <c r="B296" s="2262"/>
      <c r="C296" s="1673"/>
      <c r="D296" s="1675"/>
      <c r="E296" s="1673"/>
      <c r="F296" s="1673"/>
      <c r="G296" s="1673"/>
      <c r="H296" s="1707"/>
      <c r="I296" s="1673"/>
      <c r="J296" s="1673"/>
      <c r="K296" s="1689">
        <f>'Revenues 9-14'!G268-'Expenditures 15-22'!K295</f>
        <v>12033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0</v>
      </c>
      <c r="F301" s="1573"/>
      <c r="G301" s="1573">
        <v>1032054</v>
      </c>
      <c r="H301" s="1573"/>
      <c r="I301" s="1574"/>
      <c r="J301" s="1574"/>
      <c r="K301" s="1672">
        <f>SUM(C301:J301)</f>
        <v>1032054</v>
      </c>
      <c r="L301" s="1574">
        <v>800000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1032054</v>
      </c>
      <c r="H303" s="1681">
        <f t="shared" si="23"/>
        <v>0</v>
      </c>
      <c r="I303" s="1681">
        <f t="shared" si="23"/>
        <v>0</v>
      </c>
      <c r="J303" s="1681">
        <f t="shared" si="23"/>
        <v>0</v>
      </c>
      <c r="K303" s="1681">
        <f t="shared" si="23"/>
        <v>1032054</v>
      </c>
      <c r="L303" s="1681">
        <f t="shared" si="23"/>
        <v>800000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1032054</v>
      </c>
      <c r="H312" s="1674">
        <f>SUM(H303,H310)</f>
        <v>0</v>
      </c>
      <c r="I312" s="1674">
        <f>SUM(I303)</f>
        <v>0</v>
      </c>
      <c r="J312" s="1674">
        <f>SUM(J303)</f>
        <v>0</v>
      </c>
      <c r="K312" s="1674">
        <f>SUM(K303,K310,K311)</f>
        <v>1032054</v>
      </c>
      <c r="L312" s="1674">
        <f>SUM(L303,L310,L311)</f>
        <v>800000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-1034454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110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2303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http://www.w3.org/XML/1998/namespace"/>
    <ds:schemaRef ds:uri="http://purl.org/dc/terms/"/>
    <ds:schemaRef ds:uri="http://schemas.microsoft.com/office/infopath/2007/PartnerControls"/>
    <ds:schemaRef ds:uri="d21dc803-237d-4c68-8692-8d731fd29118"/>
    <ds:schemaRef ds:uri="4d435f69-8686-490b-bd6d-b153bf22ab50"/>
    <ds:schemaRef ds:uri="6ce3111e-7420-4802-b50a-75d4e9a0b980"/>
    <ds:schemaRef ds:uri="http://schemas.microsoft.com/office/2006/documentManagement/types"/>
    <ds:schemaRef ds:uri="http://schemas.microsoft.com/sharepoint/v3"/>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2020-11-20T19:21:56Z</cp:lastPrinted>
  <dcterms:created xsi:type="dcterms:W3CDTF">2003-10-29T19:06:34Z</dcterms:created>
  <dcterms:modified xsi:type="dcterms:W3CDTF">2020-12-03T22:02:59Z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