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2BCD536-0627-4638-A430-877C3E2B4379}"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Cap Outlay Deprec 26" sheetId="11" r:id="rId12"/>
    <sheet name="Rest Tax Levies-Tort Im 25" sheetId="12"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SEFA NOTES" sheetId="173" r:id="rId31"/>
    <sheet name="SF&amp;QC Sec-1" sheetId="174" r:id="rId32"/>
    <sheet name="SF&amp;QC Sec-2 " sheetId="187" r:id="rId33"/>
    <sheet name="SSPAF" sheetId="177" r:id="rId34"/>
    <sheet name="SF&amp;QC Sec-3" sheetId="176" r:id="rId35"/>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4">#REF!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4">#REF!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4">#REF!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4">#REF!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4">#REF!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0" i="11" l="1"/>
  <c r="C8" i="7" l="1"/>
  <c r="B8" i="7"/>
  <c r="E6" i="7"/>
  <c r="C255" i="5" l="1"/>
  <c r="C39" i="3" l="1"/>
  <c r="C44" i="29"/>
  <c r="C213" i="5"/>
  <c r="C96" i="5"/>
  <c r="C10" i="187" l="1"/>
  <c r="K25" i="186" l="1"/>
  <c r="J25" i="186"/>
  <c r="I25" i="186"/>
  <c r="H25" i="186"/>
  <c r="G25" i="186"/>
  <c r="F25" i="186"/>
  <c r="E25" i="186"/>
  <c r="K23" i="185"/>
  <c r="J23" i="185"/>
  <c r="I23" i="185"/>
  <c r="H23" i="185"/>
  <c r="G23" i="185"/>
  <c r="F23" i="185"/>
  <c r="E23" i="185"/>
  <c r="K15" i="185"/>
  <c r="J15" i="185"/>
  <c r="I15" i="185"/>
  <c r="H15" i="185"/>
  <c r="G15" i="185"/>
  <c r="F15" i="185"/>
  <c r="E15" i="185"/>
  <c r="K27" i="179"/>
  <c r="K16" i="185" s="1"/>
  <c r="J27" i="179"/>
  <c r="J16" i="185" s="1"/>
  <c r="I27" i="179"/>
  <c r="I16" i="185" s="1"/>
  <c r="I17" i="185" s="1"/>
  <c r="H27" i="179"/>
  <c r="H16" i="185" s="1"/>
  <c r="G27" i="179"/>
  <c r="G16" i="185" s="1"/>
  <c r="F27" i="179"/>
  <c r="F16" i="185" s="1"/>
  <c r="E27" i="179"/>
  <c r="E16" i="185" s="1"/>
  <c r="L24" i="186"/>
  <c r="L23" i="186"/>
  <c r="L22" i="186"/>
  <c r="L21" i="186"/>
  <c r="L20" i="186"/>
  <c r="L19" i="186"/>
  <c r="L18" i="186"/>
  <c r="L17" i="186"/>
  <c r="L16" i="186"/>
  <c r="L15" i="186"/>
  <c r="I9" i="186"/>
  <c r="G9" i="186"/>
  <c r="F9" i="186"/>
  <c r="E9" i="186"/>
  <c r="J8" i="186"/>
  <c r="H8" i="186"/>
  <c r="L22" i="185"/>
  <c r="L21" i="185"/>
  <c r="L23" i="185" s="1"/>
  <c r="L14" i="185"/>
  <c r="L13" i="185"/>
  <c r="I9" i="185"/>
  <c r="G9" i="185"/>
  <c r="F9" i="185"/>
  <c r="E9" i="185"/>
  <c r="J8" i="185"/>
  <c r="H8" i="185"/>
  <c r="L15" i="185" l="1"/>
  <c r="F17" i="185"/>
  <c r="F27" i="185" s="1"/>
  <c r="F11" i="186" s="1"/>
  <c r="F27" i="186" s="1"/>
  <c r="D35" i="171" s="1"/>
  <c r="L25" i="186"/>
  <c r="H17" i="185"/>
  <c r="H27" i="185" s="1"/>
  <c r="H11" i="186" s="1"/>
  <c r="H27" i="186" s="1"/>
  <c r="E17" i="185"/>
  <c r="E27" i="185" s="1"/>
  <c r="E11" i="186" s="1"/>
  <c r="E27" i="186" s="1"/>
  <c r="J17" i="185"/>
  <c r="J27" i="185" s="1"/>
  <c r="J11" i="186" s="1"/>
  <c r="J27" i="186" s="1"/>
  <c r="G17" i="185"/>
  <c r="G27" i="185" s="1"/>
  <c r="G11" i="186" s="1"/>
  <c r="G27" i="186" s="1"/>
  <c r="K17" i="185"/>
  <c r="K27" i="185" s="1"/>
  <c r="K11" i="186" s="1"/>
  <c r="K27" i="186" s="1"/>
  <c r="I27" i="185"/>
  <c r="I11" i="186" s="1"/>
  <c r="I27" i="186" s="1"/>
  <c r="D45" i="174" s="1"/>
  <c r="C15" i="29"/>
  <c r="C79" i="4"/>
  <c r="E44" i="29" l="1"/>
  <c r="D44" i="29"/>
  <c r="E41" i="29"/>
  <c r="D41" i="29"/>
  <c r="C41" i="29"/>
  <c r="E18" i="29"/>
  <c r="D15" i="29"/>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F17" i="183"/>
  <c r="E17" i="183"/>
  <c r="B7885" i="106" l="1"/>
  <c r="D7885" i="106" s="1"/>
  <c r="B7884" i="106"/>
  <c r="B7883" i="106"/>
  <c r="D7883" i="106" s="1"/>
  <c r="B7882" i="106"/>
  <c r="D7882" i="106" s="1"/>
  <c r="D7884" i="106"/>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7" l="1"/>
  <c r="B4" i="185"/>
  <c r="B4" i="186"/>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5" i="179" l="1"/>
  <c r="L24" i="179"/>
  <c r="L23" i="179"/>
  <c r="L22" i="179"/>
  <c r="L21" i="179"/>
  <c r="L20" i="179"/>
  <c r="L19" i="179"/>
  <c r="L18" i="179"/>
  <c r="L17" i="179"/>
  <c r="L16" i="179"/>
  <c r="L15" i="179"/>
  <c r="L14" i="179"/>
  <c r="L13" i="179"/>
  <c r="L27" i="179" l="1"/>
  <c r="L16" i="185" s="1"/>
  <c r="L17" i="185" s="1"/>
  <c r="L27" i="185" s="1"/>
  <c r="L11" i="186" s="1"/>
  <c r="L27" i="186" s="1"/>
  <c r="D14" i="171"/>
  <c r="D12" i="171"/>
  <c r="A10" i="169"/>
  <c r="A16" i="169"/>
  <c r="A15" i="169"/>
  <c r="A14" i="169"/>
  <c r="K18" i="169"/>
  <c r="G18" i="169"/>
  <c r="G15" i="169"/>
  <c r="I13" i="169"/>
  <c r="G11" i="169"/>
  <c r="G10" i="169"/>
  <c r="G9" i="169"/>
  <c r="G7" i="169"/>
  <c r="E7" i="169"/>
  <c r="A7" i="169"/>
  <c r="B4" i="177"/>
  <c r="B4" i="176"/>
  <c r="G43" i="174"/>
  <c r="D47" i="174" s="1"/>
  <c r="B4" i="174"/>
  <c r="E34" i="173"/>
  <c r="A4" i="173"/>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7"/>
  <c r="B2" i="186"/>
  <c r="B2" i="185"/>
  <c r="B1" i="187"/>
  <c r="B1" i="186"/>
  <c r="B1" i="185"/>
  <c r="B2" i="177"/>
  <c r="A2" i="170"/>
  <c r="B2" i="174"/>
  <c r="A2" i="173"/>
  <c r="A1" i="171"/>
  <c r="B1" i="179"/>
  <c r="B2" i="176"/>
  <c r="B1" i="177"/>
  <c r="A1" i="170"/>
  <c r="A2" i="171"/>
  <c r="A1" i="173"/>
  <c r="B1" i="174"/>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B2805" i="106" s="1"/>
  <c r="D2805" i="106" s="1"/>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1" i="108"/>
  <c r="F36"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1744" i="106"/>
  <c r="D1744" i="106" s="1"/>
  <c r="B1745" i="106"/>
  <c r="D1745" i="106" s="1"/>
  <c r="D6" i="7"/>
  <c r="B1762" i="106" s="1"/>
  <c r="D1762" i="106" s="1"/>
  <c r="B1747" i="106"/>
  <c r="D1747" i="106" s="1"/>
  <c r="B1748" i="106"/>
  <c r="D1748" i="106" s="1"/>
  <c r="B9" i="7"/>
  <c r="B1751" i="106" s="1"/>
  <c r="D1751" i="106" s="1"/>
  <c r="B1749" i="106"/>
  <c r="D1749" i="106" s="1"/>
  <c r="B1752" i="106"/>
  <c r="D1752" i="106" s="1"/>
  <c r="B1753" i="106"/>
  <c r="D1753" i="106" s="1"/>
  <c r="B13" i="7"/>
  <c r="B3725" i="106" s="1"/>
  <c r="D3725" i="106" s="1"/>
  <c r="B1754" i="106"/>
  <c r="D1754" i="106" s="1"/>
  <c r="B1756" i="106"/>
  <c r="D1756" i="106" s="1"/>
  <c r="B3446" i="106"/>
  <c r="D3446" i="106" s="1"/>
  <c r="B4102" i="106"/>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L22" i="37"/>
  <c r="F42" i="34" l="1"/>
  <c r="F71" i="34"/>
  <c r="B7076" i="106"/>
  <c r="D7076" i="106" s="1"/>
  <c r="G35" i="108"/>
  <c r="D36" i="108"/>
  <c r="B2836" i="106"/>
  <c r="D2836" i="106" s="1"/>
  <c r="G39" i="108"/>
  <c r="D24" i="37"/>
  <c r="B4270" i="106" s="1"/>
  <c r="D4270" i="106" s="1"/>
  <c r="F72" i="34"/>
  <c r="F36" i="34"/>
  <c r="B7828" i="106" s="1"/>
  <c r="D7828" i="106" s="1"/>
  <c r="C129" i="29"/>
  <c r="B1225" i="106" s="1"/>
  <c r="D1225" i="106" s="1"/>
  <c r="H342" i="29"/>
  <c r="J129" i="29"/>
  <c r="B7038" i="106" s="1"/>
  <c r="D7038" i="106" s="1"/>
  <c r="H365" i="29"/>
  <c r="B7242" i="106" s="1"/>
  <c r="D7242" i="106" s="1"/>
  <c r="I210" i="29"/>
  <c r="B7071" i="106" s="1"/>
  <c r="D7071" i="106" s="1"/>
  <c r="G30" i="108"/>
  <c r="B7198" i="106"/>
  <c r="D7198" i="106" s="1"/>
  <c r="E65" i="184"/>
  <c r="N65" i="184" s="1"/>
  <c r="F34" i="34"/>
  <c r="B7826" i="106" s="1"/>
  <c r="D7826" i="106" s="1"/>
  <c r="D68" i="36"/>
  <c r="B7189" i="106"/>
  <c r="D7189" i="106" s="1"/>
  <c r="E64" i="184"/>
  <c r="N64" i="184" s="1"/>
  <c r="C352" i="29"/>
  <c r="B3621" i="106" s="1"/>
  <c r="D3621" i="106" s="1"/>
  <c r="H76" i="4"/>
  <c r="B3298" i="106" s="1"/>
  <c r="D3298" i="106" s="1"/>
  <c r="D31" i="108"/>
  <c r="E16" i="184"/>
  <c r="H16" i="184" s="1"/>
  <c r="B7126" i="106"/>
  <c r="D7126" i="106" s="1"/>
  <c r="E57" i="184"/>
  <c r="H12" i="184"/>
  <c r="B7180" i="106"/>
  <c r="D7180" i="106" s="1"/>
  <c r="E63" i="184"/>
  <c r="N63" i="184" s="1"/>
  <c r="F77" i="4"/>
  <c r="B3255" i="106" s="1"/>
  <c r="D3255" i="106" s="1"/>
  <c r="G33" i="108"/>
  <c r="E17" i="184"/>
  <c r="H17" i="184" s="1"/>
  <c r="B7171" i="106"/>
  <c r="D7171" i="106" s="1"/>
  <c r="E62" i="184"/>
  <c r="N62" i="184" s="1"/>
  <c r="B7162" i="106"/>
  <c r="D7162" i="106" s="1"/>
  <c r="E61" i="184"/>
  <c r="N61" i="184" s="1"/>
  <c r="B7153" i="106"/>
  <c r="D7153" i="106" s="1"/>
  <c r="E60" i="184"/>
  <c r="N60" i="184" s="1"/>
  <c r="C342" i="29"/>
  <c r="B7216" i="106" s="1"/>
  <c r="D7216" i="106" s="1"/>
  <c r="B7705" i="106"/>
  <c r="D7705" i="106" s="1"/>
  <c r="E67" i="184"/>
  <c r="N67" i="184" s="1"/>
  <c r="J210" i="29"/>
  <c r="B7072" i="106" s="1"/>
  <c r="D7072" i="106" s="1"/>
  <c r="B7696" i="106"/>
  <c r="D7696" i="106" s="1"/>
  <c r="E66" i="184"/>
  <c r="N66" i="184" s="1"/>
  <c r="B7135" i="106"/>
  <c r="D7135" i="106" s="1"/>
  <c r="E58" i="184"/>
  <c r="N58" i="184" s="1"/>
  <c r="I129" i="29"/>
  <c r="B7037" i="106" s="1"/>
  <c r="D7037"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G170" i="5"/>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C151" i="29" l="1"/>
  <c r="B1226" i="106" s="1"/>
  <c r="D1226" i="106" s="1"/>
  <c r="K365" i="29"/>
  <c r="K342" i="29"/>
  <c r="F13" i="34" s="1"/>
  <c r="B1328" i="106"/>
  <c r="D1328" i="106" s="1"/>
  <c r="F66" i="34"/>
  <c r="N23" i="3"/>
  <c r="B284" i="106" s="1"/>
  <c r="D284" i="106" s="1"/>
  <c r="L114" i="29"/>
  <c r="D44" i="36"/>
  <c r="B1381" i="106"/>
  <c r="D1381" i="106" s="1"/>
  <c r="H151" i="29"/>
  <c r="B1273" i="106" s="1"/>
  <c r="D1273" i="106" s="1"/>
  <c r="F41" i="108"/>
  <c r="G43" i="108" s="1"/>
  <c r="B5527" i="106"/>
  <c r="D5527" i="106" s="1"/>
  <c r="E367" i="29"/>
  <c r="B3635" i="106"/>
  <c r="E19" i="184"/>
  <c r="H19" i="184"/>
  <c r="L20" i="184" s="1"/>
  <c r="L16" i="11"/>
  <c r="B2061" i="106" s="1"/>
  <c r="D2061" i="106" s="1"/>
  <c r="B7235" i="106"/>
  <c r="D7235" i="106" s="1"/>
  <c r="N57" i="184"/>
  <c r="N68" i="184" s="1"/>
  <c r="E68" i="184"/>
  <c r="J16" i="4"/>
  <c r="B6226" i="106" s="1"/>
  <c r="D6226" i="106" s="1"/>
  <c r="C367" i="29"/>
  <c r="B3622" i="106" s="1"/>
  <c r="D3622" i="106" s="1"/>
  <c r="B7222" i="106"/>
  <c r="D7222" i="106" s="1"/>
  <c r="F76" i="34"/>
  <c r="B7887" i="106" s="1"/>
  <c r="D7887" i="106" s="1"/>
  <c r="B7215" i="106"/>
  <c r="D7215" i="106" s="1"/>
  <c r="B6216" i="106"/>
  <c r="D6216" i="106" s="1"/>
  <c r="B7220" i="106"/>
  <c r="D7220" i="106" s="1"/>
  <c r="F75" i="34"/>
  <c r="B7886" i="106" s="1"/>
  <c r="D7886"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6223" i="106"/>
  <c r="D6223" i="106" s="1"/>
  <c r="B2567" i="106"/>
  <c r="D2567" i="106" s="1"/>
  <c r="K17" i="4" l="1"/>
  <c r="F77" i="34"/>
  <c r="B7834" i="106" s="1"/>
  <c r="D7834" i="106" s="1"/>
  <c r="F8" i="4"/>
  <c r="B2595" i="106" s="1"/>
  <c r="D2595" i="106" s="1"/>
  <c r="D8" i="4"/>
  <c r="C8" i="146" s="1"/>
  <c r="D10" i="171"/>
  <c r="D19" i="171" s="1"/>
  <c r="D32"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D10" i="146"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D47" i="171" l="1"/>
  <c r="D49" i="17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<sst xmlns="http://schemas.openxmlformats.org/spreadsheetml/2006/main" count="5448" uniqueCount="2190">
  <si>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</si>
  <si>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</si>
  <si>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</si>
  <si>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</si>
  <si>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</si>
  <si>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</si>
  <si>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</si>
  <si>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</si>
  <si>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</si>
  <si>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</si>
  <si>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</si>
  <si>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</si>
  <si>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</si>
  <si>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</si>
  <si>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</si>
  <si>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</si>
  <si>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</si>
  <si>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</si>
  <si>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</si>
  <si>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</si>
  <si>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</si>
  <si>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</si>
  <si>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</si>
  <si>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</si>
  <si>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</si>
  <si>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</si>
  <si>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</si>
  <si>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</si>
  <si>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</si>
  <si>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</si>
  <si>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</si>
  <si>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</si>
  <si>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</si>
  <si>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</si>
  <si>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</si>
  <si>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</si>
  <si>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</si>
  <si>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</si>
  <si>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</si>
  <si>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</si>
  <si>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</si>
  <si>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</si>
  <si>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</si>
  <si>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</si>
  <si>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</si>
  <si>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</si>
  <si>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</si>
  <si>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</si>
  <si>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</si>
  <si>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</si>
  <si>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</si>
  <si>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</si>
  <si>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</si>
  <si>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</si>
  <si>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</si>
  <si>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</si>
  <si>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</si>
  <si>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</si>
  <si>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</si>
  <si>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</si>
  <si>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</si>
  <si>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</si>
  <si>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</si>
  <si>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</si>
  <si>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</si>
  <si>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</si>
  <si>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</si>
  <si>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</si>
  <si>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</si>
  <si>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</si>
  <si>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</si>
  <si>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</si>
  <si>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</si>
  <si>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</si>
  <si>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</si>
  <si>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</si>
  <si>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</si>
  <si>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</si>
  <si>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</si>
  <si>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</si>
  <si>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</si>
  <si>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</si>
  <si>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</si>
  <si>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</si>
  <si>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</si>
  <si>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</si>
  <si>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</si>
  <si>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</si>
  <si>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</si>
  <si>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</si>
  <si>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</si>
  <si>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</si>
  <si>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</si>
  <si>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</si>
  <si>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</si>
  <si>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</si>
  <si>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</si>
  <si>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</si>
  <si>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</si>
  <si>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</si>
  <si>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</si>
  <si>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</si>
  <si>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</si>
  <si>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</si>
  <si>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</si>
  <si>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</si>
  <si>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</si>
  <si>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</si>
  <si>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</si>
  <si>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</si>
  <si>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</si>
  <si>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</si>
  <si>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</si>
  <si>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</si>
  <si>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</si>
  <si>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</si>
  <si>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</si>
  <si>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</si>
  <si>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</si>
  <si>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</si>
  <si>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</si>
  <si>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</si>
  <si>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</si>
  <si>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</si>
  <si>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</si>
  <si>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</si>
  <si>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</si>
  <si>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</si>
  <si>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</si>
  <si>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</si>
  <si>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</si>
  <si>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</si>
  <si>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</si>
  <si>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</si>
  <si>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</si>
  <si>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</si>
  <si>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</si>
  <si>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</si>
  <si>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</si>
  <si>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</si>
  <si>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</si>
  <si>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</si>
  <si>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</si>
  <si>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</si>
  <si>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</si>
  <si>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</si>
  <si>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</si>
  <si>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</si>
  <si>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</si>
  <si>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</si>
  <si>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</si>
  <si>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</si>
  <si>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</si>
  <si>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</si>
  <si>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</si>
  <si>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</si>
  <si>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</si>
  <si>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</si>
  <si>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</si>
  <si>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</si>
  <si>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</si>
  <si>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</si>
  <si>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</si>
  <si>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</si>
  <si>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</si>
  <si>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</si>
  <si>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</si>
  <si>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</si>
  <si>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</si>
  <si>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</si>
  <si>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</si>
  <si>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</si>
  <si>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</si>
  <si>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</si>
  <si>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</si>
  <si>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</si>
  <si>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</si>
  <si>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</si>
  <si>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</si>
  <si>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</si>
  <si>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</si>
  <si>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</si>
  <si>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</si>
  <si>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</si>
  <si>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</si>
  <si>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</si>
  <si>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</si>
  <si>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</si>
  <si>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</si>
  <si>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</si>
  <si>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</si>
  <si>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</si>
  <si>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</si>
  <si>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</si>
  <si>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</si>
  <si>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</si>
  <si>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</si>
  <si>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</si>
  <si>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</si>
  <si>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</si>
  <si>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</si>
  <si>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</si>
  <si>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</si>
  <si>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</si>
  <si>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</si>
  <si>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</si>
  <si>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</si>
  <si>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</si>
  <si>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</si>
  <si>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</si>
  <si>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</si>
  <si>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</si>
  <si>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</si>
  <si>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</si>
  <si>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</si>
  <si>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</si>
  <si>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</si>
  <si>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</si>
  <si>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</si>
  <si>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</si>
  <si>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</si>
  <si>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</si>
  <si>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</si>
  <si>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</si>
  <si>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</si>
  <si>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</si>
  <si>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</si>
  <si>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</si>
  <si>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</si>
  <si>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</si>
  <si>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</si>
  <si>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</si>
  <si>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</si>
  <si>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</si>
  <si>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</si>
  <si>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</si>
  <si>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</si>
  <si>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</si>
  <si>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</si>
  <si>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</si>
  <si>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</si>
  <si>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</si>
  <si>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</si>
  <si>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</si>
  <si>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</si>
  <si>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</si>
  <si>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</si>
  <si>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</si>
  <si>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</si>
  <si>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</si>
  <si>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</si>
  <si>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</si>
  <si>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</si>
  <si>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</si>
  <si>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</si>
  <si>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</si>
  <si>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</si>
  <si>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</si>
  <si>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</si>
  <si>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</si>
  <si>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</si>
  <si>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</si>
  <si>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</si>
  <si>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</si>
  <si>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</si>
  <si>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</si>
  <si>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</si>
  <si>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</si>
  <si>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</si>
  <si>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</si>
  <si>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</si>
  <si>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</si>
  <si>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</si>
  <si>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</si>
  <si>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</si>
  <si>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</si>
  <si>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</si>
  <si>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</si>
  <si>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</si>
  <si>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</si>
  <si>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</si>
  <si>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</si>
  <si>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</si>
  <si>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</si>
  <si>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</si>
  <si>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</si>
  <si>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</si>
  <si>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</si>
  <si>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</si>
  <si>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</si>
  <si>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</si>
  <si>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</si>
  <si>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</si>
  <si>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</si>
  <si>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</si>
  <si>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</si>
  <si>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</si>
  <si>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</si>
  <si>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</si>
  <si>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</si>
  <si>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</si>
  <si>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</si>
  <si>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</si>
  <si>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</si>
  <si>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</si>
  <si>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</si>
  <si>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</si>
  <si>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</si>
  <si>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</si>
  <si>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</si>
  <si>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</si>
  <si>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</si>
  <si>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</si>
  <si>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</si>
  <si>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</si>
  <si>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</si>
  <si>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</si>
  <si>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</si>
  <si>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</si>
  <si>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</si>
  <si>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</si>
  <si>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</si>
  <si>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</si>
  <si>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</si>
  <si>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</si>
  <si>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</si>
  <si>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</si>
  <si>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</si>
  <si>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</si>
  <si>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</si>
  <si>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</si>
  <si>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</si>
  <si>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</si>
  <si>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</si>
  <si>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</si>
  <si>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</si>
  <si>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</si>
  <si>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</si>
  <si>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</si>
  <si>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</si>
  <si>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</si>
  <si>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</si>
  <si>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</si>
  <si>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</si>
  <si>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</si>
  <si>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</si>
  <si>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</si>
  <si>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</si>
  <si>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</si>
  <si>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</si>
  <si>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</si>
  <si>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</si>
  <si>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</si>
  <si>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</si>
  <si>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</si>
  <si>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</si>
  <si>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</si>
  <si>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</si>
  <si>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</si>
  <si>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</si>
  <si>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</si>
  <si>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</si>
  <si>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</si>
  <si>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</si>
  <si>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</si>
  <si>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</si>
  <si>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</si>
  <si>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</si>
  <si>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</si>
  <si>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</si>
  <si>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</si>
  <si>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</si>
  <si>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</si>
  <si>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</si>
  <si>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</si>
  <si>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</si>
  <si>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</si>
  <si>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</si>
  <si>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</si>
  <si>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</si>
  <si>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</si>
  <si>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</si>
  <si>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</si>
  <si>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</si>
  <si>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</si>
  <si>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</si>
  <si>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</si>
  <si>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</si>
  <si>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</si>
  <si>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</si>
  <si>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</si>
  <si>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</si>
  <si>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</si>
  <si>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</si>
  <si>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</si>
  <si>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</si>
  <si>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</si>
  <si>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</si>
  <si>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</si>
  <si>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</si>
  <si>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</si>
  <si>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</si>
  <si>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</si>
  <si>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</si>
  <si>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</si>
  <si>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</si>
  <si>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</si>
  <si>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</si>
  <si>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</si>
  <si>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</si>
  <si>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</si>
  <si>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</si>
  <si>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</si>
  <si>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</si>
  <si>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</si>
  <si>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</si>
  <si>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</si>
  <si>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</si>
  <si>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</si>
  <si>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</si>
  <si>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</si>
  <si>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</si>
  <si>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</si>
  <si>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</si>
  <si>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</si>
  <si>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</si>
  <si>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</si>
  <si>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</si>
  <si>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</si>
  <si>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</si>
  <si>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</si>
  <si>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</si>
  <si>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</si>
  <si>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</si>
  <si>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</si>
  <si>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</si>
  <si>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</si>
  <si>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</si>
  <si>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</si>
  <si>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</si>
  <si>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</si>
  <si>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</si>
  <si>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</si>
  <si>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</si>
  <si>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</si>
  <si>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</si>
  <si>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</si>
  <si>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</si>
  <si>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</si>
  <si>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</si>
  <si>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</si>
  <si>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</si>
  <si>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</si>
  <si>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</si>
  <si>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</si>
  <si>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</si>
  <si>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</si>
  <si>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</si>
  <si>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</si>
  <si>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</si>
  <si>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</si>
  <si>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</si>
  <si>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</si>
  <si>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</si>
  <si>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</si>
  <si>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</si>
  <si>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</si>
  <si>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</si>
  <si>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</si>
  <si>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</si>
  <si>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</si>
  <si>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</si>
  <si>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</si>
  <si>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</si>
  <si>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</si>
  <si>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</si>
  <si>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</si>
  <si>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</si>
  <si>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</si>
  <si>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</si>
  <si>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</si>
  <si>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</si>
  <si>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</si>
  <si>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</si>
  <si>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</si>
  <si>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</si>
  <si>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</si>
  <si>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</si>
  <si>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</si>
  <si>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</si>
  <si>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</si>
  <si>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</si>
  <si>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</si>
  <si>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</si>
  <si>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</si>
  <si>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</si>
  <si>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</si>
  <si>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</si>
  <si>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</si>
  <si>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</si>
  <si>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</si>
  <si>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</si>
  <si>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</si>
  <si>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</si>
  <si>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</si>
  <si>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</si>
  <si>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</si>
  <si>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</si>
  <si>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</si>
  <si>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</si>
  <si>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</si>
  <si>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</si>
  <si>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</si>
  <si>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</si>
  <si>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</si>
  <si>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</si>
  <si>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</si>
  <si>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</si>
  <si>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</si>
  <si>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</si>
  <si>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</si>
  <si>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</si>
  <si>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</si>
  <si>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</si>
  <si>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</si>
  <si>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</si>
  <si>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</si>
  <si>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</si>
  <si>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</si>
  <si>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</si>
  <si>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</si>
  <si>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</si>
  <si>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</si>
  <si>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</si>
  <si>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</si>
  <si>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</si>
  <si>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</si>
  <si>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</si>
  <si>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</si>
  <si>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</si>
  <si>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</si>
  <si>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</si>
  <si>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</si>
  <si>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</si>
  <si>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</si>
  <si>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</si>
  <si>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</si>
  <si>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</si>
  <si>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</si>
  <si>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</si>
  <si>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</si>
  <si>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</si>
  <si>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</si>
  <si>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</si>
  <si>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</si>
  <si>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</si>
  <si>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</si>
  <si>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</si>
  <si>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</si>
  <si>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</si>
  <si>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</si>
  <si>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</si>
  <si>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</si>
  <si>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</si>
  <si>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</si>
  <si>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</si>
  <si>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</si>
  <si>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</si>
  <si>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</si>
  <si>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</si>
  <si>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</si>
  <si>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</si>
  <si>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</si>
  <si>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</si>
  <si>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</si>
  <si>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</si>
  <si>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</si>
  <si>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</si>
  <si>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</si>
  <si>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</si>
  <si>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</si>
  <si>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</si>
  <si>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</si>
  <si>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</si>
  <si>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</si>
  <si>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</si>
  <si>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</si>
  <si>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</si>
  <si>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</si>
  <si>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</si>
  <si>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</si>
  <si>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</si>
  <si>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</si>
  <si>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</si>
  <si>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</si>
  <si>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</si>
  <si>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</si>
  <si>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</si>
  <si>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</si>
  <si>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</si>
  <si>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</si>
  <si>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</si>
  <si>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</si>
  <si>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</si>
  <si>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</si>
  <si>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</si>
  <si>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</si>
  <si>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</si>
  <si>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</si>
  <si>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</si>
  <si>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</si>
  <si>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</si>
  <si>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</si>
  <si>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</si>
  <si>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</si>
  <si>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</si>
  <si>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</si>
  <si>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</si>
  <si>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</si>
  <si>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</si>
  <si>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</si>
  <si>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</si>
  <si>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</si>
  <si>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</si>
  <si>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</si>
  <si>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</si>
  <si>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</si>
  <si>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</si>
  <si>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</si>
  <si>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</si>
  <si>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</si>
  <si>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</si>
  <si>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</si>
  <si>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</si>
  <si>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</si>
  <si>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</si>
  <si>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</si>
  <si>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</si>
  <si>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</si>
  <si>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</si>
  <si>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</si>
  <si>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</si>
  <si>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</si>
  <si>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</si>
  <si>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</si>
  <si>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</si>
  <si>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</si>
  <si>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</si>
  <si>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</si>
  <si>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</si>
  <si>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</si>
  <si>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</si>
  <si>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</si>
  <si>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</si>
  <si>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</si>
  <si>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</si>
  <si>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</si>
  <si>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</si>
  <si>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</si>
  <si>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</si>
  <si>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</si>
  <si>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</si>
  <si>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</si>
  <si>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</si>
  <si>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</si>
  <si>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</si>
  <si>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</si>
  <si>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</si>
  <si>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</si>
  <si>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</si>
  <si>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</si>
  <si>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</si>
  <si>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</si>
  <si>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</si>
  <si>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</si>
  <si>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</si>
  <si>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</si>
  <si>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</si>
  <si>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</si>
  <si>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</si>
  <si>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</si>
  <si>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</si>
  <si>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</si>
  <si>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</si>
  <si>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</si>
  <si>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</si>
  <si>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</si>
  <si>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</si>
  <si>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</si>
  <si>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</si>
  <si>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</si>
  <si>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</si>
  <si>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</si>
  <si>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</si>
  <si>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</si>
  <si>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</si>
  <si>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</si>
  <si>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</si>
  <si>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</si>
  <si>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</si>
  <si>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</si>
  <si>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</si>
  <si>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</si>
  <si>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</si>
  <si>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</si>
  <si>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</si>
  <si>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</si>
  <si>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</si>
  <si>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</si>
  <si>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</si>
  <si>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</si>
  <si>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</si>
  <si>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</si>
  <si>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</si>
  <si>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</si>
  <si>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</si>
  <si>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</si>
  <si>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</si>
  <si>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</si>
  <si>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</si>
  <si>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</si>
  <si>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</si>
  <si>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</si>
  <si>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</si>
  <si>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</si>
  <si>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</si>
  <si>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</si>
  <si>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</si>
  <si>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</si>
  <si>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</si>
  <si>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</si>
  <si>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</si>
  <si>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</si>
  <si>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</si>
  <si>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</si>
  <si>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</si>
  <si>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</si>
  <si>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</si>
  <si>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</si>
  <si>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</si>
  <si>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</si>
  <si>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</si>
  <si>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</si>
  <si>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</si>
  <si>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</si>
  <si>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</si>
  <si>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</si>
  <si>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</si>
  <si>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</si>
  <si>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</si>
  <si>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</si>
  <si>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</si>
  <si>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</si>
  <si>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</si>
  <si>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</si>
  <si>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</si>
  <si>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</si>
  <si>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</si>
  <si>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</si>
  <si>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</si>
  <si>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</si>
  <si>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</si>
  <si>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</si>
  <si>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</si>
  <si>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</si>
  <si>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</si>
  <si>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</si>
  <si>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</si>
  <si>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</si>
  <si>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</si>
  <si>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</si>
  <si>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</si>
  <si>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</si>
  <si>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</si>
  <si>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</si>
  <si>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</si>
  <si>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</si>
  <si>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</si>
  <si>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</si>
  <si>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</si>
  <si>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</si>
  <si>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</si>
  <si>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</si>
  <si>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</si>
  <si>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</si>
  <si>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</si>
  <si>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</si>
  <si>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</si>
  <si>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</si>
  <si>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</si>
  <si>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</si>
  <si>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</si>
  <si>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</si>
  <si>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</si>
  <si>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</si>
  <si>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</si>
  <si>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</si>
  <si>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</si>
  <si>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</si>
  <si>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</si>
  <si>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</si>
  <si>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</si>
  <si>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</si>
  <si>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</si>
  <si>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</si>
  <si>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</si>
  <si>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</si>
  <si>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</si>
  <si>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</si>
  <si>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</si>
  <si>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</si>
  <si>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</si>
  <si>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</si>
  <si>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</si>
  <si>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</si>
  <si>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</si>
  <si>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</si>
  <si>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</si>
  <si>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</si>
  <si>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</si>
  <si>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</si>
  <si>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</si>
  <si>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</si>
  <si>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</si>
  <si>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</si>
  <si>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</si>
  <si>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</si>
  <si>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</si>
  <si>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</si>
  <si>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</si>
  <si>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</si>
  <si>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</si>
  <si>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</si>
  <si>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</si>
  <si>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</si>
  <si>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</si>
  <si>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</si>
  <si>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</si>
  <si>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</si>
  <si>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</si>
  <si>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</si>
  <si>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</si>
  <si>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</si>
  <si>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</si>
  <si>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</si>
  <si>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</si>
  <si>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</si>
  <si>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</si>
  <si>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</si>
  <si>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</si>
  <si>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</si>
  <si>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</si>
  <si>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</si>
  <si>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</si>
  <si>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</si>
  <si>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</si>
  <si>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</si>
  <si>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</si>
  <si>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</si>
  <si>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</si>
  <si>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</si>
  <si>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</si>
  <si>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</si>
  <si>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</si>
  <si>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</si>
  <si>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</si>
  <si>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</si>
  <si>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</si>
  <si>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</si>
  <si>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</si>
  <si>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</si>
  <si>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</si>
  <si>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</si>
  <si>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</si>
  <si>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</si>
  <si>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</si>
  <si>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</si>
  <si>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</si>
  <si>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</si>
  <si>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</si>
  <si>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</si>
  <si>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</si>
  <si>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</si>
  <si>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</si>
  <si>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</si>
  <si>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</si>
  <si>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</si>
  <si>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</si>
  <si>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</si>
  <si>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</si>
  <si>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</si>
  <si>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</si>
  <si>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</si>
  <si>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</si>
  <si>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</si>
  <si>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</si>
  <si>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</si>
  <si>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</si>
  <si>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</si>
  <si>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</si>
  <si>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</si>
  <si>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</si>
  <si>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</si>
  <si>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</si>
  <si>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</si>
  <si>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</si>
  <si>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</si>
  <si>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</si>
  <si>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</si>
  <si>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</si>
  <si>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</si>
  <si>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</si>
  <si>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</si>
  <si>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</si>
  <si>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</si>
  <si>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</si>
  <si>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</si>
  <si>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</si>
  <si>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</si>
  <si>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</si>
  <si>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</si>
  <si>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</si>
  <si>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</si>
  <si>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</si>
  <si>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</si>
  <si>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</si>
  <si>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</si>
  <si>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</si>
  <si>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</si>
  <si>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</si>
  <si>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</si>
  <si>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</si>
  <si>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</si>
  <si>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</si>
  <si>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</si>
  <si>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</si>
  <si>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</si>
  <si>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</si>
  <si>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</si>
  <si>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</si>
  <si>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</si>
  <si>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</si>
  <si>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</si>
  <si>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</si>
  <si>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</si>
  <si>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</si>
  <si>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</si>
  <si>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</si>
  <si>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</si>
  <si>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</si>
  <si>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</si>
  <si>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</si>
  <si>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</si>
  <si>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</si>
  <si>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</si>
  <si>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</si>
  <si>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</si>
  <si>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</si>
  <si>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</si>
  <si>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</si>
  <si>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</si>
  <si>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</si>
  <si>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</si>
  <si>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</si>
  <si>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</si>
  <si>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</si>
  <si>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</si>
  <si>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</si>
  <si>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</si>
  <si>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</si>
  <si>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</si>
  <si>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</si>
  <si>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</si>
  <si>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</si>
  <si>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</si>
  <si>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</si>
  <si>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</si>
  <si>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</si>
  <si>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</si>
  <si>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</si>
  <si>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</si>
  <si>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</si>
  <si>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</si>
  <si>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</si>
  <si>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</si>
  <si>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</si>
  <si>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</si>
  <si>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</si>
  <si>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</si>
  <si>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</si>
  <si>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</si>
  <si>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</si>
  <si>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</si>
  <si>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</si>
  <si>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</si>
  <si>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</si>
  <si>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</si>
  <si>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</si>
  <si>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</si>
  <si>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</si>
  <si>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</si>
  <si>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</si>
  <si>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</si>
  <si>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</si>
  <si>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</si>
  <si>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</si>
  <si>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</si>
  <si>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</si>
  <si>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</si>
  <si>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</si>
  <si>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</si>
  <si>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</si>
  <si>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</si>
  <si>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</si>
  <si>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</si>
  <si>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</si>
  <si>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</si>
  <si>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</si>
  <si>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</si>
  <si>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</si>
  <si>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</si>
  <si>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</si>
  <si>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</si>
  <si>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</si>
  <si>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</si>
  <si>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</si>
  <si>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</si>
  <si>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</si>
  <si>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</si>
  <si>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</si>
  <si>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</si>
  <si>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</si>
  <si>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</si>
  <si>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</si>
  <si>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</si>
  <si>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</si>
  <si>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</si>
  <si>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</si>
  <si>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</si>
  <si>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</si>
  <si>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</si>
  <si>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</si>
  <si>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</si>
  <si>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</si>
  <si>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</si>
  <si>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</si>
  <si>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</si>
  <si>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</si>
  <si>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</si>
  <si>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</si>
  <si>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</si>
  <si>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</si>
  <si>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</si>
  <si>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</si>
  <si>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</si>
  <si>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</si>
  <si>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</si>
  <si>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</si>
  <si>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</si>
  <si>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</si>
  <si>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</si>
  <si>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</si>
  <si>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</si>
  <si>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</si>
  <si>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</si>
  <si>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</si>
  <si>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</si>
  <si>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</si>
  <si>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</si>
  <si>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</si>
  <si>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</si>
  <si>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</si>
  <si>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</si>
  <si>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</si>
  <si>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</si>
  <si>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</si>
  <si>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</si>
  <si>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</si>
  <si>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</si>
  <si>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</si>
  <si>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</si>
  <si>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</si>
  <si>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</si>
  <si>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</si>
  <si>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</si>
  <si>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</si>
  <si>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</si>
  <si>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</si>
  <si>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</si>
  <si>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</si>
  <si>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</si>
  <si>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</si>
  <si>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</si>
  <si>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</si>
  <si>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</si>
  <si>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</si>
  <si>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</si>
  <si>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</si>
  <si>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</si>
  <si>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</si>
  <si>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</si>
  <si>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</si>
  <si>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</si>
  <si>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</si>
  <si>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</si>
  <si>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</si>
  <si>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</si>
  <si>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</si>
  <si>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</si>
  <si>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</si>
  <si>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</si>
  <si>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</si>
  <si>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</si>
  <si>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</si>
  <si>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</si>
  <si>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</si>
  <si>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</si>
  <si>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</si>
  <si>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</si>
  <si>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</si>
  <si>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</si>
  <si>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</si>
  <si>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</si>
  <si>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</si>
  <si>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</si>
  <si>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</si>
  <si>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</si>
  <si>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</si>
  <si>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</si>
  <si>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</si>
  <si>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</si>
  <si>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</si>
  <si>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</si>
  <si>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</si>
  <si>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</si>
  <si>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</si>
  <si>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</si>
  <si>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</si>
  <si>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</si>
  <si>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</si>
  <si>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</si>
  <si>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</si>
  <si>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</si>
  <si>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</si>
  <si>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</si>
  <si>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</si>
  <si>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</si>
  <si>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</si>
  <si>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</si>
  <si>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</si>
  <si>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</si>
  <si>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</si>
  <si>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</si>
  <si>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</si>
  <si>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</si>
  <si>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</si>
  <si>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</si>
  <si>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</si>
  <si>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</si>
  <si>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</si>
  <si>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</si>
  <si>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</si>
  <si>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</si>
  <si>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</si>
  <si>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</si>
  <si>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</si>
  <si>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</si>
  <si>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</si>
  <si>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</si>
  <si>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</si>
  <si>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</si>
  <si>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</si>
  <si>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</si>
  <si>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</si>
  <si>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</si>
  <si>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</si>
  <si>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</si>
  <si>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</si>
  <si>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</si>
  <si>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</si>
  <si>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</si>
  <si>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</si>
  <si>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</si>
  <si>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</si>
  <si>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</si>
  <si>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</si>
  <si>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</si>
  <si>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</si>
  <si>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</si>
  <si>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</si>
  <si>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</si>
  <si>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</si>
  <si>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</si>
  <si>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</si>
  <si>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</si>
  <si>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</si>
  <si>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</si>
  <si>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</si>
  <si>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</si>
  <si>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</si>
  <si>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</si>
  <si>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</si>
  <si>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</si>
  <si>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</si>
  <si>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</si>
  <si>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</si>
  <si>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</si>
  <si>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</si>
  <si>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</si>
  <si>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</si>
  <si>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</si>
  <si>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</si>
  <si>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</si>
  <si>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</si>
  <si>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</si>
  <si>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</si>
  <si>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</si>
  <si>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</si>
  <si>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</si>
  <si>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</si>
  <si>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</si>
  <si>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</si>
  <si>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</si>
  <si>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</si>
  <si>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</si>
  <si>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</si>
  <si>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</si>
  <si>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</si>
  <si>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</si>
  <si>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</si>
  <si>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</si>
  <si>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</si>
  <si>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</si>
  <si>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</si>
  <si>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</si>
  <si>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</si>
  <si>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</si>
  <si>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</si>
  <si>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</si>
  <si>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</si>
  <si>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</si>
  <si>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</si>
  <si>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</si>
  <si>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</si>
  <si>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</si>
  <si>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</si>
  <si>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</si>
  <si>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</si>
  <si>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</si>
  <si>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</si>
  <si>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</si>
  <si>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</si>
  <si>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</si>
  <si>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</si>
  <si>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</si>
  <si>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</si>
  <si>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</si>
  <si>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</si>
  <si>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</si>
  <si>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</si>
  <si>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</si>
  <si>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</si>
  <si>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</si>
  <si>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</si>
  <si>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</si>
  <si>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</si>
  <si>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</si>
  <si>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</si>
  <si>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</si>
  <si>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</si>
  <si>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</si>
  <si>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</si>
  <si>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</si>
  <si>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</si>
  <si>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</si>
  <si>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</si>
  <si>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</si>
  <si>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</si>
  <si>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</si>
  <si>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</si>
  <si>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</si>
  <si>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</si>
  <si>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</si>
  <si>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</si>
  <si>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</si>
  <si>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</si>
  <si>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</si>
  <si>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</si>
  <si>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</si>
  <si>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</si>
  <si>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</si>
  <si>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</si>
  <si>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</si>
  <si>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</si>
  <si>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</si>
  <si>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</si>
  <si>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</si>
  <si>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</si>
  <si>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</si>
  <si>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</si>
  <si>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</si>
  <si>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</si>
  <si>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</si>
  <si>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</si>
  <si>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</si>
  <si>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</si>
  <si>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</si>
  <si>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</si>
  <si>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</si>
  <si>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</si>
  <si>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</si>
  <si>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</si>
  <si>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</si>
  <si>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</si>
  <si>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</si>
  <si>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</si>
  <si>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</si>
  <si>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</si>
  <si>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</si>
  <si>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</si>
  <si>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</si>
  <si>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</si>
  <si>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</si>
  <si>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</si>
  <si>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</si>
  <si>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</si>
  <si>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</si>
  <si>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</si>
  <si>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</si>
  <si>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</si>
  <si>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</si>
  <si>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</si>
  <si>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</si>
  <si>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</si>
  <si>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</si>
  <si>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</si>
  <si>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</si>
  <si>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</si>
  <si>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</si>
  <si>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</si>
  <si>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</si>
  <si>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</si>
  <si>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</si>
  <si>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</si>
  <si>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</si>
  <si>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</si>
  <si>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</si>
  <si>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</si>
  <si>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</si>
  <si>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</si>
  <si>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</si>
  <si>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</si>
  <si>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</si>
  <si>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</si>
  <si>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</si>
  <si>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</si>
  <si>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</si>
  <si>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</si>
  <si>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</si>
  <si>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</si>
  <si>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</si>
  <si>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</si>
  <si>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</si>
  <si>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</si>
  <si>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</si>
  <si>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</si>
  <si>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</si>
  <si>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</si>
  <si>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</si>
  <si>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</si>
  <si>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</si>
  <si>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</si>
  <si>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</si>
  <si>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</si>
  <si>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</si>
  <si>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</si>
  <si>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</si>
  <si>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</si>
  <si>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</si>
  <si>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</si>
  <si>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</si>
  <si>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</si>
  <si>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</si>
  <si>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</si>
  <si>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</si>
  <si>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</si>
  <si>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</si>
  <si>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</si>
  <si>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</si>
  <si>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</si>
  <si>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</si>
  <si>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</si>
  <si>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</si>
  <si>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</si>
  <si>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</si>
  <si>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</si>
  <si>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</si>
  <si>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</si>
  <si>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</si>
  <si>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</si>
  <si>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</si>
  <si>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</si>
  <si>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</si>
  <si>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</si>
  <si>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</si>
  <si>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</si>
  <si>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</si>
  <si>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</si>
  <si>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</si>
  <si>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</si>
  <si>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</si>
  <si>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</si>
  <si>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</si>
  <si>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</si>
  <si>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</si>
  <si>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</si>
  <si>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</si>
  <si>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</si>
  <si>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</si>
  <si>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</si>
  <si>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</si>
  <si>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</si>
  <si>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</si>
  <si>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</si>
  <si>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</si>
  <si>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</si>
  <si>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</si>
  <si>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</si>
  <si>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</si>
  <si>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</si>
  <si>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</si>
  <si>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</si>
  <si>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</si>
  <si>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</si>
  <si>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</si>
  <si>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</si>
  <si>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</si>
  <si>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</si>
  <si>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</si>
  <si>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</si>
  <si>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</si>
  <si>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</si>
  <si>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</si>
  <si>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</si>
  <si>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</si>
  <si>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</si>
  <si>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</si>
  <si>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</si>
  <si>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</si>
  <si>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</si>
  <si>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</si>
  <si>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</si>
  <si>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</si>
  <si>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</si>
  <si>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</si>
  <si>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</si>
  <si>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</si>
  <si>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</si>
  <si>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</si>
  <si>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</si>
  <si>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</si>
  <si>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</si>
  <si>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</si>
  <si>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</si>
  <si>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</si>
  <si>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</si>
  <si>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</si>
  <si>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</si>
  <si>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</si>
  <si>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</si>
  <si>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</si>
  <si>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</si>
  <si>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</si>
  <si>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</si>
  <si>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</si>
  <si>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</si>
  <si>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</si>
  <si>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</si>
  <si>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</si>
  <si>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</si>
  <si>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</si>
  <si>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</si>
  <si>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</si>
  <si>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</si>
  <si>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</si>
  <si>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</si>
  <si>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</si>
  <si>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</si>
  <si>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</si>
  <si>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</si>
  <si>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</si>
  <si>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</si>
  <si>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</si>
  <si>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</si>
  <si>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</si>
  <si>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</si>
  <si>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</si>
  <si>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</si>
  <si>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</si>
  <si>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</si>
  <si>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</si>
  <si>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</si>
  <si>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</si>
  <si>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</si>
  <si>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</si>
  <si>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</si>
  <si>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</si>
  <si>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</si>
  <si>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</si>
  <si>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</si>
  <si>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</si>
  <si>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</si>
  <si>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</si>
  <si>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</si>
  <si>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</si>
  <si>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</si>
  <si>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</si>
  <si>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</si>
  <si>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</si>
  <si>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</si>
  <si>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</si>
  <si>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</si>
  <si>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</si>
  <si>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</si>
  <si>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</si>
  <si>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</si>
  <si>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</si>
  <si>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</si>
  <si>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</si>
  <si>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</si>
  <si>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</si>
  <si>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</si>
  <si>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</si>
  <si>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</si>
  <si>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</si>
  <si>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</si>
  <si>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</si>
  <si>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</si>
  <si>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</si>
  <si>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</si>
  <si>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</si>
  <si>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</si>
  <si>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</si>
  <si>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</si>
  <si>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</si>
  <si>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</si>
  <si>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</si>
  <si>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</si>
  <si>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</si>
  <si>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</si>
  <si>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</si>
  <si>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</si>
  <si>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</si>
  <si>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</si>
  <si>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</si>
  <si>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</si>
  <si>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</si>
  <si>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</si>
  <si>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</si>
  <si>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</si>
  <si>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</si>
  <si>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</si>
  <si>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</si>
  <si>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</si>
  <si>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</si>
  <si>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</si>
  <si>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</si>
  <si>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</si>
  <si>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</si>
  <si>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</si>
  <si>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</si>
  <si>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</si>
  <si>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</si>
  <si>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</si>
  <si>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</si>
  <si>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</si>
  <si>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</si>
  <si>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</si>
  <si>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</si>
  <si>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</si>
  <si>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</si>
  <si>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</si>
  <si>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</si>
  <si>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</si>
  <si>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</si>
  <si>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</si>
  <si>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</si>
  <si>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</si>
  <si>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</si>
  <si>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</si>
  <si>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</si>
  <si>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</si>
  <si>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</si>
  <si>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</si>
  <si>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</si>
  <si>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</si>
  <si>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</si>
  <si>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</si>
  <si>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</si>
  <si>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</si>
  <si>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</si>
  <si>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</si>
  <si>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</si>
  <si>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</si>
  <si>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</si>
  <si>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</si>
  <si>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</si>
  <si>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</si>
  <si>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</si>
  <si>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</si>
  <si>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</si>
  <si>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</si>
  <si>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</si>
  <si>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</si>
  <si>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</si>
  <si>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</si>
  <si>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</si>
  <si>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</si>
  <si>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</si>
  <si>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</si>
  <si>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</si>
  <si>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</si>
  <si>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</si>
  <si>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</si>
  <si>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</si>
  <si>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</si>
  <si>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</si>
  <si>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</si>
  <si>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</si>
  <si>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</si>
  <si>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</si>
  <si>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</si>
  <si>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</si>
  <si>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</si>
  <si>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</si>
  <si>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</si>
  <si>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</si>
  <si>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</si>
  <si>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</si>
  <si>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</si>
  <si>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</si>
  <si>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</si>
  <si>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</si>
  <si>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</si>
  <si>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</si>
  <si>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</si>
  <si>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</si>
  <si>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</si>
  <si>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</si>
  <si>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</si>
  <si>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</si>
  <si>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</si>
  <si>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</si>
  <si>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</si>
  <si>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</si>
  <si>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</si>
  <si>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</si>
  <si>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</si>
  <si>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</si>
  <si>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</si>
  <si>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</si>
  <si>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</si>
  <si>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</si>
  <si>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</si>
  <si>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</si>
  <si>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</si>
  <si>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</si>
  <si>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</si>
  <si>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</si>
  <si>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</si>
  <si>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</si>
  <si>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</si>
  <si>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</si>
  <si>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</si>
  <si>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</si>
  <si>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</si>
  <si>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</si>
  <si>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</si>
  <si>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</si>
  <si>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</si>
  <si>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</si>
  <si>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</si>
  <si>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</si>
  <si>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</si>
  <si>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</si>
  <si>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</si>
  <si>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</si>
  <si>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</si>
  <si>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</si>
  <si>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</si>
  <si>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</si>
  <si>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</si>
  <si>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</si>
  <si>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</si>
  <si>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</si>
  <si>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</si>
  <si>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</si>
  <si>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</si>
  <si>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</si>
  <si>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</si>
  <si>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</si>
  <si>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</si>
  <si>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</si>
  <si>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</si>
  <si>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</si>
  <si>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</si>
  <si>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</si>
  <si>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</si>
  <si>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</si>
  <si>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</si>
  <si>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</si>
  <si>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</si>
  <si>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</si>
  <si>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</si>
  <si>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</si>
  <si>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</si>
  <si>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</si>
  <si>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</si>
  <si>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</si>
  <si>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</si>
  <si>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</si>
  <si>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</si>
  <si>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</si>
  <si>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</si>
  <si>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</si>
  <si>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</si>
  <si>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</si>
  <si>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</si>
  <si>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</si>
  <si>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</si>
  <si>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</si>
  <si>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</si>
  <si>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</si>
  <si>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</si>
  <si>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</si>
  <si>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</si>
  <si>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</si>
  <si>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</si>
  <si>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</si>
  <si>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</si>
  <si>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</si>
  <si>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</si>
  <si>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</si>
  <si>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</si>
  <si>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</si>
  <si>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</si>
  <si>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</si>
  <si>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</si>
  <si>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</si>
  <si>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</si>
  <si>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</si>
  <si>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</si>
  <si>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</si>
  <si>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</si>
  <si>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</si>
  <si>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</si>
  <si>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</si>
  <si>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</si>
  <si>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</si>
  <si>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</si>
  <si>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</si>
  <si>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</si>
  <si>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</si>
  <si>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</si>
  <si>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</si>
  <si>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</si>
  <si>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</si>
  <si>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</si>
  <si>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</si>
  <si>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</si>
  <si>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</si>
  <si>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</si>
  <si>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</si>
  <si>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</si>
  <si>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</si>
  <si>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</si>
  <si>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</si>
  <si>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</si>
  <si>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</si>
  <si>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</si>
  <si>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</si>
  <si>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</si>
  <si>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</si>
  <si>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</si>
  <si>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</si>
  <si>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</si>
  <si>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</si>
  <si>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</si>
  <si>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</si>
  <si>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</si>
  <si>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</si>
  <si>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</si>
  <si>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</si>
  <si>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</si>
  <si>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</si>
  <si>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</si>
  <si>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</si>
  <si>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Contracts Paid in CY over the allowed amount for ICR calculation (from page 29)</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</si>
  <si>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</si>
  <si>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</si>
  <si>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</si>
  <si>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</si>
  <si>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</si>
  <si>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</si>
  <si>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</si>
  <si>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</si>
  <si>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</si>
  <si>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</si>
  <si>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</si>
  <si>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</si>
  <si>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</si>
  <si>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</si>
  <si>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</si>
  <si>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</si>
  <si>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</si>
  <si>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</si>
  <si>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</si>
  <si>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</si>
  <si>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</si>
  <si>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</si>
  <si>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</si>
  <si>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</si>
  <si>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</si>
  <si>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</si>
  <si>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</si>
  <si>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</si>
  <si>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</si>
  <si>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</si>
  <si>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</si>
  <si>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</si>
  <si>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</si>
  <si>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</si>
  <si>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</si>
  <si>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</si>
  <si>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</si>
  <si>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</si>
  <si>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</si>
  <si>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</si>
  <si>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</si>
  <si>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</si>
  <si>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</si>
  <si>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</si>
  <si>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</si>
  <si>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</si>
  <si>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</si>
  <si>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</si>
  <si>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</si>
  <si>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</si>
  <si>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</si>
  <si>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</si>
  <si>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</si>
  <si>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</si>
  <si>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</si>
  <si>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</si>
  <si>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</si>
  <si>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</si>
  <si>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</si>
  <si>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</si>
  <si>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</si>
  <si>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</si>
  <si>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</si>
  <si>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</si>
  <si>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</si>
  <si>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</si>
  <si>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</si>
  <si>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</si>
  <si>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</si>
  <si>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</si>
  <si>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</si>
  <si>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</si>
  <si>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</si>
  <si>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</si>
  <si>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</si>
  <si>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</si>
  <si>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</si>
  <si>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</si>
  <si>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</si>
  <si>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</si>
  <si>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</si>
  <si>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</si>
  <si>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</si>
  <si>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</si>
  <si>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</si>
  <si>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</si>
  <si>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</si>
  <si>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</si>
  <si>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</si>
  <si>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</si>
  <si>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</si>
  <si>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</si>
  <si>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</si>
  <si>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</si>
  <si>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</si>
  <si>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</si>
  <si>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</si>
  <si>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</si>
  <si>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</si>
  <si>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</si>
  <si>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</si>
  <si>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</si>
  <si>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</si>
  <si>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</si>
  <si>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</si>
  <si>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</si>
  <si>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</si>
  <si>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</si>
  <si>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</si>
  <si>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</si>
  <si>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</si>
  <si>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</si>
  <si>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</si>
  <si>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</si>
  <si>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</si>
  <si>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</si>
  <si>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</si>
  <si>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</si>
  <si>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</si>
  <si>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</si>
  <si>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</si>
  <si>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</si>
  <si>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</si>
  <si>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</si>
  <si>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</si>
  <si>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</si>
  <si>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</si>
  <si>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</si>
  <si>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</si>
  <si>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</si>
  <si>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</si>
  <si>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</si>
  <si>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</si>
  <si>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</si>
  <si>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</si>
  <si>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</si>
  <si>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</si>
  <si>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</si>
  <si>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</si>
  <si>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</si>
  <si>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</si>
  <si>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</si>
  <si>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</si>
  <si>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</si>
  <si>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</si>
  <si>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</si>
  <si>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</si>
  <si>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</si>
  <si>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</si>
  <si>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</si>
  <si>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</si>
  <si>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</si>
  <si>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</si>
  <si>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</si>
  <si>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</si>
  <si>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</si>
  <si>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</si>
  <si>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</si>
  <si>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</si>
  <si>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</si>
  <si>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</si>
  <si>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</si>
  <si>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</si>
  <si>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</si>
  <si>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</si>
  <si>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</si>
  <si>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</si>
  <si>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</si>
  <si>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</si>
  <si>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</si>
  <si>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</si>
  <si>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</si>
  <si>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</si>
  <si>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</si>
  <si>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</si>
  <si>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</si>
  <si>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</si>
  <si>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</si>
  <si>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</si>
  <si>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</si>
  <si>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</si>
  <si>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</si>
  <si>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</si>
  <si>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</si>
  <si>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</si>
  <si>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</si>
  <si>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</si>
  <si>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</si>
  <si>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</si>
  <si>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</si>
  <si>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</si>
  <si>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</si>
  <si>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</si>
  <si>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</si>
  <si>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</si>
  <si>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</si>
  <si>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</si>
  <si>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</si>
  <si>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</si>
  <si>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</si>
  <si>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</si>
  <si>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</si>
  <si>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</si>
  <si>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</si>
  <si>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</si>
  <si>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</si>
  <si>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</si>
  <si>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</si>
  <si>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</si>
  <si>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</si>
  <si>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</si>
  <si>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</si>
  <si>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</si>
  <si>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</si>
  <si>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</si>
  <si>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</si>
  <si>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</si>
  <si>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</si>
  <si>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</si>
  <si>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</si>
  <si>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</si>
  <si>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</si>
  <si>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</si>
  <si>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</si>
  <si>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</si>
  <si>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</si>
  <si>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</si>
  <si>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</si>
  <si>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</si>
  <si>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</si>
  <si>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</si>
  <si>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</si>
  <si>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</si>
  <si>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</si>
  <si>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</si>
  <si>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</si>
  <si>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</si>
  <si>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</si>
  <si>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</si>
  <si>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</si>
  <si>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</si>
  <si>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</si>
  <si>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</si>
  <si>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</si>
  <si>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</si>
  <si>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</si>
  <si>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</si>
  <si>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</si>
  <si>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Cook</t>
  </si>
  <si>
    <t>8800 West 119th Street</t>
  </si>
  <si>
    <t>Palos Park</t>
  </si>
  <si>
    <t>jveihman@palos118.org</t>
  </si>
  <si>
    <t>Anthony M. Scarsella</t>
  </si>
  <si>
    <t>ascarsella@palos118.org</t>
  </si>
  <si>
    <t>708-448-4800</t>
  </si>
  <si>
    <t>708-448-4880</t>
  </si>
  <si>
    <t>Mueller &amp; Co., LLP</t>
  </si>
  <si>
    <t>14300 South Ravinia Avenue, Suite 200</t>
  </si>
  <si>
    <t>Orland Park</t>
  </si>
  <si>
    <t>IL</t>
  </si>
  <si>
    <t>708-349-6999</t>
  </si>
  <si>
    <t>708-349-6639</t>
  </si>
  <si>
    <t>066-003328</t>
  </si>
  <si>
    <t>ED - Food Service</t>
  </si>
  <si>
    <t>O&amp;M - O &amp; M Operation of Plant</t>
  </si>
  <si>
    <t>Transportation - Pupil Transportation</t>
  </si>
  <si>
    <t>ED - Fiscal Services</t>
  </si>
  <si>
    <t>Aramark</t>
  </si>
  <si>
    <t>AT&amp;T</t>
  </si>
  <si>
    <t>Avalon Petroleum</t>
  </si>
  <si>
    <t>Carefree Lawn</t>
  </si>
  <si>
    <t>Constellation</t>
  </si>
  <si>
    <t>Midwest Transit</t>
  </si>
  <si>
    <t>Mueller &amp; Co.</t>
  </si>
  <si>
    <t>Nextera</t>
  </si>
  <si>
    <t>Republic Services</t>
  </si>
  <si>
    <t>Santander Leasing</t>
  </si>
  <si>
    <t>Educational Benefit Cooperative</t>
  </si>
  <si>
    <t>Illinois Energy Consortium</t>
  </si>
  <si>
    <t>Collective Liability Insurance Cooperative</t>
  </si>
  <si>
    <t>Southwest Cook County Cooperative Assn</t>
  </si>
  <si>
    <t>U.S. Department of Education</t>
  </si>
  <si>
    <t>Passed through Illinois State Board of Education</t>
  </si>
  <si>
    <t xml:space="preserve">  Title I - Low Income</t>
  </si>
  <si>
    <t>19-4300</t>
  </si>
  <si>
    <t>20-4300</t>
  </si>
  <si>
    <t xml:space="preserve">  Title II - Teacher Quality</t>
  </si>
  <si>
    <t>19-4932</t>
  </si>
  <si>
    <t>20-4932</t>
  </si>
  <si>
    <t xml:space="preserve">  Title III - Immigrant Education Program</t>
  </si>
  <si>
    <t>19-4905</t>
  </si>
  <si>
    <t xml:space="preserve">  Title III - Lang Inst Prog - Limited English</t>
  </si>
  <si>
    <t>19-4909</t>
  </si>
  <si>
    <t>20-4909</t>
  </si>
  <si>
    <t xml:space="preserve">  Title IVA - Student Support &amp; Academic Enrichment</t>
  </si>
  <si>
    <t>19-4400</t>
  </si>
  <si>
    <t>20-4400</t>
  </si>
  <si>
    <t xml:space="preserve">  Other Federal Programs - ESSER</t>
  </si>
  <si>
    <t>84.425D</t>
  </si>
  <si>
    <t>20-4998-EF</t>
  </si>
  <si>
    <t xml:space="preserve">  IDEA Flow Through (M)</t>
  </si>
  <si>
    <t>20-4620-00</t>
  </si>
  <si>
    <t>20-4620-EI</t>
  </si>
  <si>
    <t xml:space="preserve">  Preschool Flow Through (M)</t>
  </si>
  <si>
    <t>20-4600</t>
  </si>
  <si>
    <t>Total passed through Illinois State Board of Education</t>
  </si>
  <si>
    <t>Passed through Southwest Cook County Cooperative Association for Special Education</t>
  </si>
  <si>
    <t xml:space="preserve">  IDEA Flow Through</t>
  </si>
  <si>
    <t>19-4620</t>
  </si>
  <si>
    <t xml:space="preserve">  Preschool Flow Through</t>
  </si>
  <si>
    <t>19-4600</t>
  </si>
  <si>
    <t>Total passed through Southewest Cook County Cooperative Association for Special Education</t>
  </si>
  <si>
    <t>Total passed through Illinois State Board of Education (from Page 1)</t>
  </si>
  <si>
    <t>Total U.S. Department of Education</t>
  </si>
  <si>
    <t>U.S. Department of Health and Human Services</t>
  </si>
  <si>
    <t>Passed through IL Department of Healthcare and Family Services</t>
  </si>
  <si>
    <t xml:space="preserve">  Medicaid Administrative Outreach</t>
  </si>
  <si>
    <t>NA</t>
  </si>
  <si>
    <t>Total U.S. Department of Health and Human Services</t>
  </si>
  <si>
    <t>Subtotal, Page 2</t>
  </si>
  <si>
    <t>Subtotal Forwarded, Page 2</t>
  </si>
  <si>
    <t>U.S. Department of Agriculture</t>
  </si>
  <si>
    <t xml:space="preserve">  National School Lunch Program </t>
  </si>
  <si>
    <t>18-4210</t>
  </si>
  <si>
    <t>19-4210</t>
  </si>
  <si>
    <t>20-4210</t>
  </si>
  <si>
    <t xml:space="preserve">  Special Milk Program</t>
  </si>
  <si>
    <t>18-4215</t>
  </si>
  <si>
    <t>19-4215</t>
  </si>
  <si>
    <t>20-4215</t>
  </si>
  <si>
    <t xml:space="preserve">  Commodities (Non-Cash)</t>
  </si>
  <si>
    <t xml:space="preserve">  DoD Fruits and Vegetables (Non-Cash)</t>
  </si>
  <si>
    <t>Total U.S. Department of Agriculture</t>
  </si>
  <si>
    <t>Total Federal Awards</t>
  </si>
  <si>
    <t>x</t>
  </si>
  <si>
    <t>Of the federal expenditures presented in the schedule, Palos Community Consolidated School District 118 provided federal awards to subrecipients as follows:</t>
  </si>
  <si>
    <t>None</t>
  </si>
  <si>
    <r>
      <t xml:space="preserve">The following amounts were expended in the form of non-cash assistance by Palos Community Consolidated School District 118 </t>
    </r>
    <r>
      <rPr>
        <sz val="9"/>
        <rFont val="Calibri"/>
        <family val="2"/>
        <scheme val="minor"/>
      </rPr>
      <t xml:space="preserve">and </t>
    </r>
    <r>
      <rPr>
        <b/>
        <sz val="9"/>
        <rFont val="Calibri"/>
        <family val="2"/>
        <scheme val="minor"/>
      </rPr>
      <t>should be</t>
    </r>
    <r>
      <rPr>
        <sz val="9"/>
        <rFont val="Calibri"/>
        <family val="2"/>
        <scheme val="minor"/>
      </rPr>
      <t xml:space="preserve"> included in the Schedule of Expenditures of Federal Awards:</t>
    </r>
  </si>
  <si>
    <t>Unmodified</t>
  </si>
  <si>
    <t>IDEA Flow Through</t>
  </si>
  <si>
    <t>Preschool Flow Through</t>
  </si>
  <si>
    <t>2019-001</t>
  </si>
  <si>
    <t>The District's records are kept on the cash basis</t>
  </si>
  <si>
    <t>during the year and converted to modified accrual</t>
  </si>
  <si>
    <t>basis at year end with audit adjustments.</t>
  </si>
  <si>
    <t>Repeated as 2020-001</t>
  </si>
  <si>
    <t>2019-002</t>
  </si>
  <si>
    <t>Student activity funds are overdrawn.</t>
  </si>
  <si>
    <t>2019-003</t>
  </si>
  <si>
    <t>Student activity funds should comply with guidelines established by the Illinois State Board of Education.</t>
  </si>
  <si>
    <t>In testing student activities, a number of separate activities had negative balances.</t>
  </si>
  <si>
    <t>One activity may not be able to access its funds if already expended by another activity.</t>
  </si>
  <si>
    <t>There is no system in place to require a student activity to maintain a positive account balance.</t>
  </si>
  <si>
    <t>Management should review student activity balances monthly to ensure that an individual student activity has not spent more than its available balance.</t>
  </si>
  <si>
    <t>Management agrees with the recommendation.</t>
  </si>
  <si>
    <r>
      <t xml:space="preserve">The accompanying Schedule of Expenditures of Federal Awards includes the federal grant activity of Palos Community Consolidated School District 118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t>
    </r>
    <r>
      <rPr>
        <sz val="9"/>
        <rFont val="Calibri"/>
        <family val="2"/>
        <scheme val="minor"/>
      </rPr>
      <t>financial statements.</t>
    </r>
  </si>
  <si>
    <t>Student actrivity funds are overdrawn as of June 30, 2020.</t>
  </si>
  <si>
    <t>School Bonds Series 2016</t>
  </si>
  <si>
    <t>Taxable General Obligation Limited Tax School Bonds 2020A</t>
  </si>
  <si>
    <t>General Obligation Limited Tax School Bonds Series 2020B</t>
  </si>
  <si>
    <t>Educational Fund Acct #190 - Accrued Interest $16,788</t>
  </si>
  <si>
    <t>Operations and Maintenance Fund Acct. #190 - Accrued Interest $3,362</t>
  </si>
  <si>
    <t>Debt Service Fund Acct #190 - Accrued Interest $2,228</t>
  </si>
  <si>
    <t>Transportation Fund Acct #190 - Accrued Interest $1,678</t>
  </si>
  <si>
    <t>IMRF Fund Acct #190 - Accrued Interest $602</t>
  </si>
  <si>
    <t>Capital Projects Fund Acct #190 - Accrued Interest $8,694</t>
  </si>
  <si>
    <t>Working Cash Fund Acct #190 - Accrued Interest $7,058</t>
  </si>
  <si>
    <t>Tort Fund Acct #190 - Accrued Interest $8</t>
  </si>
  <si>
    <t>Fire Preventation and Safety Fund Acct #190 - Accrued Interest $12</t>
  </si>
  <si>
    <t>Educational Fund Acct #1890- Tech Repair Reimbursement $3,680</t>
  </si>
  <si>
    <t>Operations and Maintenance Fund Acct. #1999 - Other/ Energy Rebate  $24,980</t>
  </si>
  <si>
    <t>Educational Fund Acct #2190 - Supplies and Materials - Graduation Supplies $250</t>
  </si>
  <si>
    <t>Educational Fund Acct #2190 - Salaries - Supervisor $122,154 &amp; OT/PT $156,183</t>
  </si>
  <si>
    <t>Educational Fund Acct #2190 - Employee Benefits - Medical $64,230 Other $15,386</t>
  </si>
  <si>
    <t>Educational Fund Acct #2190 - Purchased Services - Travel $399 and Graduation rental $8,008</t>
  </si>
  <si>
    <t>IMRF Fund Acct  #2190 - Employee Benefits - OT/PT $46,022</t>
  </si>
  <si>
    <t>Not considered a financial statement finding in 2020</t>
  </si>
  <si>
    <t>ED -Data Processing Services</t>
  </si>
  <si>
    <t>Skyward</t>
  </si>
  <si>
    <t xml:space="preserve">#20 - See findings 2020-001 </t>
  </si>
  <si>
    <t>na</t>
  </si>
  <si>
    <t>accordance with generally accepted accounting</t>
  </si>
  <si>
    <t>principles.</t>
  </si>
  <si>
    <t>are sufficient to present the financial statements in</t>
  </si>
  <si>
    <t>because the adjustments provided by management</t>
  </si>
  <si>
    <t>because the necessary adjustments do not affect the</t>
  </si>
  <si>
    <t xml:space="preserve">presentation or accounting for federal awards and </t>
  </si>
  <si>
    <t>expenditures of federal awards.</t>
  </si>
  <si>
    <t>Not considered a federal awards finding in 2020</t>
  </si>
  <si>
    <t>Kevin Bissell</t>
  </si>
  <si>
    <t>kbissell@muellercpa.com</t>
  </si>
  <si>
    <t xml:space="preserve">  Palos CCSD 118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</si>
</sst>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2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55"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123825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4</xdr:row>
          <xdr:rowOff>10391</xdr:rowOff>
        </xdr:from>
        <xdr:to>
          <xdr:col>1</xdr:col>
          <xdr:colOff>911802</xdr:colOff>
          <xdr:row>8</xdr:row>
          <xdr:rowOff>58882</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topLeftCell="A4"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0">
        <f>+'AFR20'!E4</f>
        <v>44119</v>
      </c>
      <c r="C1" s="2040"/>
      <c r="D1" s="2041"/>
      <c r="I1" s="2119" t="s">
        <v>402</v>
      </c>
      <c r="J1" s="2120"/>
      <c r="K1" s="2120"/>
      <c r="L1" s="2120"/>
      <c r="M1" s="2120"/>
      <c r="N1" s="2120"/>
      <c r="O1" s="2120"/>
      <c r="P1" s="2120"/>
      <c r="Q1" s="2120"/>
      <c r="R1" s="2120"/>
      <c r="S1" s="2120"/>
    </row>
    <row r="2" spans="1:32" ht="12" customHeight="1" x14ac:dyDescent="0.2">
      <c r="A2" s="1831" t="str">
        <f>"Due to ISBE on "</f>
        <v xml:space="preserve">Due to ISBE on </v>
      </c>
      <c r="B2" s="2042">
        <f>+'AFR20'!F4</f>
        <v>44151</v>
      </c>
      <c r="C2" s="2042"/>
      <c r="D2" s="2043"/>
      <c r="I2" s="2121" t="s">
        <v>2000</v>
      </c>
      <c r="J2" s="2120"/>
      <c r="K2" s="2120"/>
      <c r="L2" s="2120"/>
      <c r="M2" s="2120"/>
      <c r="N2" s="2120"/>
      <c r="O2" s="2120"/>
      <c r="P2" s="2120"/>
      <c r="Q2" s="2120"/>
      <c r="R2" s="2120"/>
      <c r="S2" s="2120"/>
    </row>
    <row r="3" spans="1:32" ht="12" customHeight="1" x14ac:dyDescent="0.2">
      <c r="A3" s="1834" t="str">
        <f>"SD/JA"&amp;MID('AFR20'!E2,3,2)</f>
        <v>SD/JA20</v>
      </c>
      <c r="B3" s="151"/>
      <c r="C3" s="151"/>
      <c r="D3" s="152"/>
      <c r="I3" s="2121" t="s">
        <v>52</v>
      </c>
      <c r="J3" s="2120"/>
      <c r="K3" s="2120"/>
      <c r="L3" s="2120"/>
      <c r="M3" s="2120"/>
      <c r="N3" s="2120"/>
      <c r="O3" s="2120"/>
      <c r="P3" s="2120"/>
      <c r="Q3" s="2120"/>
      <c r="R3" s="2120"/>
      <c r="S3" s="2120"/>
    </row>
    <row r="4" spans="1:32" ht="12" customHeight="1" x14ac:dyDescent="0.2">
      <c r="A4" s="37"/>
      <c r="I4" s="2121" t="s">
        <v>521</v>
      </c>
      <c r="J4" s="2120"/>
      <c r="K4" s="2120"/>
      <c r="L4" s="2120"/>
      <c r="M4" s="2120"/>
      <c r="N4" s="2120"/>
      <c r="O4" s="2120"/>
      <c r="P4" s="2120"/>
      <c r="Q4" s="2120"/>
      <c r="R4" s="2120"/>
      <c r="S4" s="2120"/>
    </row>
    <row r="5" spans="1:32" ht="14.1" customHeight="1" x14ac:dyDescent="0.2">
      <c r="B5" s="101" t="s">
        <v>2132</v>
      </c>
      <c r="C5" s="26" t="s">
        <v>904</v>
      </c>
      <c r="D5" s="81"/>
      <c r="E5" s="81"/>
      <c r="H5" s="38"/>
      <c r="I5" s="2128" t="s">
        <v>675</v>
      </c>
      <c r="J5" s="2073"/>
      <c r="K5" s="2073"/>
      <c r="L5" s="2073"/>
      <c r="M5" s="2073"/>
      <c r="N5" s="2073"/>
      <c r="O5" s="2073"/>
      <c r="P5" s="2073"/>
      <c r="Q5" s="2073"/>
      <c r="R5" s="2073"/>
      <c r="S5" s="2073"/>
      <c r="AF5" s="1827"/>
    </row>
    <row r="6" spans="1:32" ht="14.1" customHeight="1" x14ac:dyDescent="0.2">
      <c r="B6" s="101"/>
      <c r="C6" s="26" t="s">
        <v>905</v>
      </c>
      <c r="D6" s="81"/>
      <c r="E6" s="81"/>
      <c r="I6" s="2127" t="s">
        <v>877</v>
      </c>
      <c r="J6" s="2073"/>
      <c r="K6" s="2073"/>
      <c r="L6" s="2073"/>
      <c r="M6" s="2073"/>
      <c r="N6" s="2073"/>
      <c r="O6" s="2073"/>
      <c r="P6" s="2073"/>
      <c r="Q6" s="2073"/>
      <c r="R6" s="2073"/>
      <c r="S6" s="2073"/>
    </row>
    <row r="7" spans="1:32" ht="12.2" customHeight="1" x14ac:dyDescent="0.2">
      <c r="I7" s="2122" t="str">
        <f>"June 30, "&amp;'AFR20'!E2</f>
        <v>June 30, 2020</v>
      </c>
      <c r="J7" s="2123"/>
      <c r="K7" s="2123"/>
      <c r="L7" s="2123"/>
      <c r="M7" s="2123"/>
      <c r="N7" s="2123"/>
      <c r="O7" s="2123"/>
      <c r="P7" s="2123"/>
      <c r="Q7" s="2123"/>
      <c r="R7" s="2123"/>
      <c r="S7" s="212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4" t="s">
        <v>669</v>
      </c>
      <c r="J9" s="2125"/>
      <c r="K9" s="2125"/>
      <c r="L9" s="2125"/>
      <c r="M9" s="2125"/>
      <c r="N9" s="2125"/>
      <c r="O9" s="2125"/>
      <c r="P9" s="2125"/>
      <c r="Q9" s="2125"/>
      <c r="R9" s="2125"/>
      <c r="S9" s="2126"/>
      <c r="T9" s="2069" t="s">
        <v>530</v>
      </c>
      <c r="U9" s="2070"/>
      <c r="V9" s="2070"/>
      <c r="W9" s="2070"/>
      <c r="X9" s="2070"/>
      <c r="Y9" s="2070"/>
      <c r="Z9" s="2070"/>
      <c r="AA9" s="2071"/>
    </row>
    <row r="10" spans="1:32" ht="13.5" customHeight="1" x14ac:dyDescent="0.2">
      <c r="A10" s="2078" t="s">
        <v>670</v>
      </c>
      <c r="B10" s="2079"/>
      <c r="C10" s="2079"/>
      <c r="D10" s="2079"/>
      <c r="E10" s="2079"/>
      <c r="F10" s="2079"/>
      <c r="G10" s="2079"/>
      <c r="H10" s="2080"/>
      <c r="I10" s="29"/>
      <c r="J10" s="30"/>
      <c r="K10" s="28"/>
      <c r="R10" s="30"/>
      <c r="S10" s="30"/>
      <c r="T10" s="2072"/>
      <c r="U10" s="2073"/>
      <c r="V10" s="2073"/>
      <c r="W10" s="2073"/>
      <c r="X10" s="2073"/>
      <c r="Y10" s="2073"/>
      <c r="Z10" s="2073"/>
      <c r="AA10" s="2074"/>
    </row>
    <row r="11" spans="1:32" ht="14.25" customHeight="1" x14ac:dyDescent="0.2">
      <c r="A11" s="2081" t="s">
        <v>949</v>
      </c>
      <c r="B11" s="2082"/>
      <c r="C11" s="2082"/>
      <c r="D11" s="2082"/>
      <c r="E11" s="2082"/>
      <c r="F11" s="2082"/>
      <c r="G11" s="2082"/>
      <c r="H11" s="2083"/>
      <c r="I11" s="27"/>
      <c r="J11" s="71"/>
      <c r="K11" s="27"/>
      <c r="O11" s="144"/>
      <c r="P11" s="97" t="s">
        <v>199</v>
      </c>
      <c r="Q11" s="30"/>
      <c r="R11" s="28"/>
      <c r="S11" s="27"/>
      <c r="T11" s="2075"/>
      <c r="U11" s="2076"/>
      <c r="V11" s="2076"/>
      <c r="W11" s="2076"/>
      <c r="X11" s="2076"/>
      <c r="Y11" s="2076"/>
      <c r="Z11" s="2076"/>
      <c r="AA11" s="2077"/>
    </row>
    <row r="12" spans="1:32" ht="13.5" customHeight="1" x14ac:dyDescent="0.2">
      <c r="A12" s="82" t="s">
        <v>919</v>
      </c>
      <c r="B12" s="73"/>
      <c r="C12" s="73"/>
      <c r="D12" s="73"/>
      <c r="E12" s="73"/>
      <c r="F12" s="73"/>
      <c r="G12" s="73"/>
      <c r="H12" s="50"/>
      <c r="I12" s="29"/>
      <c r="J12" s="30"/>
      <c r="K12" s="28"/>
      <c r="O12" s="145" t="s">
        <v>2045</v>
      </c>
      <c r="P12" s="97" t="s">
        <v>200</v>
      </c>
      <c r="Q12" s="71"/>
      <c r="R12" s="30"/>
      <c r="S12" s="30"/>
      <c r="T12" s="82" t="s">
        <v>263</v>
      </c>
      <c r="U12" s="48"/>
      <c r="V12" s="48"/>
      <c r="W12" s="48"/>
      <c r="X12" s="48"/>
      <c r="Y12" s="43"/>
      <c r="Z12" s="43"/>
      <c r="AA12" s="44"/>
    </row>
    <row r="13" spans="1:32" ht="13.5" customHeight="1" x14ac:dyDescent="0.2">
      <c r="A13" s="2089">
        <v>7016118004</v>
      </c>
      <c r="B13" s="2090"/>
      <c r="C13" s="2090"/>
      <c r="D13" s="2090"/>
      <c r="E13" s="2090"/>
      <c r="F13" s="2090"/>
      <c r="G13" s="2090"/>
      <c r="H13" s="2091"/>
      <c r="I13" s="31"/>
      <c r="J13" s="30"/>
      <c r="K13" s="28"/>
      <c r="L13" s="30"/>
      <c r="M13" s="30"/>
      <c r="N13" s="30"/>
      <c r="O13" s="30"/>
      <c r="P13" s="30"/>
      <c r="Q13" s="30"/>
      <c r="R13" s="30"/>
      <c r="S13" s="30"/>
      <c r="T13" s="2094" t="s">
        <v>2054</v>
      </c>
      <c r="U13" s="2095"/>
      <c r="V13" s="2095"/>
      <c r="W13" s="2095"/>
      <c r="X13" s="2095"/>
      <c r="Y13" s="2096"/>
      <c r="Z13" s="2096"/>
      <c r="AA13" s="2097"/>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87" t="s">
        <v>2046</v>
      </c>
      <c r="B15" s="2092"/>
      <c r="C15" s="2092"/>
      <c r="D15" s="2092"/>
      <c r="E15" s="2092"/>
      <c r="F15" s="2092"/>
      <c r="G15" s="2092"/>
      <c r="H15" s="2093"/>
      <c r="T15" s="2055" t="s">
        <v>2187</v>
      </c>
      <c r="U15" s="2056"/>
      <c r="V15" s="2056"/>
      <c r="W15" s="2056"/>
      <c r="X15" s="2056"/>
      <c r="Y15" s="2098"/>
      <c r="Z15" s="2098"/>
      <c r="AA15" s="209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7" t="s">
        <v>2189</v>
      </c>
      <c r="B17" s="2117"/>
      <c r="C17" s="2117"/>
      <c r="D17" s="2117"/>
      <c r="E17" s="2117"/>
      <c r="F17" s="2117"/>
      <c r="G17" s="2117"/>
      <c r="H17" s="2118"/>
      <c r="T17" s="2104" t="s">
        <v>2055</v>
      </c>
      <c r="U17" s="2105"/>
      <c r="V17" s="2105"/>
      <c r="W17" s="2105"/>
      <c r="X17" s="2105"/>
      <c r="Y17" s="2105"/>
      <c r="Z17" s="2105"/>
      <c r="AA17" s="2106"/>
    </row>
    <row r="18" spans="1:27" ht="13.5" customHeight="1" x14ac:dyDescent="0.2">
      <c r="A18" s="82" t="s">
        <v>527</v>
      </c>
      <c r="B18" s="73"/>
      <c r="C18" s="69"/>
      <c r="D18" s="73"/>
      <c r="E18" s="73"/>
      <c r="F18" s="73"/>
      <c r="G18" s="73"/>
      <c r="H18" s="53"/>
      <c r="I18" s="2114" t="s">
        <v>671</v>
      </c>
      <c r="J18" s="2115"/>
      <c r="K18" s="2115"/>
      <c r="L18" s="2115"/>
      <c r="M18" s="2115"/>
      <c r="N18" s="2115"/>
      <c r="O18" s="2115"/>
      <c r="P18" s="2115"/>
      <c r="Q18" s="2115"/>
      <c r="R18" s="2115"/>
      <c r="S18" s="2116"/>
      <c r="T18" s="82" t="s">
        <v>706</v>
      </c>
      <c r="U18" s="48"/>
      <c r="V18" s="69"/>
      <c r="W18" s="47"/>
      <c r="X18" s="82" t="s">
        <v>264</v>
      </c>
      <c r="Y18" s="78"/>
      <c r="Z18" s="154" t="s">
        <v>672</v>
      </c>
      <c r="AA18" s="44"/>
    </row>
    <row r="19" spans="1:27" ht="13.5" customHeight="1" x14ac:dyDescent="0.2">
      <c r="A19" s="2087" t="s">
        <v>2047</v>
      </c>
      <c r="B19" s="2088"/>
      <c r="C19" s="2088"/>
      <c r="D19" s="2088"/>
      <c r="E19" s="2088"/>
      <c r="F19" s="2088"/>
      <c r="G19" s="2088"/>
      <c r="H19" s="2086"/>
      <c r="I19" s="30"/>
      <c r="J19" s="96"/>
      <c r="K19" s="40"/>
      <c r="L19" s="38"/>
      <c r="M19" s="109" t="s">
        <v>312</v>
      </c>
      <c r="P19" s="27"/>
      <c r="Q19" s="27"/>
      <c r="R19" s="27"/>
      <c r="S19" s="31"/>
      <c r="T19" s="2087" t="s">
        <v>2056</v>
      </c>
      <c r="U19" s="2085"/>
      <c r="V19" s="2085"/>
      <c r="W19" s="2086"/>
      <c r="X19" s="2102" t="s">
        <v>2057</v>
      </c>
      <c r="Y19" s="2103"/>
      <c r="Z19" s="2100">
        <v>60462</v>
      </c>
      <c r="AA19" s="2101"/>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4" t="s">
        <v>2048</v>
      </c>
      <c r="B21" s="2085"/>
      <c r="C21" s="2085"/>
      <c r="D21" s="2085"/>
      <c r="E21" s="2085"/>
      <c r="F21" s="2085"/>
      <c r="G21" s="2085"/>
      <c r="H21" s="2086"/>
      <c r="I21" s="2110" t="s">
        <v>673</v>
      </c>
      <c r="J21" s="2073"/>
      <c r="K21" s="2073"/>
      <c r="L21" s="2073"/>
      <c r="M21" s="2073"/>
      <c r="N21" s="2073"/>
      <c r="O21" s="2073"/>
      <c r="P21" s="2073"/>
      <c r="Q21" s="2073"/>
      <c r="R21" s="2073"/>
      <c r="S21" s="2074"/>
      <c r="T21" s="2052" t="s">
        <v>2058</v>
      </c>
      <c r="U21" s="2053"/>
      <c r="V21" s="2053"/>
      <c r="W21" s="2053"/>
      <c r="X21" s="2066" t="s">
        <v>2059</v>
      </c>
      <c r="Y21" s="2067"/>
      <c r="Z21" s="2067"/>
      <c r="AA21" s="2068"/>
    </row>
    <row r="22" spans="1:27" ht="13.5" customHeight="1" x14ac:dyDescent="0.2">
      <c r="A22" s="84" t="s">
        <v>528</v>
      </c>
      <c r="B22" s="56"/>
      <c r="C22" s="56"/>
      <c r="D22" s="56"/>
      <c r="E22" s="56"/>
      <c r="F22" s="56"/>
      <c r="G22" s="56"/>
      <c r="H22" s="57"/>
      <c r="I22" s="2111" t="s">
        <v>1415</v>
      </c>
      <c r="J22" s="2112"/>
      <c r="K22" s="2112"/>
      <c r="L22" s="2112"/>
      <c r="M22" s="2112"/>
      <c r="N22" s="2112"/>
      <c r="O22" s="2112"/>
      <c r="P22" s="2112"/>
      <c r="Q22" s="2112"/>
      <c r="R22" s="2112"/>
      <c r="S22" s="2113"/>
      <c r="T22" s="82" t="s">
        <v>1502</v>
      </c>
      <c r="U22" s="48"/>
      <c r="V22" s="69"/>
      <c r="W22" s="48"/>
      <c r="X22" s="155" t="s">
        <v>1309</v>
      </c>
      <c r="Z22" s="43"/>
      <c r="AA22" s="44"/>
    </row>
    <row r="23" spans="1:27" ht="13.5" customHeight="1" x14ac:dyDescent="0.2">
      <c r="A23" s="2107" t="s">
        <v>2049</v>
      </c>
      <c r="B23" s="2108"/>
      <c r="C23" s="2108"/>
      <c r="D23" s="2108"/>
      <c r="E23" s="2108"/>
      <c r="F23" s="2108"/>
      <c r="G23" s="2108"/>
      <c r="H23" s="2109"/>
      <c r="T23" s="2047" t="s">
        <v>2060</v>
      </c>
      <c r="U23" s="2048"/>
      <c r="V23" s="2048"/>
      <c r="W23" s="2048"/>
      <c r="X23" s="2063">
        <v>44530</v>
      </c>
      <c r="Y23" s="2064"/>
      <c r="Z23" s="2064"/>
      <c r="AA23" s="2065"/>
    </row>
    <row r="24" spans="1:27" ht="14.1" customHeight="1" x14ac:dyDescent="0.2">
      <c r="A24" s="85" t="s">
        <v>672</v>
      </c>
      <c r="B24" s="46"/>
      <c r="C24" s="46"/>
      <c r="D24" s="46"/>
      <c r="E24" s="46"/>
      <c r="F24" s="46"/>
      <c r="G24" s="46"/>
      <c r="H24" s="58"/>
      <c r="J24" s="2149">
        <f>IF(B5="x",IF(AUDITCHECK!D29="AFR form Incomplete.","",IF(AUDITCHECK!D29="Deficit reduction plan is required.","School District must complete a deficit reduction plan in the 2019-2020 Budget",)),"")</f>
        <v>0</v>
      </c>
      <c r="K24" s="2149"/>
      <c r="L24" s="2149"/>
      <c r="M24" s="2149"/>
      <c r="N24" s="2149"/>
      <c r="O24" s="2149"/>
      <c r="P24" s="2149"/>
      <c r="Q24" s="2149"/>
      <c r="R24" s="2149"/>
      <c r="S24" s="2150"/>
      <c r="T24" s="102" t="s">
        <v>528</v>
      </c>
      <c r="U24" s="103"/>
      <c r="V24" s="103"/>
      <c r="W24" s="103"/>
      <c r="X24" s="104"/>
      <c r="Y24" s="104"/>
      <c r="Z24" s="104"/>
      <c r="AA24" s="105"/>
    </row>
    <row r="25" spans="1:27" ht="14.1" customHeight="1" x14ac:dyDescent="0.2">
      <c r="A25" s="2084">
        <v>60464</v>
      </c>
      <c r="B25" s="2085"/>
      <c r="C25" s="2085"/>
      <c r="D25" s="2085"/>
      <c r="E25" s="2085"/>
      <c r="F25" s="2085"/>
      <c r="G25" s="2085"/>
      <c r="H25" s="2086"/>
      <c r="I25" s="110"/>
      <c r="J25" s="2151"/>
      <c r="K25" s="2151"/>
      <c r="L25" s="2151"/>
      <c r="M25" s="2151"/>
      <c r="N25" s="2151"/>
      <c r="O25" s="2151"/>
      <c r="P25" s="2151"/>
      <c r="Q25" s="2151"/>
      <c r="R25" s="2151"/>
      <c r="S25" s="2152"/>
      <c r="T25" s="2044" t="s">
        <v>2188</v>
      </c>
      <c r="U25" s="2045"/>
      <c r="V25" s="2045"/>
      <c r="W25" s="2045"/>
      <c r="X25" s="2045"/>
      <c r="Y25" s="2045"/>
      <c r="Z25" s="2045"/>
      <c r="AA25" s="204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42" t="s">
        <v>1497</v>
      </c>
      <c r="J27" s="2115"/>
      <c r="K27" s="2115"/>
      <c r="L27" s="2115"/>
      <c r="M27" s="2115"/>
      <c r="N27" s="2115"/>
      <c r="O27" s="2115"/>
      <c r="P27" s="2115"/>
      <c r="Q27" s="2115"/>
      <c r="R27" s="2115"/>
      <c r="S27" s="2116"/>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2045</v>
      </c>
      <c r="F29" s="137" t="s">
        <v>1307</v>
      </c>
      <c r="G29" s="111"/>
      <c r="I29" s="51"/>
      <c r="J29" s="144" t="s">
        <v>2045</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2045</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2045</v>
      </c>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8"/>
      <c r="Q35" s="2085"/>
      <c r="R35" s="208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7" t="s">
        <v>2050</v>
      </c>
      <c r="B38" s="2117"/>
      <c r="C38" s="2117"/>
      <c r="D38" s="2117"/>
      <c r="E38" s="2117"/>
      <c r="F38" s="2085"/>
      <c r="G38" s="2085"/>
      <c r="H38" s="2086"/>
      <c r="I38" s="2136"/>
      <c r="J38" s="2056"/>
      <c r="K38" s="2056"/>
      <c r="L38" s="2056"/>
      <c r="M38" s="2056"/>
      <c r="N38" s="2056"/>
      <c r="O38" s="2056"/>
      <c r="P38" s="2057"/>
      <c r="Q38" s="2057"/>
      <c r="R38" s="2057"/>
      <c r="S38" s="2058"/>
      <c r="T38" s="2055"/>
      <c r="U38" s="2056"/>
      <c r="V38" s="2056"/>
      <c r="W38" s="2056"/>
      <c r="X38" s="2057"/>
      <c r="Y38" s="2057"/>
      <c r="Z38" s="2057"/>
      <c r="AA38" s="2058"/>
    </row>
    <row r="39" spans="1:27" ht="12" customHeight="1" x14ac:dyDescent="0.2">
      <c r="A39" s="2140" t="s">
        <v>528</v>
      </c>
      <c r="B39" s="2141"/>
      <c r="C39" s="69"/>
      <c r="D39" s="66"/>
      <c r="E39" s="66"/>
      <c r="F39" s="76"/>
      <c r="G39" s="66"/>
      <c r="H39" s="53"/>
      <c r="I39" s="2140" t="s">
        <v>528</v>
      </c>
      <c r="J39" s="2141"/>
      <c r="K39" s="2141"/>
      <c r="L39" s="2141"/>
      <c r="M39" s="2141"/>
      <c r="N39" s="64"/>
      <c r="O39" s="69"/>
      <c r="P39" s="69"/>
      <c r="Q39" s="75"/>
      <c r="R39" s="69"/>
      <c r="S39" s="53"/>
      <c r="T39" s="69" t="s">
        <v>528</v>
      </c>
      <c r="U39" s="48"/>
      <c r="V39" s="69"/>
      <c r="W39" s="47"/>
      <c r="X39" s="75"/>
      <c r="Y39" s="43"/>
      <c r="Z39" s="43"/>
      <c r="AA39" s="44"/>
    </row>
    <row r="40" spans="1:27" ht="13.5" customHeight="1" x14ac:dyDescent="0.2">
      <c r="A40" s="2143" t="s">
        <v>2051</v>
      </c>
      <c r="B40" s="2144"/>
      <c r="C40" s="2145"/>
      <c r="D40" s="2145"/>
      <c r="E40" s="2145"/>
      <c r="F40" s="2146"/>
      <c r="G40" s="2146"/>
      <c r="H40" s="2147"/>
      <c r="I40" s="2059"/>
      <c r="J40" s="2061"/>
      <c r="K40" s="2061"/>
      <c r="L40" s="2061"/>
      <c r="M40" s="2061"/>
      <c r="N40" s="2061"/>
      <c r="O40" s="2061"/>
      <c r="P40" s="2061"/>
      <c r="Q40" s="2061"/>
      <c r="R40" s="2061"/>
      <c r="S40" s="2062"/>
      <c r="T40" s="2059"/>
      <c r="U40" s="2060"/>
      <c r="V40" s="2061"/>
      <c r="W40" s="2061"/>
      <c r="X40" s="2061"/>
      <c r="Y40" s="2061"/>
      <c r="Z40" s="2061"/>
      <c r="AA40" s="206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3" t="s">
        <v>2052</v>
      </c>
      <c r="B42" s="2134"/>
      <c r="C42" s="2135"/>
      <c r="D42" s="2148" t="s">
        <v>2053</v>
      </c>
      <c r="E42" s="2134"/>
      <c r="F42" s="2134"/>
      <c r="G42" s="2134"/>
      <c r="H42" s="2135"/>
      <c r="I42" s="2054"/>
      <c r="J42" s="2050"/>
      <c r="K42" s="2050"/>
      <c r="L42" s="2050"/>
      <c r="M42" s="2050"/>
      <c r="N42" s="2050"/>
      <c r="O42" s="2051"/>
      <c r="P42" s="2049"/>
      <c r="Q42" s="2050"/>
      <c r="R42" s="2050"/>
      <c r="S42" s="2051"/>
      <c r="T42" s="2054"/>
      <c r="U42" s="2050"/>
      <c r="V42" s="2050"/>
      <c r="W42" s="2051"/>
      <c r="X42" s="2049"/>
      <c r="Y42" s="2050"/>
      <c r="Z42" s="2050"/>
      <c r="AA42" s="205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7"/>
      <c r="B44" s="2138"/>
      <c r="C44" s="2138"/>
      <c r="D44" s="2138"/>
      <c r="E44" s="2138"/>
      <c r="F44" s="2138"/>
      <c r="G44" s="2138"/>
      <c r="H44" s="2139"/>
      <c r="I44" s="2129"/>
      <c r="J44" s="2131"/>
      <c r="K44" s="2131"/>
      <c r="L44" s="2131"/>
      <c r="M44" s="2131"/>
      <c r="N44" s="2131"/>
      <c r="O44" s="2131"/>
      <c r="P44" s="2131"/>
      <c r="Q44" s="2131"/>
      <c r="R44" s="2131"/>
      <c r="S44" s="2132"/>
      <c r="T44" s="2129"/>
      <c r="U44" s="2130"/>
      <c r="V44" s="2130"/>
      <c r="W44" s="2130"/>
      <c r="X44" s="2130"/>
      <c r="Y44" s="2130"/>
      <c r="Z44" s="2131"/>
      <c r="AA44" s="2132"/>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1406</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90" fitToWidth="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topLeftCell="A7" colorId="8" zoomScale="110" zoomScaleNormal="110" workbookViewId="0">
      <selection activeCell="C13" sqref="C13"/>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1"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2"/>
      <c r="B3" s="1294"/>
      <c r="C3" s="1295"/>
      <c r="D3" s="1296" t="s">
        <v>254</v>
      </c>
      <c r="E3" s="1295"/>
      <c r="F3" s="1296" t="s">
        <v>255</v>
      </c>
    </row>
    <row r="4" spans="1:8" ht="13.7" customHeight="1" x14ac:dyDescent="0.2">
      <c r="A4" s="579" t="s">
        <v>1147</v>
      </c>
      <c r="B4" s="1721">
        <v>16623691</v>
      </c>
      <c r="C4" s="1722">
        <v>8858309</v>
      </c>
      <c r="D4" s="1723">
        <f>B4-C4</f>
        <v>7765382</v>
      </c>
      <c r="E4" s="1722">
        <v>17455583</v>
      </c>
      <c r="F4" s="1723">
        <f>E4-C4</f>
        <v>8597274</v>
      </c>
    </row>
    <row r="5" spans="1:8" ht="13.7" customHeight="1" x14ac:dyDescent="0.2">
      <c r="A5" s="579" t="s">
        <v>865</v>
      </c>
      <c r="B5" s="1724">
        <v>1838032</v>
      </c>
      <c r="C5" s="1664">
        <v>966847</v>
      </c>
      <c r="D5" s="1725">
        <f t="shared" ref="D5:D18" si="0">B5-C5</f>
        <v>871185</v>
      </c>
      <c r="E5" s="1664">
        <v>1905500</v>
      </c>
      <c r="F5" s="1725">
        <f>E5-C5</f>
        <v>938653</v>
      </c>
    </row>
    <row r="6" spans="1:8" ht="13.7" customHeight="1" x14ac:dyDescent="0.2">
      <c r="A6" s="579" t="s">
        <v>408</v>
      </c>
      <c r="B6" s="1724">
        <v>1796669</v>
      </c>
      <c r="C6" s="1664">
        <v>944656</v>
      </c>
      <c r="D6" s="1725">
        <f t="shared" si="0"/>
        <v>852013</v>
      </c>
      <c r="E6" s="1664">
        <f>249545+1611435</f>
        <v>1860980</v>
      </c>
      <c r="F6" s="1725">
        <f t="shared" ref="F6:F18" si="1">E6-C6</f>
        <v>916324</v>
      </c>
    </row>
    <row r="7" spans="1:8" ht="13.7" customHeight="1" x14ac:dyDescent="0.2">
      <c r="A7" s="579" t="s">
        <v>154</v>
      </c>
      <c r="B7" s="1724">
        <v>794813</v>
      </c>
      <c r="C7" s="1664">
        <v>418199</v>
      </c>
      <c r="D7" s="1725">
        <f t="shared" si="0"/>
        <v>376614</v>
      </c>
      <c r="E7" s="1664">
        <v>824000</v>
      </c>
      <c r="F7" s="1725">
        <f t="shared" si="1"/>
        <v>405801</v>
      </c>
    </row>
    <row r="8" spans="1:8" ht="13.7" customHeight="1" x14ac:dyDescent="0.2">
      <c r="A8" s="579" t="s">
        <v>1171</v>
      </c>
      <c r="B8" s="1724">
        <f>794322/2</f>
        <v>397161</v>
      </c>
      <c r="C8" s="1664">
        <f>417708/2</f>
        <v>208854</v>
      </c>
      <c r="D8" s="1725">
        <f t="shared" si="0"/>
        <v>188307</v>
      </c>
      <c r="E8" s="1664">
        <v>412000</v>
      </c>
      <c r="F8" s="1725">
        <f t="shared" si="1"/>
        <v>203146</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v>693</v>
      </c>
      <c r="C10" s="1664">
        <v>368</v>
      </c>
      <c r="D10" s="1725">
        <f t="shared" si="0"/>
        <v>325</v>
      </c>
      <c r="E10" s="1664">
        <v>1030</v>
      </c>
      <c r="F10" s="1725">
        <f t="shared" si="1"/>
        <v>662</v>
      </c>
    </row>
    <row r="11" spans="1:8" x14ac:dyDescent="0.2">
      <c r="A11" s="579" t="s">
        <v>406</v>
      </c>
      <c r="B11" s="1724">
        <v>694</v>
      </c>
      <c r="C11" s="1664">
        <v>368</v>
      </c>
      <c r="D11" s="1725">
        <f t="shared" si="0"/>
        <v>326</v>
      </c>
      <c r="E11" s="1664">
        <v>1030</v>
      </c>
      <c r="F11" s="1725">
        <f t="shared" si="1"/>
        <v>662</v>
      </c>
    </row>
    <row r="12" spans="1:8" ht="13.7" customHeight="1" x14ac:dyDescent="0.2">
      <c r="A12" s="579" t="s">
        <v>156</v>
      </c>
      <c r="B12" s="1724">
        <v>694</v>
      </c>
      <c r="C12" s="1664">
        <v>368</v>
      </c>
      <c r="D12" s="1725">
        <f t="shared" si="0"/>
        <v>326</v>
      </c>
      <c r="E12" s="1664">
        <v>1030</v>
      </c>
      <c r="F12" s="1725">
        <f t="shared" si="1"/>
        <v>662</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v>1242048</v>
      </c>
      <c r="C14" s="1664">
        <v>653351</v>
      </c>
      <c r="D14" s="1725">
        <f t="shared" si="0"/>
        <v>588697</v>
      </c>
      <c r="E14" s="1664">
        <v>1287500</v>
      </c>
      <c r="F14" s="1725">
        <f t="shared" si="1"/>
        <v>634149</v>
      </c>
    </row>
    <row r="15" spans="1:8" ht="13.7" customHeight="1" x14ac:dyDescent="0.2">
      <c r="A15" s="579" t="s">
        <v>1150</v>
      </c>
      <c r="B15" s="1724">
        <f>SUM('Revenues 9-14'!D9:E9,'Revenues 9-14'!H9)</f>
        <v>0</v>
      </c>
      <c r="C15" s="1664"/>
      <c r="D15" s="1725">
        <f t="shared" si="0"/>
        <v>0</v>
      </c>
      <c r="E15" s="1664"/>
      <c r="F15" s="1725">
        <f t="shared" si="1"/>
        <v>0</v>
      </c>
    </row>
    <row r="16" spans="1:8" ht="13.7" customHeight="1" x14ac:dyDescent="0.2">
      <c r="A16" s="579" t="s">
        <v>1151</v>
      </c>
      <c r="B16" s="1724">
        <v>397161</v>
      </c>
      <c r="C16" s="1664">
        <v>208854</v>
      </c>
      <c r="D16" s="1725">
        <f t="shared" si="0"/>
        <v>188307</v>
      </c>
      <c r="E16" s="1664">
        <v>412000</v>
      </c>
      <c r="F16" s="1725">
        <f t="shared" si="1"/>
        <v>203146</v>
      </c>
    </row>
    <row r="17" spans="1:6" ht="13.7" customHeight="1" x14ac:dyDescent="0.2">
      <c r="A17" s="579" t="s">
        <v>1152</v>
      </c>
      <c r="B17" s="1724"/>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1153</v>
      </c>
      <c r="B19" s="1726">
        <f>SUM(B4:B18)</f>
        <v>23091656</v>
      </c>
      <c r="C19" s="1726">
        <f>SUM(C4:C18)</f>
        <v>12260174</v>
      </c>
      <c r="D19" s="1726">
        <f>SUM(D4:D18)</f>
        <v>10831482</v>
      </c>
      <c r="E19" s="1726">
        <f>SUM(E4:E18)</f>
        <v>24160653</v>
      </c>
      <c r="F19" s="1726">
        <f>SUM(F4:F18)</f>
        <v>11900479</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8" colorId="8" zoomScale="110" zoomScaleNormal="110" workbookViewId="0">
      <selection activeCell="J34" sqref="J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7" t="s">
        <v>625</v>
      </c>
      <c r="B1" s="2298"/>
      <c r="C1" s="585"/>
    </row>
    <row r="2" spans="1:7" ht="33.75" x14ac:dyDescent="0.2">
      <c r="A2" s="2306" t="s">
        <v>1779</v>
      </c>
      <c r="B2" s="230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0" t="s">
        <v>1106</v>
      </c>
      <c r="B3" s="2311"/>
      <c r="C3" s="2299"/>
      <c r="D3" s="2300"/>
      <c r="E3" s="2300"/>
      <c r="F3" s="2301"/>
    </row>
    <row r="4" spans="1:7" ht="12.75" customHeight="1" thickBot="1" x14ac:dyDescent="0.25">
      <c r="A4" s="2308" t="s">
        <v>626</v>
      </c>
      <c r="B4" s="2309"/>
      <c r="C4" s="1656"/>
      <c r="D4" s="1656"/>
      <c r="E4" s="1656"/>
      <c r="F4" s="1732">
        <f>SUM(C4+D4)-E4</f>
        <v>0</v>
      </c>
    </row>
    <row r="5" spans="1:7" ht="15.75" customHeight="1" thickTop="1" x14ac:dyDescent="0.2">
      <c r="A5" s="2293" t="s">
        <v>1103</v>
      </c>
      <c r="B5" s="2294"/>
      <c r="C5" s="2302"/>
      <c r="D5" s="2303"/>
      <c r="E5" s="2303"/>
      <c r="F5" s="2304"/>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1149</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5" t="s">
        <v>627</v>
      </c>
      <c r="B15" s="2296"/>
      <c r="C15" s="1732">
        <f>SUM(C6:C14)</f>
        <v>0</v>
      </c>
      <c r="D15" s="1732">
        <f>SUM(D6:D14)</f>
        <v>0</v>
      </c>
      <c r="E15" s="1732">
        <f>SUM(E6:E14)</f>
        <v>0</v>
      </c>
      <c r="F15" s="1732">
        <f>SUM(F6:F14)</f>
        <v>0</v>
      </c>
      <c r="G15" s="473"/>
    </row>
    <row r="16" spans="1:7" s="197" customFormat="1" ht="15.75" customHeight="1" thickTop="1" x14ac:dyDescent="0.2">
      <c r="A16" s="2305" t="s">
        <v>1104</v>
      </c>
      <c r="B16" s="2294"/>
      <c r="C16" s="2302"/>
      <c r="D16" s="2303"/>
      <c r="E16" s="2303"/>
      <c r="F16" s="2304"/>
    </row>
    <row r="17" spans="1:11" ht="12.75" customHeight="1" thickBot="1" x14ac:dyDescent="0.25">
      <c r="A17" s="2318" t="s">
        <v>64</v>
      </c>
      <c r="B17" s="2319"/>
      <c r="C17" s="1733"/>
      <c r="D17" s="1664"/>
      <c r="E17" s="1733"/>
      <c r="F17" s="1732">
        <f>SUM(C17+D17)-E17</f>
        <v>0</v>
      </c>
    </row>
    <row r="18" spans="1:11" ht="12.75" customHeight="1" thickTop="1" thickBot="1" x14ac:dyDescent="0.25">
      <c r="A18" s="2318" t="s">
        <v>6</v>
      </c>
      <c r="B18" s="2319"/>
      <c r="C18" s="1733"/>
      <c r="D18" s="1664"/>
      <c r="E18" s="1733"/>
      <c r="F18" s="1732">
        <f>SUM(C18+D18)-E18</f>
        <v>0</v>
      </c>
    </row>
    <row r="19" spans="1:11" ht="12.75" customHeight="1" thickTop="1" thickBot="1" x14ac:dyDescent="0.25">
      <c r="A19" s="2318" t="s">
        <v>385</v>
      </c>
      <c r="B19" s="2319"/>
      <c r="C19" s="1733"/>
      <c r="D19" s="1664"/>
      <c r="E19" s="1733"/>
      <c r="F19" s="1732">
        <f>SUM(C19+D19)-E19</f>
        <v>0</v>
      </c>
    </row>
    <row r="20" spans="1:11" ht="12.75" customHeight="1" thickTop="1" thickBot="1" x14ac:dyDescent="0.25">
      <c r="A20" s="2318" t="s">
        <v>445</v>
      </c>
      <c r="B20" s="2319"/>
      <c r="C20" s="1733"/>
      <c r="D20" s="1664"/>
      <c r="E20" s="1733"/>
      <c r="F20" s="1732">
        <f>SUM(C20+D20)-E20</f>
        <v>0</v>
      </c>
    </row>
    <row r="21" spans="1:11" ht="14.25" thickTop="1" thickBot="1" x14ac:dyDescent="0.25">
      <c r="A21" s="2295" t="s">
        <v>628</v>
      </c>
      <c r="B21" s="2296"/>
      <c r="C21" s="1732">
        <f>SUM(C17:C20)</f>
        <v>0</v>
      </c>
      <c r="D21" s="1732">
        <f>SUM(D17:D20)</f>
        <v>0</v>
      </c>
      <c r="E21" s="1732">
        <f>SUM(E17:E20)</f>
        <v>0</v>
      </c>
      <c r="F21" s="1732">
        <f>SUM(F17:F20)</f>
        <v>0</v>
      </c>
      <c r="G21" s="473"/>
    </row>
    <row r="22" spans="1:11" ht="15.75" customHeight="1" thickTop="1" x14ac:dyDescent="0.2">
      <c r="A22" s="2320" t="s">
        <v>1105</v>
      </c>
      <c r="B22" s="2294"/>
      <c r="C22" s="2302"/>
      <c r="D22" s="2303"/>
      <c r="E22" s="2303"/>
      <c r="F22" s="2304"/>
    </row>
    <row r="23" spans="1:11" ht="13.5" thickBot="1" x14ac:dyDescent="0.25">
      <c r="A23" s="2308" t="s">
        <v>629</v>
      </c>
      <c r="B23" s="2309"/>
      <c r="C23" s="1656"/>
      <c r="D23" s="1656"/>
      <c r="E23" s="1656"/>
      <c r="F23" s="1732">
        <f>SUM(C23+D23)-E23</f>
        <v>0</v>
      </c>
      <c r="G23" s="473"/>
    </row>
    <row r="24" spans="1:11" ht="15.75" customHeight="1" thickTop="1" x14ac:dyDescent="0.2">
      <c r="A24" s="2320" t="s">
        <v>2003</v>
      </c>
      <c r="B24" s="2294"/>
      <c r="C24" s="2302"/>
      <c r="D24" s="2303"/>
      <c r="E24" s="2303"/>
      <c r="F24" s="2304"/>
    </row>
    <row r="25" spans="1:11" ht="13.5" thickBot="1" x14ac:dyDescent="0.25">
      <c r="A25" s="2308" t="s">
        <v>2004</v>
      </c>
      <c r="B25" s="2309"/>
      <c r="C25" s="1656"/>
      <c r="D25" s="1656"/>
      <c r="E25" s="1656"/>
      <c r="F25" s="1732">
        <f>SUM(C25+D25)-E25</f>
        <v>0</v>
      </c>
      <c r="G25" s="473"/>
    </row>
    <row r="26" spans="1:11" ht="15.75" customHeight="1" thickTop="1" x14ac:dyDescent="0.2">
      <c r="A26" s="2293" t="s">
        <v>652</v>
      </c>
      <c r="B26" s="2294"/>
      <c r="C26" s="589"/>
      <c r="D26" s="589"/>
      <c r="E26" s="589"/>
      <c r="F26" s="590"/>
    </row>
    <row r="27" spans="1:11" ht="13.5" thickBot="1" x14ac:dyDescent="0.25">
      <c r="A27" s="2295" t="s">
        <v>1063</v>
      </c>
      <c r="B27" s="2296"/>
      <c r="C27" s="1664"/>
      <c r="D27" s="1664"/>
      <c r="E27" s="1664"/>
      <c r="F27" s="1732">
        <f>SUM(C27+D27)-E27</f>
        <v>0</v>
      </c>
      <c r="G27" s="473"/>
    </row>
    <row r="28" spans="1:11" ht="7.5" customHeight="1" thickTop="1" x14ac:dyDescent="0.2">
      <c r="A28" s="489"/>
    </row>
    <row r="29" spans="1:11" ht="23.25" customHeight="1" x14ac:dyDescent="0.2">
      <c r="A29" s="2321" t="s">
        <v>578</v>
      </c>
      <c r="B29" s="2298"/>
      <c r="C29" s="591"/>
      <c r="D29" s="591"/>
      <c r="E29" s="591"/>
      <c r="F29" s="591"/>
      <c r="G29" s="591"/>
      <c r="H29" s="591"/>
      <c r="I29" s="591"/>
      <c r="J29" s="591"/>
    </row>
    <row r="30" spans="1:11" ht="33.75" x14ac:dyDescent="0.2">
      <c r="A30" s="1297" t="s">
        <v>1064</v>
      </c>
      <c r="B30" s="592" t="s">
        <v>1116</v>
      </c>
      <c r="C30" s="592" t="s">
        <v>579</v>
      </c>
      <c r="D30" s="592" t="s">
        <v>1657</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2155</v>
      </c>
      <c r="B31" s="595">
        <v>42707</v>
      </c>
      <c r="C31" s="1734">
        <v>6400000</v>
      </c>
      <c r="D31" s="1735">
        <v>6</v>
      </c>
      <c r="E31" s="1734">
        <v>3170000</v>
      </c>
      <c r="F31" s="1734"/>
      <c r="G31" s="1734"/>
      <c r="H31" s="1734">
        <v>1680000</v>
      </c>
      <c r="I31" s="1736">
        <f>((E31+F31)-H31)+G31</f>
        <v>1490000</v>
      </c>
      <c r="J31" s="1734">
        <v>1490000</v>
      </c>
      <c r="K31" s="596"/>
    </row>
    <row r="32" spans="1:11" ht="12" customHeight="1" x14ac:dyDescent="0.2">
      <c r="A32" s="594" t="s">
        <v>2156</v>
      </c>
      <c r="B32" s="595">
        <v>43873</v>
      </c>
      <c r="C32" s="1734">
        <v>1945000</v>
      </c>
      <c r="D32" s="1735">
        <v>6</v>
      </c>
      <c r="E32" s="1734"/>
      <c r="F32" s="1734">
        <v>1945000</v>
      </c>
      <c r="G32" s="1734"/>
      <c r="H32" s="1734"/>
      <c r="I32" s="1736">
        <f>((E32+F32)-H32)+G32</f>
        <v>1945000</v>
      </c>
      <c r="J32" s="1734">
        <v>1945000</v>
      </c>
      <c r="K32" s="596"/>
    </row>
    <row r="33" spans="1:11" ht="12" customHeight="1" x14ac:dyDescent="0.2">
      <c r="A33" s="594" t="s">
        <v>2157</v>
      </c>
      <c r="B33" s="595">
        <v>43873</v>
      </c>
      <c r="C33" s="1734">
        <v>4365000</v>
      </c>
      <c r="D33" s="1735">
        <v>6</v>
      </c>
      <c r="E33" s="1734"/>
      <c r="F33" s="1734">
        <v>4365000</v>
      </c>
      <c r="G33" s="1734"/>
      <c r="H33" s="1734"/>
      <c r="I33" s="1736">
        <f t="shared" ref="I33:I48" si="1">((E33+F33)-H33)+G33</f>
        <v>4365000</v>
      </c>
      <c r="J33" s="1734">
        <v>3058270</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12710000</v>
      </c>
      <c r="D49" s="1742"/>
      <c r="E49" s="1736">
        <f t="shared" ref="E49:J49" si="2">SUM(E31:E48)</f>
        <v>3170000</v>
      </c>
      <c r="F49" s="1736">
        <f t="shared" si="2"/>
        <v>6310000</v>
      </c>
      <c r="G49" s="1736">
        <f t="shared" si="2"/>
        <v>0</v>
      </c>
      <c r="H49" s="1736">
        <f t="shared" si="2"/>
        <v>1680000</v>
      </c>
      <c r="I49" s="1736">
        <f t="shared" si="2"/>
        <v>7800000</v>
      </c>
      <c r="J49" s="1736">
        <f t="shared" si="2"/>
        <v>6493270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2" t="s">
        <v>580</v>
      </c>
      <c r="C52" s="2313"/>
      <c r="D52" s="2313"/>
      <c r="E52" s="603" t="s">
        <v>840</v>
      </c>
      <c r="F52" s="2314"/>
      <c r="G52" s="2315"/>
      <c r="H52" s="596"/>
      <c r="I52" s="596"/>
      <c r="J52" s="600"/>
    </row>
    <row r="53" spans="1:11" ht="11.25" customHeight="1" x14ac:dyDescent="0.2">
      <c r="A53" s="604" t="s">
        <v>907</v>
      </c>
      <c r="B53" s="605" t="s">
        <v>945</v>
      </c>
      <c r="C53" s="600"/>
      <c r="D53" s="597"/>
      <c r="E53" s="603" t="s">
        <v>494</v>
      </c>
      <c r="F53" s="2316"/>
      <c r="G53" s="2317"/>
      <c r="H53" s="596"/>
      <c r="I53" s="596"/>
      <c r="J53" s="600"/>
    </row>
    <row r="54" spans="1:11" ht="11.25" customHeight="1" x14ac:dyDescent="0.2">
      <c r="A54" s="606" t="s">
        <v>908</v>
      </c>
      <c r="B54" s="601" t="s">
        <v>946</v>
      </c>
      <c r="C54" s="600"/>
      <c r="D54" s="597"/>
      <c r="E54" s="603" t="s">
        <v>495</v>
      </c>
      <c r="F54" s="2316"/>
      <c r="G54" s="231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N27"/>
  <sheetViews>
    <sheetView showGridLines="0" defaultGridColor="0" topLeftCell="A5" colorId="8" zoomScale="110" zoomScaleNormal="110" workbookViewId="0">
      <selection activeCell="E10" sqref="E10"/>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24" t="s">
        <v>1872</v>
      </c>
      <c r="B1" s="2325"/>
      <c r="C1" s="2326"/>
      <c r="D1" s="666"/>
      <c r="E1" s="667"/>
      <c r="F1" s="667"/>
      <c r="G1" s="668"/>
      <c r="H1" s="669"/>
      <c r="I1" s="670"/>
      <c r="J1" s="2322"/>
      <c r="K1" s="2323"/>
      <c r="L1" s="2323"/>
    </row>
    <row r="2" spans="1:14" ht="69.75" customHeight="1" x14ac:dyDescent="0.2">
      <c r="A2" s="671" t="s">
        <v>1662</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294943</v>
      </c>
      <c r="D5" s="1770"/>
      <c r="E5" s="1770"/>
      <c r="F5" s="1765">
        <f>(C5+D5)-E5</f>
        <v>294943</v>
      </c>
      <c r="G5" s="676"/>
      <c r="H5" s="680"/>
      <c r="I5" s="680"/>
      <c r="J5" s="680"/>
      <c r="K5" s="637"/>
      <c r="L5" s="1442">
        <f>F5-K5</f>
        <v>294943</v>
      </c>
    </row>
    <row r="6" spans="1:14" ht="14.25" thickTop="1" thickBot="1" x14ac:dyDescent="0.25">
      <c r="A6" s="629" t="s">
        <v>1109</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1110</v>
      </c>
      <c r="B8" s="679">
        <v>231</v>
      </c>
      <c r="C8" s="1771">
        <v>36504309</v>
      </c>
      <c r="D8" s="1771"/>
      <c r="E8" s="1771"/>
      <c r="F8" s="1765">
        <f>(C8+D8)-E8</f>
        <v>36504309</v>
      </c>
      <c r="G8" s="681">
        <v>50</v>
      </c>
      <c r="H8" s="619">
        <v>11055816</v>
      </c>
      <c r="I8" s="619">
        <v>730086</v>
      </c>
      <c r="J8" s="619"/>
      <c r="K8" s="1442">
        <f>(H8+I8)-J8</f>
        <v>11785902</v>
      </c>
      <c r="L8" s="1442">
        <f>F8-K8</f>
        <v>24718407</v>
      </c>
    </row>
    <row r="9" spans="1:14" ht="14.25" thickTop="1" thickBot="1" x14ac:dyDescent="0.25">
      <c r="A9" s="629" t="s">
        <v>1111</v>
      </c>
      <c r="B9" s="679">
        <v>232</v>
      </c>
      <c r="C9" s="1745"/>
      <c r="D9" s="1745"/>
      <c r="E9" s="1745"/>
      <c r="F9" s="1765">
        <f>(C9+D9)-E9</f>
        <v>0</v>
      </c>
      <c r="G9" s="681">
        <v>20</v>
      </c>
      <c r="H9" s="619"/>
      <c r="I9" s="619"/>
      <c r="J9" s="619"/>
      <c r="K9" s="1442">
        <f>(H9+I9)-J9</f>
        <v>0</v>
      </c>
      <c r="L9" s="1442">
        <f>F9-K9</f>
        <v>0</v>
      </c>
    </row>
    <row r="10" spans="1:14" ht="24" thickTop="1" thickBot="1" x14ac:dyDescent="0.25">
      <c r="A10" s="682" t="s">
        <v>1112</v>
      </c>
      <c r="B10" s="679">
        <v>240</v>
      </c>
      <c r="C10" s="1772">
        <v>12417044</v>
      </c>
      <c r="D10" s="1772">
        <f>2079765+11885</f>
        <v>2091650</v>
      </c>
      <c r="E10" s="1772"/>
      <c r="F10" s="1773">
        <f>(C10+D10)-E10</f>
        <v>14508694</v>
      </c>
      <c r="G10" s="681">
        <v>20</v>
      </c>
      <c r="H10" s="683">
        <v>5265728</v>
      </c>
      <c r="I10" s="683">
        <v>644441</v>
      </c>
      <c r="J10" s="683"/>
      <c r="K10" s="1442">
        <f>(H10+I10)-J10</f>
        <v>5910169</v>
      </c>
      <c r="L10" s="1442">
        <f>F10-K10</f>
        <v>8598525</v>
      </c>
    </row>
    <row r="11" spans="1:14" ht="13.5" thickTop="1" x14ac:dyDescent="0.2">
      <c r="A11" s="1367" t="s">
        <v>1128</v>
      </c>
      <c r="B11" s="1365">
        <v>250</v>
      </c>
      <c r="C11" s="1752"/>
      <c r="D11" s="1752"/>
      <c r="E11" s="1752"/>
      <c r="F11" s="1751"/>
      <c r="G11" s="681"/>
      <c r="H11" s="632"/>
      <c r="I11" s="632"/>
      <c r="J11" s="632"/>
      <c r="K11" s="624"/>
      <c r="L11" s="624"/>
    </row>
    <row r="12" spans="1:14" ht="13.5" thickBot="1" x14ac:dyDescent="0.25">
      <c r="A12" s="684" t="s">
        <v>1113</v>
      </c>
      <c r="B12" s="679">
        <v>251</v>
      </c>
      <c r="C12" s="1771">
        <v>4812120</v>
      </c>
      <c r="D12" s="1771">
        <v>14148</v>
      </c>
      <c r="E12" s="1771"/>
      <c r="F12" s="1765">
        <f>(C12+D12)-E12</f>
        <v>4826268</v>
      </c>
      <c r="G12" s="681">
        <v>10</v>
      </c>
      <c r="H12" s="619">
        <v>4052364</v>
      </c>
      <c r="I12" s="619">
        <v>210331</v>
      </c>
      <c r="J12" s="619"/>
      <c r="K12" s="1442">
        <f>(H12+I12)-J12</f>
        <v>4262695</v>
      </c>
      <c r="L12" s="1442">
        <f>F12-K12</f>
        <v>563573</v>
      </c>
    </row>
    <row r="13" spans="1:14" ht="14.25" thickTop="1" thickBot="1" x14ac:dyDescent="0.25">
      <c r="A13" s="684" t="s">
        <v>1114</v>
      </c>
      <c r="B13" s="679">
        <v>252</v>
      </c>
      <c r="C13" s="1771">
        <v>412751</v>
      </c>
      <c r="D13" s="1771">
        <v>58528</v>
      </c>
      <c r="E13" s="1771"/>
      <c r="F13" s="1765">
        <f>(C13+D13)-E13</f>
        <v>471279</v>
      </c>
      <c r="G13" s="681">
        <v>5</v>
      </c>
      <c r="H13" s="619">
        <v>372843</v>
      </c>
      <c r="I13" s="619">
        <v>12280</v>
      </c>
      <c r="J13" s="619"/>
      <c r="K13" s="1442">
        <f>(H13+I13)-J13</f>
        <v>385123</v>
      </c>
      <c r="L13" s="1442">
        <f>F13-K13</f>
        <v>86156</v>
      </c>
    </row>
    <row r="14" spans="1:14" ht="14.25" thickTop="1" thickBot="1" x14ac:dyDescent="0.25">
      <c r="A14" s="684" t="s">
        <v>1115</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2038093</v>
      </c>
      <c r="D15" s="1771">
        <v>138529</v>
      </c>
      <c r="E15" s="1771">
        <v>2079765</v>
      </c>
      <c r="F15" s="1765">
        <f>(C15+D15)-E15</f>
        <v>96857</v>
      </c>
      <c r="G15" s="685" t="s">
        <v>857</v>
      </c>
      <c r="H15" s="632"/>
      <c r="I15" s="632"/>
      <c r="J15" s="632"/>
      <c r="K15" s="632"/>
      <c r="L15" s="1442">
        <f>F15-K15</f>
        <v>96857</v>
      </c>
    </row>
    <row r="16" spans="1:14" ht="15" customHeight="1" thickTop="1" thickBot="1" x14ac:dyDescent="0.25">
      <c r="A16" s="1438" t="s">
        <v>638</v>
      </c>
      <c r="B16" s="1439">
        <v>200</v>
      </c>
      <c r="C16" s="1765">
        <f>SUM(C3,C5:C6,C8:C10,C12:C15)</f>
        <v>56479260</v>
      </c>
      <c r="D16" s="1765">
        <f>SUM(D3,D5:D6,D8:D10,D12:D15)</f>
        <v>2302855</v>
      </c>
      <c r="E16" s="1765">
        <f>SUM(E3,E5:E6,E8:E10,E12:E15)</f>
        <v>2079765</v>
      </c>
      <c r="F16" s="1765">
        <f>SUM(F3,F5:F6,F8:F10,F12:F15)</f>
        <v>56702350</v>
      </c>
      <c r="G16" s="681"/>
      <c r="H16" s="1435">
        <f>SUM(H3,H6,H8:H10,H12:H14,)</f>
        <v>20746751</v>
      </c>
      <c r="I16" s="1435">
        <f>SUM(I3,I6,I8:I10,I12:I14,)</f>
        <v>1597138</v>
      </c>
      <c r="J16" s="1435">
        <f>SUM(J3,J6,J8:J10,J12:J14,)</f>
        <v>0</v>
      </c>
      <c r="K16" s="1435">
        <f>(H16+I16)-J16</f>
        <v>22343889</v>
      </c>
      <c r="L16" s="1435">
        <f>F16-K16</f>
        <v>34358461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120634</v>
      </c>
      <c r="G17" s="676">
        <v>10</v>
      </c>
      <c r="H17" s="621"/>
      <c r="I17" s="1442">
        <f>F17/G17</f>
        <v>12063.4</v>
      </c>
      <c r="J17" s="621"/>
      <c r="K17" s="638"/>
      <c r="L17" s="638"/>
    </row>
    <row r="18" spans="1:12" ht="14.25" thickTop="1" thickBot="1" x14ac:dyDescent="0.25">
      <c r="A18" s="1440" t="s">
        <v>680</v>
      </c>
      <c r="B18" s="1441"/>
      <c r="C18" s="623"/>
      <c r="D18" s="623"/>
      <c r="E18" s="623"/>
      <c r="F18" s="686"/>
      <c r="G18" s="687"/>
      <c r="H18" s="624"/>
      <c r="I18" s="1435">
        <f>SUM(I16,I17)</f>
        <v>1609201.4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topLeftCell="C25" colorId="8" zoomScale="110" zoomScaleNormal="110" workbookViewId="0">
      <selection activeCell="G39" sqref="G3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3" t="s">
        <v>851</v>
      </c>
      <c r="B1" s="2354"/>
      <c r="C1" s="2354"/>
      <c r="D1" s="2354"/>
      <c r="E1" s="2354"/>
      <c r="F1" s="2354"/>
      <c r="G1" s="2355"/>
      <c r="H1" s="1298"/>
      <c r="I1" s="614"/>
      <c r="J1" s="400"/>
    </row>
    <row r="2" spans="1:11" ht="26.25" x14ac:dyDescent="0.2">
      <c r="A2" s="2330" t="s">
        <v>1661</v>
      </c>
      <c r="B2" s="2331"/>
      <c r="C2" s="2331"/>
      <c r="D2" s="2331"/>
      <c r="E2" s="2332"/>
      <c r="F2" s="615" t="s">
        <v>898</v>
      </c>
      <c r="G2" s="616" t="s">
        <v>1658</v>
      </c>
      <c r="H2" s="616" t="s">
        <v>407</v>
      </c>
      <c r="I2" s="616" t="s">
        <v>1150</v>
      </c>
      <c r="J2" s="616" t="s">
        <v>1789</v>
      </c>
      <c r="K2" s="616" t="s">
        <v>137</v>
      </c>
    </row>
    <row r="3" spans="1:11" x14ac:dyDescent="0.2">
      <c r="A3" s="2333" t="str">
        <f>"Cash Basis Fund Balance as of July 1, "&amp;'AFR20'!E2-1</f>
        <v>Cash Basis Fund Balance as of July 1, 2019</v>
      </c>
      <c r="B3" s="2334"/>
      <c r="C3" s="2334"/>
      <c r="D3" s="2334"/>
      <c r="E3" s="2335"/>
      <c r="F3" s="617"/>
      <c r="G3" s="1744"/>
      <c r="H3" s="1744"/>
      <c r="I3" s="1744"/>
      <c r="J3" s="1745"/>
      <c r="K3" s="1745"/>
    </row>
    <row r="4" spans="1:11" x14ac:dyDescent="0.2">
      <c r="A4" s="2336" t="s">
        <v>366</v>
      </c>
      <c r="B4" s="2337"/>
      <c r="C4" s="2337"/>
      <c r="D4" s="2337"/>
      <c r="E4" s="2313"/>
      <c r="F4" s="620"/>
      <c r="G4" s="1746"/>
      <c r="H4" s="1747"/>
      <c r="I4" s="1746"/>
      <c r="J4" s="1748"/>
      <c r="K4" s="1748"/>
    </row>
    <row r="5" spans="1:11" x14ac:dyDescent="0.2">
      <c r="A5" s="2356" t="s">
        <v>1062</v>
      </c>
      <c r="B5" s="2327"/>
      <c r="C5" s="2327"/>
      <c r="D5" s="2327"/>
      <c r="E5" s="2357"/>
      <c r="F5" s="622" t="s">
        <v>843</v>
      </c>
      <c r="G5" s="1749"/>
      <c r="H5" s="1744">
        <v>1247840</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56" t="s">
        <v>1790</v>
      </c>
      <c r="B10" s="2327"/>
      <c r="C10" s="2327"/>
      <c r="D10" s="2327"/>
      <c r="E10" s="2358"/>
      <c r="F10" s="633" t="s">
        <v>857</v>
      </c>
      <c r="G10" s="1753"/>
      <c r="H10" s="1754"/>
      <c r="I10" s="1744"/>
      <c r="J10" s="1745"/>
      <c r="K10" s="1745"/>
    </row>
    <row r="11" spans="1:11" x14ac:dyDescent="0.2">
      <c r="A11" s="2356" t="s">
        <v>159</v>
      </c>
      <c r="B11" s="2327"/>
      <c r="C11" s="2327"/>
      <c r="D11" s="2327"/>
      <c r="E11" s="2357"/>
      <c r="F11" s="622" t="s">
        <v>847</v>
      </c>
      <c r="G11" s="1749"/>
      <c r="H11" s="1744"/>
      <c r="I11" s="1744"/>
      <c r="J11" s="1745"/>
      <c r="K11" s="1751"/>
    </row>
    <row r="12" spans="1:11" ht="13.5" thickBot="1" x14ac:dyDescent="0.25">
      <c r="A12" s="2344" t="s">
        <v>899</v>
      </c>
      <c r="B12" s="2345"/>
      <c r="C12" s="2345"/>
      <c r="D12" s="2345"/>
      <c r="E12" s="2346"/>
      <c r="F12" s="1433"/>
      <c r="G12" s="1755">
        <f>SUM(G5:G11)</f>
        <v>0</v>
      </c>
      <c r="H12" s="1755">
        <f>SUM(H5:H11)</f>
        <v>1247840</v>
      </c>
      <c r="I12" s="1755">
        <f>SUM(I5:I11)</f>
        <v>0</v>
      </c>
      <c r="J12" s="1755">
        <f>SUM(J5:J11)</f>
        <v>0</v>
      </c>
      <c r="K12" s="1755">
        <f>SUM(K5:K11)</f>
        <v>0</v>
      </c>
    </row>
    <row r="13" spans="1:11" ht="13.5" thickTop="1" x14ac:dyDescent="0.2">
      <c r="A13" s="2338" t="s">
        <v>367</v>
      </c>
      <c r="B13" s="2339"/>
      <c r="C13" s="2339"/>
      <c r="D13" s="2339"/>
      <c r="E13" s="2340"/>
      <c r="F13" s="634"/>
      <c r="G13" s="1756"/>
      <c r="H13" s="1757"/>
      <c r="I13" s="1758"/>
      <c r="J13" s="1758"/>
      <c r="K13" s="1758"/>
    </row>
    <row r="14" spans="1:11" x14ac:dyDescent="0.2">
      <c r="A14" s="2362" t="s">
        <v>453</v>
      </c>
      <c r="B14" s="2362"/>
      <c r="C14" s="2362"/>
      <c r="D14" s="2362"/>
      <c r="E14" s="2363"/>
      <c r="F14" s="635" t="s">
        <v>849</v>
      </c>
      <c r="G14" s="1753"/>
      <c r="H14" s="1744">
        <v>1247840</v>
      </c>
      <c r="I14" s="1749"/>
      <c r="J14" s="1751"/>
      <c r="K14" s="1745"/>
    </row>
    <row r="15" spans="1:11" x14ac:dyDescent="0.2">
      <c r="A15" s="2327" t="s">
        <v>4</v>
      </c>
      <c r="B15" s="2327"/>
      <c r="C15" s="2327"/>
      <c r="D15" s="2327"/>
      <c r="E15" s="2357"/>
      <c r="F15" s="635" t="s">
        <v>850</v>
      </c>
      <c r="G15" s="1749"/>
      <c r="H15" s="1744"/>
      <c r="I15" s="1744"/>
      <c r="J15" s="1745"/>
      <c r="K15" s="1745"/>
    </row>
    <row r="16" spans="1:11" x14ac:dyDescent="0.2">
      <c r="A16" s="2327" t="s">
        <v>295</v>
      </c>
      <c r="B16" s="2327"/>
      <c r="C16" s="2327"/>
      <c r="D16" s="2327"/>
      <c r="E16" s="2357"/>
      <c r="F16" s="635" t="s">
        <v>917</v>
      </c>
      <c r="G16" s="1750"/>
      <c r="H16" s="1746"/>
      <c r="I16" s="1746"/>
      <c r="J16" s="1748"/>
      <c r="K16" s="1748"/>
    </row>
    <row r="17" spans="1:15" x14ac:dyDescent="0.2">
      <c r="A17" s="2351" t="s">
        <v>929</v>
      </c>
      <c r="B17" s="2351"/>
      <c r="C17" s="2351"/>
      <c r="D17" s="2351"/>
      <c r="E17" s="2352"/>
      <c r="F17" s="636"/>
      <c r="G17" s="1759"/>
      <c r="H17" s="1760"/>
      <c r="I17" s="1760"/>
      <c r="J17" s="1761"/>
      <c r="K17" s="1762"/>
    </row>
    <row r="18" spans="1:15" x14ac:dyDescent="0.2">
      <c r="A18" s="2341" t="s">
        <v>365</v>
      </c>
      <c r="B18" s="2342"/>
      <c r="C18" s="2342"/>
      <c r="D18" s="2342"/>
      <c r="E18" s="2343"/>
      <c r="F18" s="635" t="s">
        <v>926</v>
      </c>
      <c r="G18" s="1753"/>
      <c r="H18" s="1753"/>
      <c r="I18" s="1753"/>
      <c r="J18" s="1745"/>
      <c r="K18" s="1763"/>
    </row>
    <row r="19" spans="1:15" ht="21.75" customHeight="1" x14ac:dyDescent="0.2">
      <c r="A19" s="2364" t="s">
        <v>1786</v>
      </c>
      <c r="B19" s="2364"/>
      <c r="C19" s="2364"/>
      <c r="D19" s="2364"/>
      <c r="E19" s="2365"/>
      <c r="F19" s="635" t="s">
        <v>927</v>
      </c>
      <c r="G19" s="1753"/>
      <c r="H19" s="1753"/>
      <c r="I19" s="1753"/>
      <c r="J19" s="1745"/>
      <c r="K19" s="1763"/>
    </row>
    <row r="20" spans="1:15" x14ac:dyDescent="0.2">
      <c r="A20" s="2341" t="s">
        <v>1791</v>
      </c>
      <c r="B20" s="2342"/>
      <c r="C20" s="2342"/>
      <c r="D20" s="2342"/>
      <c r="E20" s="2343"/>
      <c r="F20" s="635" t="s">
        <v>928</v>
      </c>
      <c r="G20" s="1753"/>
      <c r="H20" s="1753"/>
      <c r="I20" s="1753"/>
      <c r="J20" s="1745"/>
      <c r="K20" s="1763"/>
    </row>
    <row r="21" spans="1:15" ht="13.5" thickBot="1" x14ac:dyDescent="0.25">
      <c r="A21" s="2347" t="s">
        <v>633</v>
      </c>
      <c r="B21" s="2347"/>
      <c r="C21" s="2347"/>
      <c r="D21" s="2347"/>
      <c r="E21" s="2347"/>
      <c r="F21" s="1434"/>
      <c r="G21" s="1760"/>
      <c r="H21" s="1764"/>
      <c r="I21" s="1764"/>
      <c r="J21" s="1765">
        <f>SUM(J18:J20)</f>
        <v>0</v>
      </c>
      <c r="K21" s="1761"/>
    </row>
    <row r="22" spans="1:15" ht="13.5" thickTop="1" x14ac:dyDescent="0.2">
      <c r="A22" s="2327" t="s">
        <v>1792</v>
      </c>
      <c r="B22" s="2327"/>
      <c r="C22" s="2327"/>
      <c r="D22" s="2327"/>
      <c r="E22" s="2357"/>
      <c r="F22" s="635" t="s">
        <v>857</v>
      </c>
      <c r="G22" s="1753"/>
      <c r="H22" s="1744"/>
      <c r="I22" s="1744"/>
      <c r="J22" s="1766"/>
      <c r="K22" s="1745"/>
    </row>
    <row r="23" spans="1:15" ht="13.5" thickBot="1" x14ac:dyDescent="0.25">
      <c r="A23" s="2348" t="s">
        <v>900</v>
      </c>
      <c r="B23" s="2347"/>
      <c r="C23" s="2347"/>
      <c r="D23" s="2347"/>
      <c r="E23" s="2347"/>
      <c r="F23" s="1436"/>
      <c r="G23" s="1755">
        <f>SUM(G14:G16,G21,G22)</f>
        <v>0</v>
      </c>
      <c r="H23" s="1755">
        <f>SUM(H14:H16,H21,H22)</f>
        <v>1247840</v>
      </c>
      <c r="I23" s="1755">
        <f>SUM(I14:I16,I21,I22)</f>
        <v>0</v>
      </c>
      <c r="J23" s="1755">
        <f>SUM(J14:J16,J21,J22)</f>
        <v>0</v>
      </c>
      <c r="K23" s="1755">
        <f>SUM(K14:K16,K21,K22)</f>
        <v>0</v>
      </c>
      <c r="M23" s="1846"/>
      <c r="N23" s="1846"/>
      <c r="O23" s="1846"/>
    </row>
    <row r="24" spans="1:15" ht="14.25" thickTop="1" thickBot="1" x14ac:dyDescent="0.25">
      <c r="A24" s="2349" t="str">
        <f>"Ending Cash Basis Fund Balance as of June 30, "&amp;'AFR20'!E2</f>
        <v>Ending Cash Basis Fund Balance as of June 30, 2020</v>
      </c>
      <c r="B24" s="2350"/>
      <c r="C24" s="2350"/>
      <c r="D24" s="2350"/>
      <c r="E24" s="2350"/>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9"/>
      <c r="I31" s="2360"/>
      <c r="J31" s="2360"/>
      <c r="K31" s="2360"/>
    </row>
    <row r="32" spans="1:15" x14ac:dyDescent="0.2">
      <c r="A32" s="649"/>
      <c r="B32" s="232"/>
      <c r="C32" s="232"/>
      <c r="D32" s="232"/>
      <c r="E32" s="645"/>
      <c r="F32" s="651" t="s">
        <v>537</v>
      </c>
      <c r="G32" s="618"/>
      <c r="H32" s="2361"/>
      <c r="I32" s="2360"/>
      <c r="J32" s="2360"/>
      <c r="K32" s="2360"/>
    </row>
    <row r="33" spans="1:11" ht="1.5" customHeight="1" x14ac:dyDescent="0.2">
      <c r="A33" s="652" t="s">
        <v>1161</v>
      </c>
      <c r="B33" s="341"/>
      <c r="C33" s="341"/>
      <c r="D33" s="341"/>
      <c r="E33" s="341"/>
      <c r="F33" s="341"/>
      <c r="G33" s="653"/>
      <c r="H33" s="2361"/>
      <c r="I33" s="2360"/>
      <c r="J33" s="2360"/>
      <c r="K33" s="2360"/>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v>95766</v>
      </c>
    </row>
    <row r="37" spans="1:11" x14ac:dyDescent="0.2">
      <c r="A37" s="660" t="s">
        <v>890</v>
      </c>
      <c r="B37" s="658"/>
      <c r="C37" s="658"/>
      <c r="D37" s="658"/>
      <c r="E37" s="658"/>
      <c r="F37" s="659"/>
      <c r="G37" s="619">
        <v>29272</v>
      </c>
    </row>
    <row r="38" spans="1:11" x14ac:dyDescent="0.2">
      <c r="A38" s="660" t="s">
        <v>986</v>
      </c>
      <c r="B38" s="658"/>
      <c r="C38" s="658"/>
      <c r="D38" s="658"/>
      <c r="E38" s="658"/>
      <c r="F38" s="659"/>
      <c r="G38" s="619">
        <v>133194</v>
      </c>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7" t="s">
        <v>538</v>
      </c>
      <c r="B41" s="2328"/>
      <c r="C41" s="2328"/>
      <c r="D41" s="2328"/>
      <c r="E41" s="2328"/>
      <c r="F41" s="232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1659</v>
      </c>
    </row>
    <row r="47" spans="1:11" s="663" customFormat="1" ht="12.75" customHeight="1" x14ac:dyDescent="0.2">
      <c r="A47" s="661"/>
      <c r="B47" s="662" t="s">
        <v>1660</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61"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25">
      <c r="A2" s="2372" t="s">
        <v>474</v>
      </c>
      <c r="B2" s="2373"/>
      <c r="C2" s="2373"/>
      <c r="D2" s="2373"/>
      <c r="E2" s="2373"/>
      <c r="F2" s="2374"/>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5"/>
      <c r="B5" s="2376"/>
      <c r="C5" s="2376"/>
      <c r="D5" s="2376"/>
      <c r="E5" s="2376"/>
      <c r="F5" s="2376"/>
    </row>
    <row r="6" spans="1:9" ht="13.5" customHeight="1" thickBot="1" x14ac:dyDescent="0.25">
      <c r="A6" s="2366" t="s">
        <v>1097</v>
      </c>
      <c r="B6" s="2367"/>
      <c r="C6" s="2367"/>
      <c r="D6" s="2367"/>
      <c r="E6" s="2367"/>
      <c r="F6" s="2368"/>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4">
        <f>'Expenditures 15-22'!K114</f>
        <v>23174721</v>
      </c>
      <c r="G8" s="701"/>
    </row>
    <row r="9" spans="1:9" x14ac:dyDescent="0.2">
      <c r="A9" s="705" t="s">
        <v>457</v>
      </c>
      <c r="B9" s="706" t="s">
        <v>1845</v>
      </c>
      <c r="C9" s="707"/>
      <c r="D9" s="705" t="s">
        <v>498</v>
      </c>
      <c r="E9" s="704"/>
      <c r="F9" s="1775">
        <f>'Expenditures 15-22'!K151</f>
        <v>2162757</v>
      </c>
      <c r="G9" s="708"/>
    </row>
    <row r="10" spans="1:9" x14ac:dyDescent="0.2">
      <c r="A10" s="705" t="s">
        <v>496</v>
      </c>
      <c r="B10" s="706" t="s">
        <v>1846</v>
      </c>
      <c r="C10" s="707"/>
      <c r="D10" s="705" t="s">
        <v>498</v>
      </c>
      <c r="E10" s="704"/>
      <c r="F10" s="1775">
        <f>'Expenditures 15-22'!K174</f>
        <v>1839536</v>
      </c>
      <c r="G10" s="708"/>
    </row>
    <row r="11" spans="1:9" x14ac:dyDescent="0.2">
      <c r="A11" s="705" t="s">
        <v>458</v>
      </c>
      <c r="B11" s="706" t="s">
        <v>1847</v>
      </c>
      <c r="C11" s="707"/>
      <c r="D11" s="705" t="s">
        <v>498</v>
      </c>
      <c r="E11" s="704"/>
      <c r="F11" s="1775">
        <f>'Expenditures 15-22'!K210</f>
        <v>1776910</v>
      </c>
      <c r="G11" s="708"/>
    </row>
    <row r="12" spans="1:9" x14ac:dyDescent="0.2">
      <c r="A12" s="705" t="s">
        <v>459</v>
      </c>
      <c r="B12" s="706" t="s">
        <v>1848</v>
      </c>
      <c r="C12" s="707"/>
      <c r="D12" s="705" t="s">
        <v>498</v>
      </c>
      <c r="E12" s="704"/>
      <c r="F12" s="1775">
        <f>'Expenditures 15-22'!K295</f>
        <v>823069</v>
      </c>
      <c r="G12" s="708"/>
    </row>
    <row r="13" spans="1:9" x14ac:dyDescent="0.2">
      <c r="A13" s="705" t="s">
        <v>106</v>
      </c>
      <c r="B13" s="706" t="s">
        <v>1849</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29776993</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1090</v>
      </c>
      <c r="B29" s="706" t="s">
        <v>805</v>
      </c>
      <c r="C29" s="716">
        <f>'Revenues 9-14'!B149</f>
        <v>3410</v>
      </c>
      <c r="D29" s="717" t="str">
        <f>'Revenues 9-14'!A149</f>
        <v>Adult Ed (from ICCB)</v>
      </c>
      <c r="E29" s="704"/>
      <c r="F29" s="1782">
        <f>SUM('Revenues 9-14'!D149,'Revenues 9-14'!F149)</f>
        <v>0</v>
      </c>
      <c r="G29" s="701"/>
    </row>
    <row r="30" spans="1:7" x14ac:dyDescent="0.2">
      <c r="A30" s="705" t="s">
        <v>1090</v>
      </c>
      <c r="B30" s="706" t="s">
        <v>1903</v>
      </c>
      <c r="C30" s="716">
        <f>'Revenues 9-14'!B150</f>
        <v>3499</v>
      </c>
      <c r="D30" s="717" t="str">
        <f>'Revenues 9-14'!A150</f>
        <v>Adult Ed - Other (Describe &amp; Itemize)</v>
      </c>
      <c r="E30" s="704"/>
      <c r="F30" s="1783">
        <f>('Revenues 9-14'!D150+'Revenues 9-14'!F150)</f>
        <v>0</v>
      </c>
      <c r="G30" s="701"/>
    </row>
    <row r="31" spans="1:7" x14ac:dyDescent="0.2">
      <c r="A31" s="705" t="s">
        <v>1090</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1090</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1455</v>
      </c>
      <c r="C34" s="721" t="str">
        <f>'Expenditures 15-22'!B7</f>
        <v>1125</v>
      </c>
      <c r="D34" s="722" t="str">
        <f>'Expenditures 15-22'!A7</f>
        <v>Pre-K Programs</v>
      </c>
      <c r="E34" s="704"/>
      <c r="F34" s="1782">
        <f>'Expenditures 15-22'!K7-SUM('Expenditures 15-22'!G7,'Expenditures 15-22'!I7)</f>
        <v>329888</v>
      </c>
      <c r="G34" s="701"/>
    </row>
    <row r="35" spans="1:7" x14ac:dyDescent="0.2">
      <c r="A35" s="705" t="s">
        <v>456</v>
      </c>
      <c r="B35" s="705" t="s">
        <v>1456</v>
      </c>
      <c r="C35" s="721" t="str">
        <f>'Expenditures 15-22'!B9</f>
        <v>1225</v>
      </c>
      <c r="D35" s="722" t="str">
        <f>'Expenditures 15-22'!A9</f>
        <v>Special Education Programs Pre-K</v>
      </c>
      <c r="E35" s="704"/>
      <c r="F35" s="1782">
        <f>'Expenditures 15-22'!K9-SUM('Expenditures 15-22'!G9+'Expenditures 15-22'!I9)</f>
        <v>87006</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2">
        <f>'Expenditures 15-22'!K15-SUM('Expenditures 15-22'!G15,'Expenditures 15-22'!I15)</f>
        <v>40635</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650142</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1460</v>
      </c>
      <c r="C52" s="724" t="str">
        <f>'Expenditures 15-22'!B75</f>
        <v>3000</v>
      </c>
      <c r="D52" s="723" t="s">
        <v>446</v>
      </c>
      <c r="E52" s="704"/>
      <c r="F52" s="1782">
        <f>'Expenditures 15-22'!K75-SUM('Expenditures 15-22'!G75,'Expenditures 15-22'!I75)</f>
        <v>31295</v>
      </c>
      <c r="G52" s="701"/>
    </row>
    <row r="53" spans="1:7" x14ac:dyDescent="0.2">
      <c r="A53" s="705" t="s">
        <v>456</v>
      </c>
      <c r="B53" s="705" t="s">
        <v>1461</v>
      </c>
      <c r="C53" s="724">
        <f>'Expenditures 15-22'!B102</f>
        <v>4000</v>
      </c>
      <c r="D53" s="723" t="str">
        <f>'Expenditures 15-22'!A102</f>
        <v>Total Payments to Other Govt Units</v>
      </c>
      <c r="E53" s="704"/>
      <c r="F53" s="1782">
        <f>'Expenditures 15-22'!K102</f>
        <v>655472</v>
      </c>
      <c r="G53" s="701"/>
    </row>
    <row r="54" spans="1:7" x14ac:dyDescent="0.2">
      <c r="A54" s="705" t="s">
        <v>456</v>
      </c>
      <c r="B54" s="705" t="s">
        <v>1462</v>
      </c>
      <c r="C54" s="724" t="s">
        <v>975</v>
      </c>
      <c r="D54" s="720" t="s">
        <v>1088</v>
      </c>
      <c r="E54" s="704"/>
      <c r="F54" s="1782">
        <f>'Expenditures 15-22'!G114</f>
        <v>0</v>
      </c>
      <c r="G54" s="701"/>
    </row>
    <row r="55" spans="1:7" x14ac:dyDescent="0.2">
      <c r="A55" s="705" t="s">
        <v>456</v>
      </c>
      <c r="B55" s="705" t="s">
        <v>1463</v>
      </c>
      <c r="C55" s="724" t="s">
        <v>975</v>
      </c>
      <c r="D55" s="720" t="s">
        <v>288</v>
      </c>
      <c r="E55" s="704"/>
      <c r="F55" s="1782">
        <f>'Expenditures 15-22'!I114</f>
        <v>77457</v>
      </c>
      <c r="G55" s="701"/>
    </row>
    <row r="56" spans="1:7" x14ac:dyDescent="0.2">
      <c r="A56" s="705" t="s">
        <v>457</v>
      </c>
      <c r="B56" s="705" t="s">
        <v>1464</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1088</v>
      </c>
      <c r="E58" s="704"/>
      <c r="F58" s="1784">
        <f>'Expenditures 15-22'!G151</f>
        <v>0</v>
      </c>
      <c r="G58" s="701"/>
    </row>
    <row r="59" spans="1:7" x14ac:dyDescent="0.2">
      <c r="A59" s="728" t="s">
        <v>457</v>
      </c>
      <c r="B59" s="692" t="s">
        <v>1852</v>
      </c>
      <c r="C59" s="729" t="s">
        <v>975</v>
      </c>
      <c r="D59" s="692" t="s">
        <v>288</v>
      </c>
      <c r="F59" s="1785">
        <f>'Expenditures 15-22'!I151</f>
        <v>40890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1680000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1088</v>
      </c>
      <c r="E65" s="704"/>
      <c r="F65" s="1782">
        <f>'Expenditures 15-22'!G210</f>
        <v>0</v>
      </c>
      <c r="G65" s="701"/>
    </row>
    <row r="66" spans="1:9" x14ac:dyDescent="0.2">
      <c r="A66" s="705" t="s">
        <v>458</v>
      </c>
      <c r="B66" s="705" t="s">
        <v>1859</v>
      </c>
      <c r="C66" s="721" t="s">
        <v>975</v>
      </c>
      <c r="D66" s="720" t="s">
        <v>288</v>
      </c>
      <c r="E66" s="704"/>
      <c r="F66" s="1782">
        <f>'Expenditures 15-22'!I210</f>
        <v>2287</v>
      </c>
      <c r="G66" s="701"/>
    </row>
    <row r="67" spans="1:9" x14ac:dyDescent="0.2">
      <c r="A67" s="705" t="s">
        <v>459</v>
      </c>
      <c r="B67" s="705" t="s">
        <v>1860</v>
      </c>
      <c r="C67" s="721" t="str">
        <f>'Expenditures 15-22'!B216</f>
        <v>1125</v>
      </c>
      <c r="D67" s="727" t="str">
        <f>'Expenditures 15-22'!A216</f>
        <v>Pre-K Programs</v>
      </c>
      <c r="E67" s="704"/>
      <c r="F67" s="1782">
        <f>'Expenditures 15-22'!K216</f>
        <v>43439</v>
      </c>
      <c r="G67" s="701"/>
    </row>
    <row r="68" spans="1:9" x14ac:dyDescent="0.2">
      <c r="A68" s="705" t="s">
        <v>459</v>
      </c>
      <c r="B68" s="705" t="s">
        <v>1465</v>
      </c>
      <c r="C68" s="721" t="str">
        <f>'Expenditures 15-22'!B218</f>
        <v>1225</v>
      </c>
      <c r="D68" s="727" t="str">
        <f>'Expenditures 15-22'!A218</f>
        <v>Special Education Programs - Pre-K</v>
      </c>
      <c r="E68" s="704"/>
      <c r="F68" s="1782">
        <f>'Expenditures 15-22'!K218</f>
        <v>1149</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1570</v>
      </c>
      <c r="G71" s="701"/>
    </row>
    <row r="72" spans="1:9" x14ac:dyDescent="0.2">
      <c r="A72" s="705" t="s">
        <v>459</v>
      </c>
      <c r="B72" s="705" t="s">
        <v>1864</v>
      </c>
      <c r="C72" s="721">
        <f>'Expenditures 15-22'!B280</f>
        <v>3000</v>
      </c>
      <c r="D72" s="712" t="s">
        <v>446</v>
      </c>
      <c r="E72" s="704"/>
      <c r="F72" s="1782">
        <f>'Expenditures 15-22'!K280</f>
        <v>0</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1473</v>
      </c>
      <c r="E74" s="704"/>
      <c r="F74" s="1786">
        <f>'Expenditures 15-22'!K334</f>
        <v>0</v>
      </c>
      <c r="G74" s="701"/>
    </row>
    <row r="75" spans="1:9" x14ac:dyDescent="0.2">
      <c r="A75" s="705" t="s">
        <v>2005</v>
      </c>
      <c r="B75" s="705" t="s">
        <v>2006</v>
      </c>
      <c r="C75" s="721" t="s">
        <v>975</v>
      </c>
      <c r="D75" s="722" t="s">
        <v>1088</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3641230</v>
      </c>
      <c r="G77" s="701"/>
    </row>
    <row r="78" spans="1:9" s="728" customFormat="1" ht="12" customHeight="1" thickTop="1" thickBot="1" x14ac:dyDescent="0.25">
      <c r="A78" s="1450"/>
      <c r="B78" s="1448"/>
      <c r="C78" s="1445"/>
      <c r="D78" s="1449" t="s">
        <v>2009</v>
      </c>
      <c r="E78" s="1447"/>
      <c r="F78" s="1788">
        <f>(F14-F77)</f>
        <v>26135763</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1957.9</v>
      </c>
      <c r="G79" s="733"/>
      <c r="H79" s="705"/>
      <c r="I79" s="705"/>
    </row>
    <row r="80" spans="1:9" s="728" customFormat="1" ht="12" customHeight="1" thickBot="1" x14ac:dyDescent="0.25">
      <c r="A80" s="1452"/>
      <c r="B80" s="1448"/>
      <c r="C80" s="1445"/>
      <c r="D80" s="1449" t="s">
        <v>2010</v>
      </c>
      <c r="E80" s="1447" t="s">
        <v>952</v>
      </c>
      <c r="F80" s="1790">
        <f>IF(F79&gt;0,F78/F79," Complete Line 79")</f>
        <v>13348.875325603964</v>
      </c>
      <c r="G80" s="705"/>
    </row>
    <row r="81" spans="1:7" s="728" customFormat="1" ht="8.25" customHeight="1" thickTop="1" x14ac:dyDescent="0.2">
      <c r="A81" s="734"/>
      <c r="B81" s="705"/>
      <c r="C81" s="707"/>
      <c r="D81" s="735"/>
      <c r="E81" s="704"/>
      <c r="F81" s="1791"/>
      <c r="G81" s="705"/>
    </row>
    <row r="82" spans="1:7" s="728" customFormat="1" ht="12" thickBot="1" x14ac:dyDescent="0.25">
      <c r="A82" s="2366" t="s">
        <v>1098</v>
      </c>
      <c r="B82" s="2367"/>
      <c r="C82" s="2367"/>
      <c r="D82" s="2367"/>
      <c r="E82" s="2367"/>
      <c r="F82" s="236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3948</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188500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290845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3680</v>
      </c>
      <c r="G101" s="745"/>
    </row>
    <row r="102" spans="1:7" x14ac:dyDescent="0.2">
      <c r="A102" s="741" t="s">
        <v>139</v>
      </c>
      <c r="B102" s="741" t="s">
        <v>180</v>
      </c>
      <c r="C102" s="743">
        <f>'Revenues 9-14'!B95</f>
        <v>1910</v>
      </c>
      <c r="D102" s="744" t="str">
        <f>'Revenues 9-14'!A95</f>
        <v>Rentals</v>
      </c>
      <c r="E102" s="739"/>
      <c r="F102" s="1793">
        <f>SUM('Revenues 9-14'!C95:D95)</f>
        <v>102526</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10143</v>
      </c>
      <c r="G105" s="745"/>
    </row>
    <row r="106" spans="1:7" x14ac:dyDescent="0.2">
      <c r="A106" s="741" t="s">
        <v>500</v>
      </c>
      <c r="B106" s="741" t="s">
        <v>1907</v>
      </c>
      <c r="C106" s="746">
        <v>3100</v>
      </c>
      <c r="D106" s="752" t="str">
        <f>'Revenues 9-14'!A132</f>
        <v>Total Special Education</v>
      </c>
      <c r="E106" s="739"/>
      <c r="F106" s="1793">
        <f>SUM('Revenues 9-14'!C132:D132,'Revenues 9-14'!F132)</f>
        <v>316451</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1910</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1870</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0</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915295</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1923</v>
      </c>
      <c r="C122" s="761">
        <f>'Revenues 9-14'!B168</f>
        <v>3999</v>
      </c>
      <c r="D122" s="762" t="s">
        <v>540</v>
      </c>
      <c r="E122" s="764"/>
      <c r="F122" s="1793">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110518</v>
      </c>
      <c r="G126" s="763"/>
    </row>
    <row r="127" spans="1:7" x14ac:dyDescent="0.2">
      <c r="A127" s="760" t="s">
        <v>663</v>
      </c>
      <c r="B127" s="760" t="s">
        <v>1928</v>
      </c>
      <c r="C127" s="765">
        <v>4300</v>
      </c>
      <c r="D127" s="766" t="str">
        <f>'Revenues 9-14'!A204</f>
        <v>Total Title I</v>
      </c>
      <c r="E127" s="739"/>
      <c r="F127" s="1793">
        <f>SUM('Revenues 9-14'!C204,'Revenues 9-14'!D204,'Revenues 9-14'!F204,'Revenues 9-14'!G204)</f>
        <v>240979</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7160</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583199</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1403</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1413</v>
      </c>
      <c r="D159" s="774" t="s">
        <v>1414</v>
      </c>
      <c r="E159" s="775"/>
      <c r="F159" s="1793">
        <f>SUM('Revenues 9-14'!C253)</f>
        <v>0</v>
      </c>
      <c r="G159" s="738"/>
    </row>
    <row r="160" spans="1:7" s="703" customFormat="1" x14ac:dyDescent="0.2">
      <c r="A160" s="771" t="s">
        <v>497</v>
      </c>
      <c r="B160" s="772" t="s">
        <v>1950</v>
      </c>
      <c r="C160" s="773" t="s">
        <v>1452</v>
      </c>
      <c r="D160" s="774" t="s">
        <v>1453</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174</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19839</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51851</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33623</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128357</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1882</v>
      </c>
      <c r="C172" s="1531">
        <v>3100</v>
      </c>
      <c r="D172" s="1532" t="s">
        <v>1884</v>
      </c>
      <c r="E172" s="739"/>
      <c r="F172" s="1794">
        <v>699942</v>
      </c>
      <c r="G172" s="760"/>
    </row>
    <row r="173" spans="1:7" x14ac:dyDescent="0.2">
      <c r="A173" s="1529" t="s">
        <v>659</v>
      </c>
      <c r="B173" s="1530" t="s">
        <v>1882</v>
      </c>
      <c r="C173" s="1531">
        <v>3300</v>
      </c>
      <c r="D173" s="1532" t="s">
        <v>1885</v>
      </c>
      <c r="E173" s="739"/>
      <c r="F173" s="1794">
        <v>25728</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3786538</v>
      </c>
    </row>
    <row r="176" spans="1:7" ht="12" customHeight="1" x14ac:dyDescent="0.2">
      <c r="A176" s="1443"/>
      <c r="B176" s="1453"/>
      <c r="C176" s="1454"/>
      <c r="D176" s="1455" t="s">
        <v>2011</v>
      </c>
      <c r="E176" s="1456"/>
      <c r="F176" s="1793">
        <f>'PCTC-OEPP 27-28'!F78-F175</f>
        <v>22349225</v>
      </c>
    </row>
    <row r="177" spans="1:9" ht="12" customHeight="1" x14ac:dyDescent="0.2">
      <c r="A177" s="1443"/>
      <c r="B177" s="1453"/>
      <c r="C177" s="1454"/>
      <c r="D177" s="1455" t="s">
        <v>1794</v>
      </c>
      <c r="E177" s="1456"/>
      <c r="F177" s="1793">
        <f>'Cap Outlay Deprec 26'!I18</f>
        <v>1609201.4</v>
      </c>
    </row>
    <row r="178" spans="1:9" ht="12" customHeight="1" x14ac:dyDescent="0.2">
      <c r="A178" s="1443"/>
      <c r="B178" s="1453"/>
      <c r="C178" s="1454"/>
      <c r="D178" s="1455" t="s">
        <v>2012</v>
      </c>
      <c r="E178" s="1456"/>
      <c r="F178" s="1793">
        <f>F176+F177</f>
        <v>23958426.399999999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1957.9</v>
      </c>
      <c r="G179" s="763"/>
      <c r="I179" s="701"/>
    </row>
    <row r="180" spans="1:9" ht="12" customHeight="1" thickBot="1" x14ac:dyDescent="0.25">
      <c r="A180" s="1443"/>
      <c r="B180" s="1457"/>
      <c r="C180" s="1454"/>
      <c r="D180" s="1455" t="s">
        <v>2014</v>
      </c>
      <c r="E180" s="1456" t="s">
        <v>1531</v>
      </c>
      <c r="F180" s="1798">
        <f>F178/F179</f>
        <v>12236.797793554317</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0" zoomScaleNormal="100" workbookViewId="0">
      <selection activeCell="B28" sqref="B28"/>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1805</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80" t="s">
        <v>1795</v>
      </c>
      <c r="B4" s="2381"/>
      <c r="C4" s="2381"/>
      <c r="D4" s="2381"/>
      <c r="E4" s="2381"/>
      <c r="F4" s="2382"/>
    </row>
    <row r="5" spans="1:6" x14ac:dyDescent="0.25">
      <c r="A5" s="2383"/>
      <c r="B5" s="2384"/>
      <c r="C5" s="2384"/>
      <c r="D5" s="2384"/>
      <c r="E5" s="2384"/>
      <c r="F5" s="2385"/>
    </row>
    <row r="6" spans="1:6" ht="18.75" x14ac:dyDescent="0.25">
      <c r="A6" s="1867" t="s">
        <v>1796</v>
      </c>
      <c r="B6" s="1868"/>
      <c r="C6" s="1869"/>
      <c r="D6" s="1869"/>
      <c r="E6" s="1869"/>
      <c r="F6" s="1870"/>
    </row>
    <row r="7" spans="1:6" ht="47.25" customHeight="1" x14ac:dyDescent="0.25">
      <c r="A7" s="2386" t="s">
        <v>1982</v>
      </c>
      <c r="B7" s="2387"/>
      <c r="C7" s="2387"/>
      <c r="D7" s="2387"/>
      <c r="E7" s="2387"/>
      <c r="F7" s="2388"/>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89" t="s">
        <v>1978</v>
      </c>
      <c r="B10" s="2390"/>
      <c r="C10" s="2390"/>
      <c r="D10" s="2390"/>
      <c r="E10" s="2390"/>
      <c r="F10" s="2391"/>
    </row>
    <row r="11" spans="1:6" ht="33" customHeight="1" x14ac:dyDescent="0.25">
      <c r="A11" s="2386" t="s">
        <v>1983</v>
      </c>
      <c r="B11" s="2387"/>
      <c r="C11" s="2387"/>
      <c r="D11" s="2387"/>
      <c r="E11" s="2387"/>
      <c r="F11" s="2388"/>
    </row>
    <row r="12" spans="1:6" ht="15" customHeight="1" x14ac:dyDescent="0.25">
      <c r="A12" s="1873" t="s">
        <v>1979</v>
      </c>
      <c r="B12" s="1874"/>
      <c r="C12" s="1875"/>
      <c r="D12" s="1875"/>
      <c r="E12" s="1875"/>
      <c r="F12" s="1876"/>
    </row>
    <row r="13" spans="1:6" ht="17.25" customHeight="1" x14ac:dyDescent="0.25">
      <c r="A13" s="2386" t="s">
        <v>1980</v>
      </c>
      <c r="B13" s="2387"/>
      <c r="C13" s="2387"/>
      <c r="D13" s="2387"/>
      <c r="E13" s="2387"/>
      <c r="F13" s="2388"/>
    </row>
    <row r="14" spans="1:6" ht="15" customHeight="1" x14ac:dyDescent="0.25">
      <c r="A14" s="1873" t="s">
        <v>1798</v>
      </c>
      <c r="B14" s="1874"/>
      <c r="C14" s="1875"/>
      <c r="D14" s="1875"/>
      <c r="E14" s="1875"/>
      <c r="F14" s="1876"/>
    </row>
    <row r="15" spans="1:6" ht="32.25" customHeight="1" x14ac:dyDescent="0.2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25">
      <c r="A16" s="1877" t="s">
        <v>1799</v>
      </c>
      <c r="B16" s="1878" t="s">
        <v>1800</v>
      </c>
      <c r="C16" s="1877" t="s">
        <v>1801</v>
      </c>
      <c r="D16" s="1879" t="s">
        <v>1802</v>
      </c>
      <c r="E16" s="1879" t="s">
        <v>1803</v>
      </c>
      <c r="F16" s="1879" t="s">
        <v>1804</v>
      </c>
    </row>
    <row r="17" spans="1:7" x14ac:dyDescent="0.25">
      <c r="A17" s="1880"/>
      <c r="B17" s="1907"/>
      <c r="C17" s="1881"/>
      <c r="D17" s="1882"/>
      <c r="E17" s="1882">
        <f>IF(D17&lt;25000,D17,"25,000")</f>
        <v>0</v>
      </c>
      <c r="F17" s="1883" t="str">
        <f>IF(D17&gt;=25000,(D17-E17),"0")</f>
        <v>0</v>
      </c>
    </row>
    <row r="18" spans="1:7" x14ac:dyDescent="0.25">
      <c r="A18" s="2035" t="s">
        <v>2061</v>
      </c>
      <c r="B18" s="1908">
        <v>102560300</v>
      </c>
      <c r="C18" s="2036" t="s">
        <v>2065</v>
      </c>
      <c r="D18" s="1886">
        <v>257029</v>
      </c>
      <c r="E18" s="1906" t="str">
        <f t="shared" ref="E18:E81" si="0">IF(D18&lt;25000,D18,"25,000")</f>
        <v>25,000</v>
      </c>
      <c r="F18" s="1906">
        <f t="shared" ref="F18:F81" si="1">IF(D18&gt;=25000,(D18-E18),"0")</f>
        <v>232029</v>
      </c>
      <c r="G18" s="1887"/>
    </row>
    <row r="19" spans="1:7" x14ac:dyDescent="0.25">
      <c r="A19" s="2035" t="s">
        <v>2062</v>
      </c>
      <c r="B19" s="1908">
        <v>202540300</v>
      </c>
      <c r="C19" s="2036" t="s">
        <v>2066</v>
      </c>
      <c r="D19" s="1886">
        <v>66138</v>
      </c>
      <c r="E19" s="1906" t="str">
        <f t="shared" si="0"/>
        <v>25,000</v>
      </c>
      <c r="F19" s="1906">
        <f t="shared" si="1"/>
        <v>41138</v>
      </c>
    </row>
    <row r="20" spans="1:7" x14ac:dyDescent="0.25">
      <c r="A20" s="2035" t="s">
        <v>2063</v>
      </c>
      <c r="B20" s="1908">
        <v>402550400</v>
      </c>
      <c r="C20" s="2036" t="s">
        <v>2067</v>
      </c>
      <c r="D20" s="1886">
        <v>51297</v>
      </c>
      <c r="E20" s="1906" t="str">
        <f t="shared" si="0"/>
        <v>25,000</v>
      </c>
      <c r="F20" s="1906">
        <f t="shared" si="1"/>
        <v>26297</v>
      </c>
    </row>
    <row r="21" spans="1:7" x14ac:dyDescent="0.25">
      <c r="A21" s="2035" t="s">
        <v>2062</v>
      </c>
      <c r="B21" s="1908">
        <v>202540300</v>
      </c>
      <c r="C21" s="2036" t="s">
        <v>2068</v>
      </c>
      <c r="D21" s="1886">
        <v>90340</v>
      </c>
      <c r="E21" s="1906" t="str">
        <f t="shared" si="0"/>
        <v>25,000</v>
      </c>
      <c r="F21" s="1906">
        <f t="shared" si="1"/>
        <v>65340</v>
      </c>
    </row>
    <row r="22" spans="1:7" x14ac:dyDescent="0.25">
      <c r="A22" s="2035" t="s">
        <v>2062</v>
      </c>
      <c r="B22" s="1908">
        <v>202540300</v>
      </c>
      <c r="C22" s="2036" t="s">
        <v>2069</v>
      </c>
      <c r="D22" s="1886">
        <v>60664</v>
      </c>
      <c r="E22" s="1906" t="str">
        <f t="shared" si="0"/>
        <v>25,000</v>
      </c>
      <c r="F22" s="1906">
        <f t="shared" si="1"/>
        <v>35664</v>
      </c>
    </row>
    <row r="23" spans="1:7" x14ac:dyDescent="0.25">
      <c r="A23" s="2038" t="s">
        <v>2175</v>
      </c>
      <c r="B23" s="1908">
        <v>102660400</v>
      </c>
      <c r="C23" s="2039" t="s">
        <v>2176</v>
      </c>
      <c r="D23" s="1886">
        <v>34654</v>
      </c>
      <c r="E23" s="1906" t="str">
        <f t="shared" si="0"/>
        <v>25,000</v>
      </c>
      <c r="F23" s="1906">
        <f t="shared" si="1"/>
        <v>9654</v>
      </c>
    </row>
    <row r="24" spans="1:7" x14ac:dyDescent="0.25">
      <c r="A24" s="2038" t="s">
        <v>2063</v>
      </c>
      <c r="B24" s="1908">
        <v>402550300</v>
      </c>
      <c r="C24" s="2039" t="s">
        <v>2074</v>
      </c>
      <c r="D24" s="1886">
        <v>193374</v>
      </c>
      <c r="E24" s="1906" t="str">
        <f t="shared" si="0"/>
        <v>25,000</v>
      </c>
      <c r="F24" s="1906">
        <f t="shared" si="1"/>
        <v>168374</v>
      </c>
    </row>
    <row r="25" spans="1:7" x14ac:dyDescent="0.25">
      <c r="A25" s="2035" t="s">
        <v>2063</v>
      </c>
      <c r="B25" s="1908">
        <v>402550300</v>
      </c>
      <c r="C25" s="2036" t="s">
        <v>2070</v>
      </c>
      <c r="D25" s="1886">
        <v>86630</v>
      </c>
      <c r="E25" s="1906" t="str">
        <f t="shared" si="0"/>
        <v>25,000</v>
      </c>
      <c r="F25" s="1906">
        <f t="shared" si="1"/>
        <v>61630</v>
      </c>
    </row>
    <row r="26" spans="1:7" x14ac:dyDescent="0.25">
      <c r="A26" s="2035" t="s">
        <v>2064</v>
      </c>
      <c r="B26" s="1908">
        <v>102520300</v>
      </c>
      <c r="C26" s="2036" t="s">
        <v>2071</v>
      </c>
      <c r="D26" s="1886">
        <v>38790</v>
      </c>
      <c r="E26" s="1906" t="str">
        <f t="shared" si="0"/>
        <v>25,000</v>
      </c>
      <c r="F26" s="1906">
        <f t="shared" si="1"/>
        <v>13790</v>
      </c>
    </row>
    <row r="27" spans="1:7" x14ac:dyDescent="0.25">
      <c r="A27" s="2035" t="s">
        <v>2062</v>
      </c>
      <c r="B27" s="1908">
        <v>202540300</v>
      </c>
      <c r="C27" s="2036" t="s">
        <v>2072</v>
      </c>
      <c r="D27" s="1886">
        <v>272738</v>
      </c>
      <c r="E27" s="1906" t="str">
        <f t="shared" si="0"/>
        <v>25,000</v>
      </c>
      <c r="F27" s="1906">
        <f t="shared" si="1"/>
        <v>247738</v>
      </c>
    </row>
    <row r="28" spans="1:7" x14ac:dyDescent="0.25">
      <c r="A28" s="2035" t="s">
        <v>2062</v>
      </c>
      <c r="B28" s="1908">
        <v>202540300</v>
      </c>
      <c r="C28" s="2036" t="s">
        <v>2073</v>
      </c>
      <c r="D28" s="1886">
        <v>30896</v>
      </c>
      <c r="E28" s="1906" t="str">
        <f t="shared" si="0"/>
        <v>25,000</v>
      </c>
      <c r="F28" s="1906">
        <f t="shared" si="1"/>
        <v>5896</v>
      </c>
    </row>
    <row r="29" spans="1:7" x14ac:dyDescent="0.25">
      <c r="A29" s="2035"/>
      <c r="B29" s="1908"/>
      <c r="C29" s="2036"/>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1182550</v>
      </c>
      <c r="E142" s="1893">
        <f>SUM(E18:E141)</f>
        <v>0</v>
      </c>
      <c r="F142" s="1894">
        <f>SUM(F18:F141)</f>
        <v>907550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123825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123825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1107</v>
      </c>
      <c r="B1" s="1370"/>
      <c r="C1" s="1371"/>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2" t="s">
        <v>1663</v>
      </c>
      <c r="B5" s="2393"/>
      <c r="C5" s="2393"/>
      <c r="D5" s="2393"/>
      <c r="E5" s="2393"/>
      <c r="F5" s="2393"/>
      <c r="G5" s="239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v>262624</v>
      </c>
      <c r="F10" s="805"/>
      <c r="G10" s="806"/>
      <c r="H10" s="157"/>
      <c r="I10" s="157"/>
    </row>
    <row r="11" spans="1:13" s="542" customFormat="1" ht="22.5" customHeight="1" x14ac:dyDescent="0.2">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801">
        <v>17989</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16055277</v>
      </c>
      <c r="F19" s="1802"/>
      <c r="G19" s="1804">
        <f>'Expenditures 15-22'!K33-SUM('Expenditures 15-22'!G33,'Expenditures 15-22'!I33)+'Expenditures 15-22'!D229</f>
        <v>16055277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2155384</v>
      </c>
      <c r="F21" s="1805"/>
      <c r="G21" s="1808">
        <f>'Expenditures 15-22'!K42-SUM('Expenditures 15-22'!G42,'Expenditures 15-22'!I42)+'Expenditures 15-22'!K120-SUM('Expenditures 15-22'!G120,'Expenditures 15-22'!I120)+'Expenditures 15-22'!K180-SUM('Expenditures 15-22'!G180,'Expenditures 15-22'!I180)+'Expenditures 15-22'!D238</f>
        <v>2155384</v>
      </c>
      <c r="H21" s="817"/>
      <c r="I21" s="157"/>
    </row>
    <row r="22" spans="1:9" s="542" customFormat="1" ht="12" customHeight="1" x14ac:dyDescent="0.2">
      <c r="A22" s="824" t="s">
        <v>560</v>
      </c>
      <c r="B22" s="825"/>
      <c r="C22" s="823">
        <v>2200</v>
      </c>
      <c r="D22" s="1805"/>
      <c r="E22" s="1807">
        <f>'Expenditures 15-22'!K47-SUM('Expenditures 15-22'!G47,'Expenditures 15-22'!I47)+'Expenditures 15-22'!D243</f>
        <v>1077862</v>
      </c>
      <c r="F22" s="1805"/>
      <c r="G22" s="1808">
        <f>'Expenditures 15-22'!K47-SUM('Expenditures 15-22'!G47,'Expenditures 15-22'!I47)+'Expenditures 15-22'!D243</f>
        <v>1077862</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714985</v>
      </c>
      <c r="F23" s="1805"/>
      <c r="G23" s="1807">
        <f>'Expenditures 15-22'!K53-SUM('Expenditures 15-22'!G53,'Expenditures 15-22'!I53)+'Expenditures 15-22'!D257+'Expenditures 15-22'!K330-SUM('Expenditures 15-22'!G330,'Expenditures 15-22'!I330)</f>
        <v>714985</v>
      </c>
      <c r="H23" s="817"/>
      <c r="I23" s="157"/>
    </row>
    <row r="24" spans="1:9" s="542" customFormat="1" ht="12" customHeight="1" x14ac:dyDescent="0.2">
      <c r="A24" s="824" t="s">
        <v>562</v>
      </c>
      <c r="B24" s="825"/>
      <c r="C24" s="823">
        <v>2400</v>
      </c>
      <c r="D24" s="1805"/>
      <c r="E24" s="1807">
        <f>'Expenditures 15-22'!K57-SUM('Expenditures 15-22'!G57,'Expenditures 15-22'!I57)+'Expenditures 15-22'!D261</f>
        <v>1202187</v>
      </c>
      <c r="F24" s="1805"/>
      <c r="G24" s="1808">
        <f>'Expenditures 15-22'!K57-SUM('Expenditures 15-22'!G57,'Expenditures 15-22'!I57)+'Expenditures 15-22'!D261</f>
        <v>1202187</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273455</v>
      </c>
      <c r="E26" s="1807">
        <f>'Expenditures 15-22'!K122-SUM('Expenditures 15-22'!G122,'Expenditures 15-22'!I122)+E7</f>
        <v>0</v>
      </c>
      <c r="F26" s="1807">
        <f>'Expenditures 15-22'!K59-SUM('Expenditures 15-22'!G59,'Expenditures 15-22'!I59)+'Expenditures 15-22'!D263-E7</f>
        <v>273455</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237598</v>
      </c>
      <c r="E27" s="1807">
        <f>E8</f>
        <v>0</v>
      </c>
      <c r="F27" s="1807">
        <f>'Expenditures 15-22'!K60-SUM('Expenditures 15-22'!G60,'Expenditures 15-22'!I60)+'Expenditures 15-22'!D264-E8</f>
        <v>237598</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2272711</v>
      </c>
      <c r="F28" s="1809">
        <f>'Expenditures 15-22'!K61-SUM('Expenditures 15-22'!G61,'Expenditures 15-22'!I61)+'Expenditures 15-22'!K124-SUM('Expenditures 15-22'!G124,'Expenditures 15-22'!I124)+'Expenditures 15-22'!D266-E9</f>
        <v>2272711</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1891360</v>
      </c>
      <c r="F29" s="1805"/>
      <c r="G29" s="1808">
        <f>'Expenditures 15-22'!K62-SUM('Expenditures 15-22'!G62,'Expenditures 15-22'!I62)+'Expenditures 15-22'!K125-SUM('Expenditures 15-22'!G125,'Expenditures 15-22'!I125)+'Expenditures 15-22'!K182-SUM('Expenditures 15-22'!G182,'Expenditures 15-22'!I182)+'Expenditures 15-22'!D267</f>
        <v>1891360</v>
      </c>
      <c r="H29" s="815"/>
    </row>
    <row r="30" spans="1:9" ht="12" customHeight="1" x14ac:dyDescent="0.2">
      <c r="A30" s="824" t="s">
        <v>100</v>
      </c>
      <c r="B30" s="827"/>
      <c r="C30" s="823">
        <v>2560</v>
      </c>
      <c r="D30" s="1805"/>
      <c r="E30" s="1807">
        <f>'Expenditures 15-22'!K63-SUM('Expenditures 15-22'!G63,'Expenditures 15-22'!I63)+'Expenditures 15-22'!D268-E10</f>
        <v>126109</v>
      </c>
      <c r="F30" s="1805"/>
      <c r="G30" s="1807">
        <f>'Expenditures 15-22'!K63-SUM('Expenditures 15-22'!G63,'Expenditures 15-22'!I63)+'Expenditures 15-22'!D268-E10</f>
        <v>126109</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1054</v>
      </c>
      <c r="B35" s="827"/>
      <c r="C35" s="823">
        <v>2630</v>
      </c>
      <c r="D35" s="1805"/>
      <c r="E35" s="1807">
        <f>'Expenditures 15-22'!K69-SUM('Expenditures 15-22'!G69,'Expenditures 15-22'!I69)+'Expenditures 15-22'!D274</f>
        <v>56415</v>
      </c>
      <c r="F35" s="1805"/>
      <c r="G35" s="1807">
        <f>'Expenditures 15-22'!K69-SUM('Expenditures 15-22'!G69,'Expenditures 15-22'!I69)+'Expenditures 15-22'!D274</f>
        <v>56415</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804089</v>
      </c>
      <c r="E37" s="1807">
        <f>E14</f>
        <v>0</v>
      </c>
      <c r="F37" s="1807">
        <f>'Expenditures 15-22'!K71-SUM('Expenditures 15-22'!G71,'Expenditures 15-22'!I71)+'Expenditures 15-22'!D276-E14</f>
        <v>804089</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31295</v>
      </c>
      <c r="F39" s="1805"/>
      <c r="G39" s="1807">
        <f>'Expenditures 15-22'!K75-SUM('Expenditures 15-22'!G75,'Expenditures 15-22'!I75)+'Expenditures 15-22'!K130-SUM('Expenditures 15-22'!G130,'Expenditures 15-22'!I130)+'Expenditures 15-22'!K185-SUM('Expenditures 15-22'!G185,'Expenditures 15-22'!I185)+'Expenditures 15-22'!D280</f>
        <v>31295</v>
      </c>
    </row>
    <row r="40" spans="1:7" ht="12" customHeight="1" x14ac:dyDescent="0.2">
      <c r="A40" s="820" t="s">
        <v>1797</v>
      </c>
      <c r="B40" s="821"/>
      <c r="C40" s="823"/>
      <c r="D40" s="1805"/>
      <c r="E40" s="1809">
        <f>-'Contracts Paid in CY 29'!F142</f>
        <v>-907550</v>
      </c>
      <c r="F40" s="1805"/>
      <c r="G40" s="1809">
        <f>-'Contracts Paid in CY 29'!F142</f>
        <v>-907550</v>
      </c>
    </row>
    <row r="41" spans="1:7" ht="12" customHeight="1" x14ac:dyDescent="0.2">
      <c r="A41" s="828" t="s">
        <v>155</v>
      </c>
      <c r="B41" s="829"/>
      <c r="C41" s="830"/>
      <c r="D41" s="1809">
        <f>SUM(D19:D39)</f>
        <v>1315142</v>
      </c>
      <c r="E41" s="1809">
        <f>SUM(E19:E40)</f>
        <v>24676035</v>
      </c>
      <c r="F41" s="1809">
        <f>SUM(F19:F39)</f>
        <v>3587853</v>
      </c>
      <c r="G41" s="1809">
        <f>SUM(G19:G40)</f>
        <v>22403324</v>
      </c>
    </row>
    <row r="42" spans="1:7" x14ac:dyDescent="0.2">
      <c r="A42" s="817"/>
      <c r="B42" s="157"/>
      <c r="C42" s="831"/>
      <c r="D42" s="2395" t="s">
        <v>519</v>
      </c>
      <c r="E42" s="2396"/>
      <c r="F42" s="832" t="s">
        <v>520</v>
      </c>
      <c r="G42" s="833"/>
    </row>
    <row r="43" spans="1:7" ht="12" customHeight="1" x14ac:dyDescent="0.2">
      <c r="A43" s="817"/>
      <c r="B43" s="157"/>
      <c r="C43" s="831"/>
      <c r="D43" s="1458" t="s">
        <v>470</v>
      </c>
      <c r="E43" s="1810">
        <f>D41</f>
        <v>1315142</v>
      </c>
      <c r="F43" s="1458" t="s">
        <v>470</v>
      </c>
      <c r="G43" s="1810">
        <f>F41</f>
        <v>3587853</v>
      </c>
    </row>
    <row r="44" spans="1:7" ht="12" customHeight="1" x14ac:dyDescent="0.2">
      <c r="A44" s="817"/>
      <c r="B44" s="157"/>
      <c r="C44" s="831"/>
      <c r="D44" s="1458" t="s">
        <v>471</v>
      </c>
      <c r="E44" s="1810">
        <f>E41</f>
        <v>24676035</v>
      </c>
      <c r="F44" s="1458" t="s">
        <v>471</v>
      </c>
      <c r="G44" s="1810">
        <f>G41</f>
        <v>22403324</v>
      </c>
    </row>
    <row r="45" spans="1:7" ht="12" customHeight="1" x14ac:dyDescent="0.2">
      <c r="A45" s="817"/>
      <c r="B45" s="157"/>
      <c r="C45" s="157"/>
      <c r="D45" s="1459" t="s">
        <v>999</v>
      </c>
      <c r="E45" s="1811">
        <f>(E43/E44)</f>
        <v>5.3296325767085352E-2</v>
      </c>
      <c r="F45" s="1459" t="s">
        <v>999</v>
      </c>
      <c r="G45" s="1811">
        <f>(G43/G44)</f>
        <v>0.16014824407306702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0" zoomScale="110" zoomScaleNormal="110" workbookViewId="0">
      <selection activeCell="F27" sqref="F2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3" t="s">
        <v>1365</v>
      </c>
      <c r="B1" s="2403"/>
      <c r="C1" s="2403"/>
      <c r="D1" s="2403"/>
      <c r="E1" s="2403"/>
      <c r="F1" s="2403"/>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4" t="s">
        <v>1532</v>
      </c>
      <c r="B5" s="2405"/>
      <c r="C5" s="2406"/>
      <c r="D5" s="2406"/>
      <c r="E5" s="2406"/>
      <c r="F5" s="2406"/>
      <c r="G5" s="1507"/>
      <c r="L5" s="1507"/>
      <c r="M5" s="1855"/>
      <c r="N5" s="1855"/>
      <c r="O5" s="1855"/>
    </row>
    <row r="6" spans="1:15" ht="12" customHeight="1" x14ac:dyDescent="0.25">
      <c r="A6" s="1480"/>
      <c r="B6" s="1481"/>
      <c r="C6" s="2407" t="str">
        <f>COVER!A17</f>
        <v xml:space="preserve">  Palos CCSD 118</v>
      </c>
      <c r="D6" s="2407"/>
      <c r="E6" s="2407"/>
      <c r="F6" s="1482"/>
      <c r="G6" s="1507"/>
      <c r="L6" s="1507"/>
      <c r="M6" s="1855"/>
      <c r="N6" s="1855"/>
      <c r="O6" s="1855"/>
    </row>
    <row r="7" spans="1:15" ht="11.25" customHeight="1" thickBot="1" x14ac:dyDescent="0.3">
      <c r="A7" s="1480"/>
      <c r="B7" s="1481"/>
      <c r="C7" s="2408">
        <f>COVER!A13</f>
        <v>7016118004</v>
      </c>
      <c r="D7" s="2408"/>
      <c r="E7" s="2408"/>
      <c r="F7" s="1482"/>
      <c r="G7" s="1507"/>
      <c r="L7" s="1507"/>
      <c r="M7" s="1855"/>
      <c r="N7" s="1855"/>
      <c r="O7" s="1855"/>
    </row>
    <row r="8" spans="1:15" ht="25.5" customHeight="1" thickBot="1" x14ac:dyDescent="0.25">
      <c r="A8" s="1519" t="s">
        <v>1871</v>
      </c>
      <c r="B8" s="1483"/>
      <c r="C8" s="1515" t="s">
        <v>1665</v>
      </c>
      <c r="D8" s="1514" t="s">
        <v>1666</v>
      </c>
      <c r="E8" s="1516" t="s">
        <v>1366</v>
      </c>
      <c r="F8" s="1514" t="s">
        <v>1667</v>
      </c>
      <c r="G8" s="1507"/>
      <c r="H8" s="1484" t="b">
        <v>0</v>
      </c>
      <c r="L8" s="1507"/>
      <c r="M8" s="1855"/>
      <c r="N8" s="1855"/>
      <c r="O8" s="1855"/>
    </row>
    <row r="9" spans="1:15" ht="15.75" customHeight="1" x14ac:dyDescent="0.2">
      <c r="A9" s="1485" t="s">
        <v>1528</v>
      </c>
      <c r="B9" s="1486"/>
      <c r="C9" s="1487"/>
      <c r="D9" s="1487"/>
      <c r="E9" s="1488"/>
      <c r="F9" s="1489"/>
      <c r="G9" s="1507"/>
      <c r="L9" s="1507"/>
      <c r="M9" s="1855"/>
      <c r="N9" s="1855"/>
      <c r="O9" s="1855"/>
    </row>
    <row r="10" spans="1:15" ht="27.75" customHeight="1" x14ac:dyDescent="0.2">
      <c r="A10" s="1490" t="s">
        <v>1664</v>
      </c>
      <c r="B10" s="1491"/>
      <c r="C10" s="1492"/>
      <c r="D10" s="1492"/>
      <c r="E10" s="1517" t="s">
        <v>1367</v>
      </c>
      <c r="F10" s="1518" t="s">
        <v>1368</v>
      </c>
      <c r="G10" s="1507"/>
      <c r="L10" s="1507"/>
      <c r="M10" s="1855"/>
      <c r="N10" s="1855"/>
      <c r="O10" s="1855"/>
    </row>
    <row r="11" spans="1:15" ht="12" customHeight="1" x14ac:dyDescent="0.2">
      <c r="A11" s="1493" t="s">
        <v>1369</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1370</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1371</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1372</v>
      </c>
      <c r="B14" s="1494"/>
      <c r="C14" s="1495" t="s">
        <v>2045</v>
      </c>
      <c r="D14" s="1495" t="s">
        <v>2045</v>
      </c>
      <c r="E14" s="1498"/>
      <c r="F14" s="1497" t="s">
        <v>2075</v>
      </c>
      <c r="G14" s="1507"/>
      <c r="H14" s="1507">
        <f t="shared" si="0"/>
        <v>5</v>
      </c>
      <c r="I14" s="1507">
        <f t="shared" si="1"/>
        <v>5</v>
      </c>
      <c r="J14" s="1507">
        <f t="shared" si="2"/>
        <v>0</v>
      </c>
      <c r="L14" s="1507"/>
      <c r="M14" s="1855"/>
      <c r="N14" s="1855"/>
      <c r="O14" s="1855"/>
    </row>
    <row r="15" spans="1:15" ht="12" customHeight="1" x14ac:dyDescent="0.2">
      <c r="A15" s="1493" t="s">
        <v>1373</v>
      </c>
      <c r="B15" s="1494"/>
      <c r="C15" s="1495" t="s">
        <v>2045</v>
      </c>
      <c r="D15" s="1495" t="s">
        <v>2045</v>
      </c>
      <c r="E15" s="1498"/>
      <c r="F15" s="1497" t="s">
        <v>2076</v>
      </c>
      <c r="G15" s="1507"/>
      <c r="H15" s="1507">
        <f t="shared" si="0"/>
        <v>5</v>
      </c>
      <c r="I15" s="1507">
        <f t="shared" si="1"/>
        <v>5</v>
      </c>
      <c r="J15" s="1507">
        <f t="shared" si="2"/>
        <v>0</v>
      </c>
      <c r="L15" s="1507"/>
      <c r="M15" s="1855"/>
      <c r="N15" s="1855"/>
      <c r="O15" s="1855"/>
    </row>
    <row r="16" spans="1:15" ht="12" customHeight="1" x14ac:dyDescent="0.2">
      <c r="A16" s="1493" t="s">
        <v>1374</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1375</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1376</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1513</v>
      </c>
      <c r="B19" s="1494"/>
      <c r="C19" s="1495" t="s">
        <v>2045</v>
      </c>
      <c r="D19" s="1495" t="s">
        <v>2045</v>
      </c>
      <c r="E19" s="1498"/>
      <c r="F19" s="1497" t="s">
        <v>2077</v>
      </c>
      <c r="G19" s="1507"/>
      <c r="H19" s="1507">
        <f t="shared" si="0"/>
        <v>5</v>
      </c>
      <c r="I19" s="1507">
        <f t="shared" si="1"/>
        <v>5</v>
      </c>
      <c r="J19" s="1507">
        <f t="shared" si="2"/>
        <v>0</v>
      </c>
      <c r="L19" s="1507"/>
      <c r="M19" s="1855"/>
      <c r="N19" s="1855"/>
      <c r="O19" s="1855"/>
    </row>
    <row r="20" spans="1:15" ht="12" customHeight="1" x14ac:dyDescent="0.2">
      <c r="A20" s="1493" t="s">
        <v>1514</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1515</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1516</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1517</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1518</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1519</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1520</v>
      </c>
      <c r="B26" s="1494"/>
      <c r="C26" s="1495" t="s">
        <v>2045</v>
      </c>
      <c r="D26" s="1495" t="s">
        <v>2045</v>
      </c>
      <c r="E26" s="1498"/>
      <c r="F26" s="1497" t="s">
        <v>2078</v>
      </c>
      <c r="G26" s="1507"/>
      <c r="H26" s="1507">
        <f t="shared" si="0"/>
        <v>5</v>
      </c>
      <c r="I26" s="1507">
        <f t="shared" si="1"/>
        <v>5</v>
      </c>
      <c r="J26" s="1507">
        <f t="shared" si="2"/>
        <v>0</v>
      </c>
      <c r="L26" s="1507"/>
      <c r="M26" s="1855"/>
      <c r="N26" s="1855"/>
      <c r="O26" s="1855"/>
    </row>
    <row r="27" spans="1:15" ht="18.75" x14ac:dyDescent="0.2">
      <c r="A27" s="1493" t="s">
        <v>1521</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1522</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1523</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1524</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1525</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1526</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1527</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20</v>
      </c>
      <c r="I34" s="1507">
        <f>SUM(I11:I32)</f>
        <v>20</v>
      </c>
      <c r="J34" s="1507">
        <f>SUM(J11:J32)</f>
        <v>0</v>
      </c>
      <c r="K34" s="1507">
        <f>SUM(H34:J34)</f>
        <v>40</v>
      </c>
      <c r="L34" s="1507"/>
      <c r="M34" s="1855"/>
      <c r="N34" s="1855"/>
      <c r="O34" s="1855"/>
    </row>
    <row r="35" spans="1:15" ht="12" customHeight="1" x14ac:dyDescent="0.2">
      <c r="A35" s="1500" t="s">
        <v>1378</v>
      </c>
      <c r="B35" s="1501"/>
      <c r="C35" s="2409"/>
      <c r="D35" s="2409"/>
      <c r="E35" s="2409"/>
      <c r="F35" s="2410"/>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14"/>
      <c r="B38" s="2415"/>
      <c r="C38" s="2415"/>
      <c r="D38" s="2415"/>
      <c r="E38" s="2415"/>
      <c r="F38" s="2416"/>
    </row>
    <row r="39" spans="1:15" ht="4.5" hidden="1" customHeight="1" x14ac:dyDescent="0.2">
      <c r="A39" s="1502"/>
      <c r="B39" s="1502"/>
      <c r="C39" s="1502"/>
      <c r="D39" s="1502"/>
      <c r="E39" s="1502"/>
      <c r="F39" s="1502"/>
    </row>
    <row r="40" spans="1:15" s="1499" customFormat="1" ht="12" customHeight="1" x14ac:dyDescent="0.25">
      <c r="A40" s="1503" t="s">
        <v>1377</v>
      </c>
      <c r="B40" s="1504"/>
      <c r="C40" s="2417"/>
      <c r="D40" s="2417"/>
      <c r="E40" s="2417"/>
      <c r="F40" s="2418"/>
      <c r="H40" s="1508"/>
      <c r="I40" s="1508"/>
      <c r="J40" s="1508"/>
      <c r="K40" s="1508"/>
    </row>
    <row r="41" spans="1:15" s="1499" customFormat="1" ht="12" customHeight="1" x14ac:dyDescent="0.25">
      <c r="A41" s="2419"/>
      <c r="B41" s="2420"/>
      <c r="C41" s="2420"/>
      <c r="D41" s="2420"/>
      <c r="E41" s="2420"/>
      <c r="F41" s="2421"/>
      <c r="H41" s="1508"/>
      <c r="I41" s="1508"/>
      <c r="J41" s="1508"/>
      <c r="K41" s="1508"/>
    </row>
    <row r="42" spans="1:15" s="1499" customFormat="1" ht="12" customHeight="1" x14ac:dyDescent="0.25">
      <c r="A42" s="2419"/>
      <c r="B42" s="2420"/>
      <c r="C42" s="2420"/>
      <c r="D42" s="2420"/>
      <c r="E42" s="2420"/>
      <c r="F42" s="2421"/>
      <c r="H42" s="1508"/>
      <c r="I42" s="1508"/>
      <c r="J42" s="1508"/>
      <c r="K42" s="1508"/>
    </row>
    <row r="43" spans="1:15" s="1499" customFormat="1" ht="15" x14ac:dyDescent="0.25">
      <c r="A43" s="2411"/>
      <c r="B43" s="2412"/>
      <c r="C43" s="2412"/>
      <c r="D43" s="2412"/>
      <c r="E43" s="2412"/>
      <c r="F43" s="2413"/>
      <c r="H43" s="1508"/>
      <c r="I43" s="1508"/>
      <c r="J43" s="1508"/>
      <c r="K43" s="1508"/>
    </row>
    <row r="44" spans="1:15" s="1499" customFormat="1" ht="12" hidden="1" customHeight="1" x14ac:dyDescent="0.25">
      <c r="A44" s="2411"/>
      <c r="B44" s="2412"/>
      <c r="C44" s="2412"/>
      <c r="D44" s="2412"/>
      <c r="E44" s="2412"/>
      <c r="F44" s="241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 zoomScaleNormal="100" workbookViewId="0">
      <selection activeCell="I16" sqref="I16"/>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1999</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3" t="str">
        <f>COVER!A17</f>
        <v xml:space="preserve">  Palos CCSD 118</v>
      </c>
      <c r="K6" s="2423"/>
      <c r="L6" s="2424"/>
      <c r="M6" s="838"/>
      <c r="N6" s="1998"/>
    </row>
    <row r="7" spans="1:14" x14ac:dyDescent="0.2">
      <c r="A7" s="2425" t="s">
        <v>864</v>
      </c>
      <c r="B7" s="2426"/>
      <c r="C7" s="2426"/>
      <c r="D7" s="2426"/>
      <c r="E7" s="2427"/>
      <c r="F7" s="839"/>
      <c r="G7" s="838"/>
      <c r="H7" s="838"/>
      <c r="I7" s="1924" t="s">
        <v>369</v>
      </c>
      <c r="J7" s="2428">
        <f>COVER!A13</f>
        <v>7016118004</v>
      </c>
      <c r="K7" s="2428"/>
      <c r="L7" s="2428"/>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2015</v>
      </c>
      <c r="F9" s="1857"/>
      <c r="G9" s="1857"/>
      <c r="H9" s="1857"/>
      <c r="I9" s="1929" t="s">
        <v>2016</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9" t="s">
        <v>478</v>
      </c>
      <c r="B11" s="2430"/>
      <c r="C11" s="2431"/>
      <c r="D11" s="1937" t="s">
        <v>866</v>
      </c>
      <c r="E11" s="1937" t="s">
        <v>64</v>
      </c>
      <c r="F11" s="1937" t="s">
        <v>6</v>
      </c>
      <c r="G11" s="1938" t="s">
        <v>2017</v>
      </c>
      <c r="H11" s="1939" t="s">
        <v>155</v>
      </c>
      <c r="I11" s="1937" t="s">
        <v>64</v>
      </c>
      <c r="J11" s="1937" t="s">
        <v>6</v>
      </c>
      <c r="K11" s="1938" t="s">
        <v>1998</v>
      </c>
      <c r="L11" s="1939" t="s">
        <v>155</v>
      </c>
      <c r="M11" s="838"/>
      <c r="N11" s="1998"/>
    </row>
    <row r="12" spans="1:14" x14ac:dyDescent="0.2">
      <c r="A12" s="2003">
        <v>1</v>
      </c>
      <c r="B12" s="1940" t="s">
        <v>813</v>
      </c>
      <c r="C12" s="842"/>
      <c r="D12" s="1941">
        <v>2320</v>
      </c>
      <c r="E12" s="1944">
        <f>'Expenditures 15-22'!K50</f>
        <v>336330</v>
      </c>
      <c r="F12" s="1942"/>
      <c r="G12" s="1968">
        <f>G68</f>
        <v>0</v>
      </c>
      <c r="H12" s="1944">
        <f t="shared" ref="H12:H18" si="0">SUM(E12:G12)</f>
        <v>336330</v>
      </c>
      <c r="I12" s="1943">
        <v>346388</v>
      </c>
      <c r="J12" s="1942"/>
      <c r="K12" s="1943"/>
      <c r="L12" s="1944">
        <f t="shared" ref="L12:L18" si="1">SUM(I12:K12)</f>
        <v>346388</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1061</v>
      </c>
      <c r="C15" s="842"/>
      <c r="D15" s="1941">
        <v>2510</v>
      </c>
      <c r="E15" s="1944">
        <f>'Expenditures 15-22'!K59</f>
        <v>271510</v>
      </c>
      <c r="F15" s="1944">
        <f>'Expenditures 15-22'!K122</f>
        <v>0</v>
      </c>
      <c r="G15" s="1968">
        <f>J68</f>
        <v>0</v>
      </c>
      <c r="H15" s="1944">
        <f t="shared" si="0"/>
        <v>271510</v>
      </c>
      <c r="I15" s="1943">
        <v>255506</v>
      </c>
      <c r="J15" s="1943"/>
      <c r="K15" s="1943"/>
      <c r="L15" s="1944">
        <f t="shared" si="1"/>
        <v>255506</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1053</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32" t="s">
        <v>7</v>
      </c>
      <c r="C18" s="2433"/>
      <c r="D18" s="2434"/>
      <c r="E18" s="1946"/>
      <c r="F18" s="1946"/>
      <c r="G18" s="1943"/>
      <c r="H18" s="1947">
        <f t="shared" si="0"/>
        <v>0</v>
      </c>
      <c r="I18" s="1943"/>
      <c r="J18" s="1943"/>
      <c r="K18" s="1943"/>
      <c r="L18" s="1944">
        <f t="shared" si="1"/>
        <v>0</v>
      </c>
      <c r="M18" s="838"/>
      <c r="N18" s="1998"/>
    </row>
    <row r="19" spans="1:14" ht="13.5" thickBot="1" x14ac:dyDescent="0.25">
      <c r="A19" s="2003">
        <v>8</v>
      </c>
      <c r="B19" s="1948" t="s">
        <v>1153</v>
      </c>
      <c r="C19" s="838"/>
      <c r="D19" s="1949"/>
      <c r="E19" s="1950">
        <f t="shared" ref="E19:L19" si="2">SUM(E12:E17)-E18</f>
        <v>607840</v>
      </c>
      <c r="F19" s="1950">
        <f t="shared" si="2"/>
        <v>0</v>
      </c>
      <c r="G19" s="1950">
        <f t="shared" ref="G19" si="3">SUM(G12:G17)-G18</f>
        <v>0</v>
      </c>
      <c r="H19" s="1950">
        <f t="shared" si="2"/>
        <v>607840</v>
      </c>
      <c r="I19" s="1950">
        <f t="shared" si="2"/>
        <v>601894</v>
      </c>
      <c r="J19" s="1950">
        <f t="shared" si="2"/>
        <v>0</v>
      </c>
      <c r="K19" s="1950">
        <f t="shared" si="2"/>
        <v>0</v>
      </c>
      <c r="L19" s="1950">
        <f t="shared" si="2"/>
        <v>601894</v>
      </c>
      <c r="M19" s="838"/>
      <c r="N19" s="1998"/>
    </row>
    <row r="20" spans="1:14" ht="13.5" thickTop="1" x14ac:dyDescent="0.2">
      <c r="A20" s="2003">
        <v>9</v>
      </c>
      <c r="B20" s="2435" t="s">
        <v>2018</v>
      </c>
      <c r="C20" s="2435"/>
      <c r="D20" s="2436"/>
      <c r="E20" s="1951"/>
      <c r="F20" s="1951"/>
      <c r="G20" s="1951"/>
      <c r="H20" s="1951"/>
      <c r="I20" s="1951"/>
      <c r="J20" s="1951"/>
      <c r="K20" s="1951"/>
      <c r="L20" s="1952">
        <f>IF(AND(H19&gt;0,L19&gt;0),(((L19-H19)/H19)),"Enter Budget Data")</f>
        <v>-9.7821795209265591E-3</v>
      </c>
      <c r="M20" s="838"/>
      <c r="N20" s="1998"/>
    </row>
    <row r="21" spans="1:14" x14ac:dyDescent="0.2">
      <c r="A21" s="2005" t="s">
        <v>194</v>
      </c>
      <c r="B21" s="2006" t="s">
        <v>2043</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2019</v>
      </c>
      <c r="B24" s="2010"/>
      <c r="C24" s="2011"/>
      <c r="D24" s="2011"/>
      <c r="E24" s="2011"/>
      <c r="F24" s="2011"/>
      <c r="G24" s="2011"/>
      <c r="H24" s="2011"/>
      <c r="I24" s="2011"/>
      <c r="J24" s="2011"/>
      <c r="K24" s="2011"/>
      <c r="L24" s="838"/>
      <c r="M24" s="838"/>
      <c r="N24" s="1998"/>
    </row>
    <row r="25" spans="1:14" x14ac:dyDescent="0.2">
      <c r="A25" s="2009" t="s">
        <v>2020</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7"/>
      <c r="D27" s="2437"/>
      <c r="E27" s="843"/>
      <c r="F27" s="2438"/>
      <c r="G27" s="2438"/>
      <c r="H27" s="2438"/>
      <c r="I27" s="838"/>
      <c r="J27" s="838"/>
      <c r="K27" s="838"/>
      <c r="L27" s="838"/>
      <c r="M27" s="838"/>
      <c r="N27" s="1998"/>
    </row>
    <row r="28" spans="1:14" x14ac:dyDescent="0.2">
      <c r="A28" s="1997"/>
      <c r="B28" s="2007"/>
      <c r="C28" s="1957" t="s">
        <v>1026</v>
      </c>
      <c r="D28" s="844"/>
      <c r="E28" s="1958"/>
      <c r="F28" s="2439" t="s">
        <v>1495</v>
      </c>
      <c r="G28" s="2439"/>
      <c r="H28" s="2439"/>
      <c r="I28" s="838"/>
      <c r="J28" s="838"/>
      <c r="K28" s="838"/>
      <c r="L28" s="838"/>
      <c r="M28" s="838"/>
      <c r="N28" s="1998"/>
    </row>
    <row r="29" spans="1:14" x14ac:dyDescent="0.2">
      <c r="A29" s="1997"/>
      <c r="B29" s="2007"/>
      <c r="C29" s="2440"/>
      <c r="D29" s="2440"/>
      <c r="E29" s="845"/>
      <c r="F29" s="2440"/>
      <c r="G29" s="2440"/>
      <c r="H29" s="2440"/>
      <c r="I29" s="838"/>
      <c r="J29" s="838"/>
      <c r="K29" s="838"/>
      <c r="L29" s="838"/>
      <c r="M29" s="838"/>
      <c r="N29" s="1998"/>
    </row>
    <row r="30" spans="1:14" x14ac:dyDescent="0.2">
      <c r="A30" s="1997"/>
      <c r="B30" s="2007"/>
      <c r="C30" s="1960" t="s">
        <v>1547</v>
      </c>
      <c r="D30" s="838"/>
      <c r="E30" s="1959"/>
      <c r="F30" s="2422" t="s">
        <v>1496</v>
      </c>
      <c r="G30" s="2422"/>
      <c r="H30" s="2422"/>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3" t="s">
        <v>2021</v>
      </c>
      <c r="D34" s="2444"/>
      <c r="E34" s="2444"/>
      <c r="F34" s="2444"/>
      <c r="G34" s="2444"/>
      <c r="H34" s="2444"/>
      <c r="I34" s="2444"/>
      <c r="J34" s="2444"/>
      <c r="K34" s="2016"/>
      <c r="L34" s="838"/>
      <c r="M34" s="838"/>
      <c r="N34" s="1998"/>
    </row>
    <row r="35" spans="1:14" x14ac:dyDescent="0.2">
      <c r="A35" s="1997"/>
      <c r="B35" s="838"/>
      <c r="C35" s="2444"/>
      <c r="D35" s="2444"/>
      <c r="E35" s="2444"/>
      <c r="F35" s="2444"/>
      <c r="G35" s="2444"/>
      <c r="H35" s="2444"/>
      <c r="I35" s="2444"/>
      <c r="J35" s="2444"/>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3" t="s">
        <v>2022</v>
      </c>
      <c r="D37" s="2444"/>
      <c r="E37" s="2444"/>
      <c r="F37" s="2444"/>
      <c r="G37" s="2444"/>
      <c r="H37" s="2444"/>
      <c r="I37" s="2444"/>
      <c r="J37" s="2444"/>
      <c r="K37" s="2016"/>
      <c r="L37" s="2018"/>
      <c r="M37" s="838"/>
      <c r="N37" s="1998"/>
    </row>
    <row r="38" spans="1:14" x14ac:dyDescent="0.2">
      <c r="A38" s="1997"/>
      <c r="B38" s="838"/>
      <c r="C38" s="2444"/>
      <c r="D38" s="2444"/>
      <c r="E38" s="2444"/>
      <c r="F38" s="2444"/>
      <c r="G38" s="2444"/>
      <c r="H38" s="2444"/>
      <c r="I38" s="2444"/>
      <c r="J38" s="2444"/>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5" t="s">
        <v>2023</v>
      </c>
      <c r="D40" s="2446"/>
      <c r="E40" s="2446"/>
      <c r="F40" s="2446"/>
      <c r="G40" s="2446"/>
      <c r="H40" s="2446"/>
      <c r="I40" s="2446"/>
      <c r="J40" s="2446"/>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7" t="s">
        <v>2024</v>
      </c>
      <c r="B43" s="2448"/>
      <c r="C43" s="2448"/>
      <c r="D43" s="2448"/>
      <c r="E43" s="2448"/>
      <c r="F43" s="2448"/>
      <c r="G43" s="2448"/>
      <c r="H43" s="2448"/>
      <c r="I43" s="2448"/>
      <c r="J43" s="2448"/>
      <c r="K43" s="2448"/>
      <c r="L43" s="2448"/>
      <c r="M43" s="2448"/>
      <c r="N43" s="2449"/>
    </row>
    <row r="44" spans="1:14" x14ac:dyDescent="0.2">
      <c r="A44" s="1982"/>
      <c r="B44" s="1983"/>
      <c r="C44" s="1983"/>
      <c r="D44" s="1983"/>
      <c r="E44" s="1983"/>
      <c r="F44" s="1983"/>
      <c r="G44" s="1983"/>
      <c r="H44" s="1983"/>
      <c r="I44" s="1983"/>
      <c r="J44" s="1983"/>
      <c r="K44" s="1983"/>
      <c r="L44" s="1983"/>
      <c r="M44" s="1983"/>
      <c r="N44" s="1984"/>
    </row>
    <row r="45" spans="1:14" x14ac:dyDescent="0.2">
      <c r="A45" s="1982" t="s">
        <v>2025</v>
      </c>
      <c r="B45" s="1983"/>
      <c r="C45" s="1983"/>
      <c r="D45" s="1983"/>
      <c r="E45" s="1983"/>
      <c r="F45" s="1983"/>
      <c r="G45" s="1983"/>
      <c r="H45" s="1983"/>
      <c r="I45" s="1983"/>
      <c r="J45" s="1983"/>
      <c r="K45" s="1983"/>
      <c r="L45" s="1983"/>
      <c r="M45" s="1983"/>
      <c r="N45" s="1984"/>
    </row>
    <row r="46" spans="1:14" x14ac:dyDescent="0.2">
      <c r="A46" s="2450" t="s">
        <v>2026</v>
      </c>
      <c r="B46" s="2451"/>
      <c r="C46" s="2451"/>
      <c r="D46" s="2451"/>
      <c r="E46" s="2451"/>
      <c r="F46" s="2451"/>
      <c r="G46" s="2451"/>
      <c r="H46" s="2451"/>
      <c r="I46" s="2451"/>
      <c r="J46" s="2451"/>
      <c r="K46" s="2451"/>
      <c r="L46" s="2451"/>
      <c r="M46" s="2451"/>
      <c r="N46" s="2452"/>
    </row>
    <row r="47" spans="1:14" x14ac:dyDescent="0.2">
      <c r="A47" s="2450"/>
      <c r="B47" s="2451"/>
      <c r="C47" s="2451"/>
      <c r="D47" s="2451"/>
      <c r="E47" s="2451"/>
      <c r="F47" s="2451"/>
      <c r="G47" s="2451"/>
      <c r="H47" s="2451"/>
      <c r="I47" s="2451"/>
      <c r="J47" s="2451"/>
      <c r="K47" s="2451"/>
      <c r="L47" s="2451"/>
      <c r="M47" s="2451"/>
      <c r="N47" s="2452"/>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2042</v>
      </c>
      <c r="B49" s="2024"/>
      <c r="C49" s="2024"/>
      <c r="D49" s="2025"/>
      <c r="E49" s="2025"/>
      <c r="F49" s="2025"/>
      <c r="G49" s="2025"/>
      <c r="H49" s="2025"/>
      <c r="I49" s="2025"/>
      <c r="J49" s="2025"/>
      <c r="K49" s="2025"/>
      <c r="L49" s="2025"/>
      <c r="M49" s="2025"/>
      <c r="N49" s="2026"/>
    </row>
    <row r="50" spans="1:14" ht="15" x14ac:dyDescent="0.25">
      <c r="A50" s="2028" t="s">
        <v>2041</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3" t="str">
        <f>J6</f>
        <v xml:space="preserve">  Palos CCSD 118</v>
      </c>
      <c r="M52" s="2423"/>
      <c r="N52" s="2453"/>
    </row>
    <row r="53" spans="1:14" x14ac:dyDescent="0.2">
      <c r="A53" s="1982"/>
      <c r="B53" s="1983"/>
      <c r="C53" s="1983"/>
      <c r="D53" s="1983"/>
      <c r="E53" s="1983"/>
      <c r="F53" s="1983"/>
      <c r="G53" s="1983"/>
      <c r="H53" s="1983"/>
      <c r="I53" s="1983"/>
      <c r="J53" s="1983"/>
      <c r="K53" s="1924" t="s">
        <v>369</v>
      </c>
      <c r="L53" s="2428">
        <f>J7</f>
        <v>7016118004</v>
      </c>
      <c r="M53" s="2428"/>
      <c r="N53" s="2454"/>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5"/>
      <c r="B55" s="2456"/>
      <c r="C55" s="2456"/>
      <c r="D55" s="1970"/>
      <c r="E55" s="1970"/>
      <c r="F55" s="1970"/>
      <c r="G55" s="2457" t="s">
        <v>2027</v>
      </c>
      <c r="H55" s="2457"/>
      <c r="I55" s="2457"/>
      <c r="J55" s="2457"/>
      <c r="K55" s="2457"/>
      <c r="L55" s="2457"/>
      <c r="M55" s="2457"/>
      <c r="N55" s="2458"/>
    </row>
    <row r="56" spans="1:14" ht="63.75" x14ac:dyDescent="0.2">
      <c r="A56" s="2459" t="s">
        <v>2028</v>
      </c>
      <c r="B56" s="2460"/>
      <c r="C56" s="2461"/>
      <c r="D56" s="1964" t="s">
        <v>2029</v>
      </c>
      <c r="E56" s="1964" t="s">
        <v>2030</v>
      </c>
      <c r="F56" s="1971"/>
      <c r="G56" s="1964" t="s">
        <v>2031</v>
      </c>
      <c r="H56" s="1964" t="s">
        <v>2032</v>
      </c>
      <c r="I56" s="1964" t="s">
        <v>2033</v>
      </c>
      <c r="J56" s="1964" t="s">
        <v>2034</v>
      </c>
      <c r="K56" s="1964" t="s">
        <v>2035</v>
      </c>
      <c r="L56" s="1964" t="s">
        <v>2036</v>
      </c>
      <c r="M56" s="1964" t="s">
        <v>2037</v>
      </c>
      <c r="N56" s="1965" t="s">
        <v>2044</v>
      </c>
    </row>
    <row r="57" spans="1:14" ht="24.75" customHeight="1" x14ac:dyDescent="0.2">
      <c r="A57" s="2462" t="s">
        <v>296</v>
      </c>
      <c r="B57" s="2463"/>
      <c r="C57" s="2463"/>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41" t="s">
        <v>2038</v>
      </c>
      <c r="B58" s="2442"/>
      <c r="C58" s="2442"/>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64" t="s">
        <v>297</v>
      </c>
      <c r="B59" s="2465"/>
      <c r="C59" s="2465"/>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4" t="s">
        <v>236</v>
      </c>
      <c r="B60" s="2465"/>
      <c r="C60" s="2465"/>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64" t="s">
        <v>697</v>
      </c>
      <c r="B61" s="2465"/>
      <c r="C61" s="2465"/>
      <c r="D61" s="1967">
        <v>2365</v>
      </c>
      <c r="E61" s="1977">
        <f>'Expenditures 15-22'!K323</f>
        <v>0</v>
      </c>
      <c r="F61" s="1972"/>
      <c r="G61" s="2031"/>
      <c r="H61" s="2032"/>
      <c r="I61" s="2032"/>
      <c r="J61" s="2032"/>
      <c r="K61" s="2032"/>
      <c r="L61" s="2032"/>
      <c r="M61" s="2032"/>
      <c r="N61" s="1975">
        <f t="shared" si="4"/>
        <v>0</v>
      </c>
    </row>
    <row r="62" spans="1:14" ht="24" customHeight="1" x14ac:dyDescent="0.2">
      <c r="A62" s="2464" t="s">
        <v>237</v>
      </c>
      <c r="B62" s="2465"/>
      <c r="C62" s="2465"/>
      <c r="D62" s="1967">
        <v>2366</v>
      </c>
      <c r="E62" s="1977">
        <f>'Expenditures 15-22'!K324</f>
        <v>0</v>
      </c>
      <c r="F62" s="1972"/>
      <c r="G62" s="2031"/>
      <c r="H62" s="2032"/>
      <c r="I62" s="2032"/>
      <c r="J62" s="2032"/>
      <c r="K62" s="2032"/>
      <c r="L62" s="2032"/>
      <c r="M62" s="2032"/>
      <c r="N62" s="1975">
        <f t="shared" si="4"/>
        <v>0</v>
      </c>
    </row>
    <row r="63" spans="1:14" ht="24" customHeight="1" x14ac:dyDescent="0.2">
      <c r="A63" s="2441" t="s">
        <v>1022</v>
      </c>
      <c r="B63" s="2442"/>
      <c r="C63" s="2442"/>
      <c r="D63" s="1967">
        <v>2367</v>
      </c>
      <c r="E63" s="1977">
        <f>'Expenditures 15-22'!K325</f>
        <v>0</v>
      </c>
      <c r="F63" s="1972"/>
      <c r="G63" s="2031"/>
      <c r="H63" s="2032"/>
      <c r="I63" s="2032"/>
      <c r="J63" s="2032"/>
      <c r="K63" s="2032"/>
      <c r="L63" s="2032"/>
      <c r="M63" s="2032"/>
      <c r="N63" s="1975">
        <f t="shared" si="4"/>
        <v>0</v>
      </c>
    </row>
    <row r="64" spans="1:14" ht="24" customHeight="1" x14ac:dyDescent="0.2">
      <c r="A64" s="2464" t="s">
        <v>1023</v>
      </c>
      <c r="B64" s="2465"/>
      <c r="C64" s="2465"/>
      <c r="D64" s="1967">
        <v>2368</v>
      </c>
      <c r="E64" s="1977">
        <f>'Expenditures 15-22'!K326</f>
        <v>0</v>
      </c>
      <c r="F64" s="1972"/>
      <c r="G64" s="2031"/>
      <c r="H64" s="2032"/>
      <c r="I64" s="2032"/>
      <c r="J64" s="2032"/>
      <c r="K64" s="2032"/>
      <c r="L64" s="2032"/>
      <c r="M64" s="2032"/>
      <c r="N64" s="1975">
        <f t="shared" si="4"/>
        <v>0</v>
      </c>
    </row>
    <row r="65" spans="1:14" ht="24" customHeight="1" x14ac:dyDescent="0.2">
      <c r="A65" s="2464" t="s">
        <v>965</v>
      </c>
      <c r="B65" s="2465"/>
      <c r="C65" s="2465"/>
      <c r="D65" s="1967">
        <v>2369</v>
      </c>
      <c r="E65" s="1977">
        <f>'Expenditures 15-22'!K327</f>
        <v>0</v>
      </c>
      <c r="F65" s="1972"/>
      <c r="G65" s="2031"/>
      <c r="H65" s="2032"/>
      <c r="I65" s="2032"/>
      <c r="J65" s="2032"/>
      <c r="K65" s="2032"/>
      <c r="L65" s="2032"/>
      <c r="M65" s="2032"/>
      <c r="N65" s="1975">
        <f t="shared" si="4"/>
        <v>0</v>
      </c>
    </row>
    <row r="66" spans="1:14" ht="24" customHeight="1" x14ac:dyDescent="0.2">
      <c r="A66" s="2464" t="s">
        <v>469</v>
      </c>
      <c r="B66" s="2465"/>
      <c r="C66" s="2465"/>
      <c r="D66" s="1967">
        <v>2371</v>
      </c>
      <c r="E66" s="1977">
        <f>'Expenditures 15-22'!K328</f>
        <v>0</v>
      </c>
      <c r="F66" s="1972"/>
      <c r="G66" s="2031"/>
      <c r="H66" s="2032"/>
      <c r="I66" s="2032"/>
      <c r="J66" s="2032"/>
      <c r="K66" s="2032"/>
      <c r="L66" s="2032"/>
      <c r="M66" s="2032"/>
      <c r="N66" s="1975">
        <f t="shared" si="4"/>
        <v>0</v>
      </c>
    </row>
    <row r="67" spans="1:14" ht="24.75" customHeight="1" x14ac:dyDescent="0.2">
      <c r="A67" s="2466" t="s">
        <v>2039</v>
      </c>
      <c r="B67" s="2467"/>
      <c r="C67" s="2467"/>
      <c r="D67" s="1969">
        <v>2372</v>
      </c>
      <c r="E67" s="1978">
        <f>'Expenditures 15-22'!K329</f>
        <v>0</v>
      </c>
      <c r="F67" s="1972"/>
      <c r="G67" s="2033"/>
      <c r="H67" s="2034"/>
      <c r="I67" s="2034"/>
      <c r="J67" s="2034"/>
      <c r="K67" s="2034"/>
      <c r="L67" s="2034"/>
      <c r="M67" s="2034"/>
      <c r="N67" s="1975">
        <f t="shared" si="4"/>
        <v>0</v>
      </c>
    </row>
    <row r="68" spans="1:14" x14ac:dyDescent="0.2">
      <c r="A68" s="2468" t="s">
        <v>1153</v>
      </c>
      <c r="B68" s="2469"/>
      <c r="C68" s="2469"/>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2040</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4" sqref="B14"/>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2158</v>
      </c>
    </row>
    <row r="6" spans="1:2" x14ac:dyDescent="0.2">
      <c r="A6" s="847">
        <v>2</v>
      </c>
      <c r="B6" s="307" t="s">
        <v>2159</v>
      </c>
    </row>
    <row r="7" spans="1:2" x14ac:dyDescent="0.2">
      <c r="A7" s="847">
        <v>3</v>
      </c>
      <c r="B7" s="307" t="s">
        <v>2160</v>
      </c>
    </row>
    <row r="8" spans="1:2" x14ac:dyDescent="0.2">
      <c r="A8" s="847">
        <v>4</v>
      </c>
      <c r="B8" s="307" t="s">
        <v>2161</v>
      </c>
    </row>
    <row r="9" spans="1:2" x14ac:dyDescent="0.2">
      <c r="A9" s="847">
        <v>5</v>
      </c>
      <c r="B9" s="307" t="s">
        <v>2162</v>
      </c>
    </row>
    <row r="10" spans="1:2" x14ac:dyDescent="0.2">
      <c r="A10" s="847">
        <v>6</v>
      </c>
      <c r="B10" s="307" t="s">
        <v>2163</v>
      </c>
    </row>
    <row r="11" spans="1:2" x14ac:dyDescent="0.2">
      <c r="A11" s="847">
        <v>7</v>
      </c>
      <c r="B11" s="307" t="s">
        <v>2164</v>
      </c>
    </row>
    <row r="12" spans="1:2" x14ac:dyDescent="0.2">
      <c r="A12" s="847">
        <v>8</v>
      </c>
      <c r="B12" s="307" t="s">
        <v>2165</v>
      </c>
    </row>
    <row r="13" spans="1:2" x14ac:dyDescent="0.2">
      <c r="A13" s="847">
        <v>9</v>
      </c>
      <c r="B13" s="307" t="s">
        <v>2166</v>
      </c>
    </row>
    <row r="14" spans="1:2" x14ac:dyDescent="0.2">
      <c r="A14" s="847">
        <v>10</v>
      </c>
      <c r="B14" s="307" t="s">
        <v>2167</v>
      </c>
    </row>
    <row r="15" spans="1:2" x14ac:dyDescent="0.2">
      <c r="A15" s="847">
        <v>11</v>
      </c>
      <c r="B15" s="307" t="s">
        <v>2168</v>
      </c>
    </row>
    <row r="16" spans="1:2" x14ac:dyDescent="0.2">
      <c r="A16" s="847">
        <v>12</v>
      </c>
      <c r="B16" s="307" t="s">
        <v>2170</v>
      </c>
    </row>
    <row r="17" spans="1:2" x14ac:dyDescent="0.2">
      <c r="A17" s="847">
        <v>13</v>
      </c>
      <c r="B17" s="307" t="s">
        <v>2171</v>
      </c>
    </row>
    <row r="18" spans="1:2" x14ac:dyDescent="0.2">
      <c r="A18" s="847">
        <v>14</v>
      </c>
      <c r="B18" s="307" t="s">
        <v>2172</v>
      </c>
    </row>
    <row r="19" spans="1:2" x14ac:dyDescent="0.2">
      <c r="A19" s="847">
        <v>15</v>
      </c>
      <c r="B19" s="307" t="s">
        <v>2169</v>
      </c>
    </row>
    <row r="20" spans="1:2" x14ac:dyDescent="0.2">
      <c r="A20" s="847">
        <v>16</v>
      </c>
      <c r="B20" s="307" t="s">
        <v>2173</v>
      </c>
    </row>
    <row r="21" spans="1:2" x14ac:dyDescent="0.2">
      <c r="A21" s="847"/>
    </row>
    <row r="22" spans="1:2" x14ac:dyDescent="0.2">
      <c r="A22" s="847"/>
    </row>
    <row r="23" spans="1:2" x14ac:dyDescent="0.2">
      <c r="A23" s="847"/>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Palos CCSD 118</v>
      </c>
    </row>
    <row r="65" spans="2:2" x14ac:dyDescent="0.2">
      <c r="B65" s="849">
        <f>COVER!A13</f>
        <v>7016118004</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1827</v>
      </c>
      <c r="C4" s="157" t="s">
        <v>1161</v>
      </c>
      <c r="D4" s="164" t="s">
        <v>10</v>
      </c>
      <c r="E4" s="165" t="s">
        <v>22</v>
      </c>
    </row>
    <row r="5" spans="1:5" x14ac:dyDescent="0.2">
      <c r="A5" s="163" t="s">
        <v>1829</v>
      </c>
      <c r="C5" s="157" t="s">
        <v>1161</v>
      </c>
      <c r="D5" s="164" t="s">
        <v>10</v>
      </c>
      <c r="E5" s="165" t="s">
        <v>22</v>
      </c>
    </row>
    <row r="6" spans="1:5" x14ac:dyDescent="0.2">
      <c r="A6" s="163" t="s">
        <v>1828</v>
      </c>
      <c r="C6" s="157" t="s">
        <v>1161</v>
      </c>
      <c r="D6" s="162" t="s">
        <v>11</v>
      </c>
      <c r="E6" s="165" t="s">
        <v>935</v>
      </c>
    </row>
    <row r="7" spans="1:5" x14ac:dyDescent="0.2">
      <c r="A7" s="163" t="s">
        <v>1830</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1831</v>
      </c>
      <c r="C11" s="157" t="s">
        <v>1161</v>
      </c>
      <c r="D11" s="164" t="s">
        <v>14</v>
      </c>
      <c r="E11" s="165" t="s">
        <v>1148</v>
      </c>
    </row>
    <row r="12" spans="1:5" x14ac:dyDescent="0.2">
      <c r="B12" s="164" t="s">
        <v>1832</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1833</v>
      </c>
      <c r="C15" s="157" t="s">
        <v>1161</v>
      </c>
      <c r="D15" s="164" t="s">
        <v>17</v>
      </c>
      <c r="E15" s="165" t="s">
        <v>631</v>
      </c>
    </row>
    <row r="16" spans="1:5" x14ac:dyDescent="0.2">
      <c r="A16" s="167"/>
      <c r="B16" s="157" t="s">
        <v>1834</v>
      </c>
      <c r="C16" s="157" t="s">
        <v>1161</v>
      </c>
      <c r="D16" s="164" t="s">
        <v>676</v>
      </c>
      <c r="E16" s="165" t="s">
        <v>1033</v>
      </c>
    </row>
    <row r="17" spans="1:5" x14ac:dyDescent="0.2">
      <c r="B17" s="162" t="s">
        <v>981</v>
      </c>
      <c r="C17" s="157" t="s">
        <v>1161</v>
      </c>
    </row>
    <row r="18" spans="1:5" x14ac:dyDescent="0.2">
      <c r="B18" s="162" t="s">
        <v>1840</v>
      </c>
      <c r="D18" s="164" t="s">
        <v>18</v>
      </c>
      <c r="E18" s="165" t="s">
        <v>1034</v>
      </c>
    </row>
    <row r="19" spans="1:5" x14ac:dyDescent="0.2">
      <c r="A19" s="163" t="s">
        <v>1092</v>
      </c>
      <c r="C19" s="157" t="s">
        <v>1161</v>
      </c>
      <c r="D19" s="164"/>
      <c r="E19" s="166"/>
    </row>
    <row r="20" spans="1:5" x14ac:dyDescent="0.2">
      <c r="B20" s="162" t="s">
        <v>1835</v>
      </c>
      <c r="C20" s="157" t="s">
        <v>1161</v>
      </c>
      <c r="D20" s="164" t="s">
        <v>19</v>
      </c>
      <c r="E20" s="165" t="s">
        <v>51</v>
      </c>
    </row>
    <row r="21" spans="1:5" x14ac:dyDescent="0.2">
      <c r="B21" s="162" t="s">
        <v>1836</v>
      </c>
      <c r="C21" s="157" t="s">
        <v>1161</v>
      </c>
      <c r="D21" s="164" t="s">
        <v>20</v>
      </c>
      <c r="E21" s="165" t="s">
        <v>1596</v>
      </c>
    </row>
    <row r="22" spans="1:5" x14ac:dyDescent="0.2">
      <c r="A22" s="163"/>
      <c r="B22" s="157" t="s">
        <v>1824</v>
      </c>
      <c r="C22" s="157" t="s">
        <v>1161</v>
      </c>
      <c r="D22" s="162" t="s">
        <v>1826</v>
      </c>
      <c r="E22" s="1470" t="s">
        <v>1597</v>
      </c>
    </row>
    <row r="23" spans="1:5" x14ac:dyDescent="0.2">
      <c r="A23" s="163"/>
      <c r="B23" s="157" t="s">
        <v>1825</v>
      </c>
      <c r="D23" s="162" t="s">
        <v>632</v>
      </c>
      <c r="E23" s="1470" t="s">
        <v>953</v>
      </c>
    </row>
    <row r="24" spans="1:5" x14ac:dyDescent="0.2">
      <c r="A24" s="163" t="s">
        <v>1595</v>
      </c>
      <c r="C24" s="157" t="s">
        <v>1161</v>
      </c>
      <c r="D24" s="162" t="s">
        <v>1379</v>
      </c>
      <c r="E24" s="165" t="s">
        <v>954</v>
      </c>
    </row>
    <row r="25" spans="1:5" x14ac:dyDescent="0.2">
      <c r="A25" s="163" t="s">
        <v>1837</v>
      </c>
      <c r="C25" s="157" t="s">
        <v>1161</v>
      </c>
      <c r="D25" s="164" t="s">
        <v>21</v>
      </c>
      <c r="E25" s="165" t="s">
        <v>1035</v>
      </c>
    </row>
    <row r="26" spans="1:5" x14ac:dyDescent="0.2">
      <c r="A26" s="163" t="s">
        <v>1838</v>
      </c>
      <c r="C26" s="157" t="s">
        <v>1161</v>
      </c>
      <c r="D26" s="164" t="s">
        <v>559</v>
      </c>
      <c r="E26" s="165" t="s">
        <v>1036</v>
      </c>
    </row>
    <row r="27" spans="1:5" x14ac:dyDescent="0.2">
      <c r="A27" s="163" t="s">
        <v>1839</v>
      </c>
      <c r="C27" s="157" t="s">
        <v>1161</v>
      </c>
      <c r="D27" s="164" t="s">
        <v>553</v>
      </c>
      <c r="E27" s="165" t="s">
        <v>678</v>
      </c>
    </row>
    <row r="28" spans="1:5" x14ac:dyDescent="0.2">
      <c r="A28" s="163" t="s">
        <v>1841</v>
      </c>
      <c r="D28" s="164" t="s">
        <v>679</v>
      </c>
      <c r="E28" s="165" t="s">
        <v>1352</v>
      </c>
    </row>
    <row r="29" spans="1:5" x14ac:dyDescent="0.2">
      <c r="A29" s="163" t="s">
        <v>1842</v>
      </c>
      <c r="D29" s="164" t="s">
        <v>1380</v>
      </c>
      <c r="E29" s="165" t="s">
        <v>1361</v>
      </c>
    </row>
    <row r="30" spans="1:5" x14ac:dyDescent="0.2">
      <c r="A30" s="168" t="s">
        <v>1843</v>
      </c>
      <c r="C30" s="157" t="s">
        <v>1161</v>
      </c>
      <c r="D30" s="164" t="s">
        <v>40</v>
      </c>
      <c r="E30" s="165" t="s">
        <v>975</v>
      </c>
    </row>
    <row r="31" spans="1:5" x14ac:dyDescent="0.2">
      <c r="A31" s="163" t="s">
        <v>1507</v>
      </c>
      <c r="C31" s="157" t="s">
        <v>1161</v>
      </c>
      <c r="D31" s="162"/>
      <c r="E31" s="166"/>
    </row>
    <row r="32" spans="1:5" x14ac:dyDescent="0.2">
      <c r="B32" s="162" t="s">
        <v>1844</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6" t="s">
        <v>1058</v>
      </c>
      <c r="B35" s="2156"/>
      <c r="C35" s="2156"/>
      <c r="D35" s="2156"/>
      <c r="E35" s="21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3" t="s">
        <v>686</v>
      </c>
      <c r="B40" s="2153"/>
      <c r="C40" s="2153"/>
      <c r="D40" s="2153"/>
      <c r="E40" s="2153"/>
    </row>
    <row r="41" spans="1:5" x14ac:dyDescent="0.2">
      <c r="A41" s="2154" t="s">
        <v>1594</v>
      </c>
      <c r="B41" s="2154"/>
      <c r="C41" s="2154"/>
      <c r="D41" s="2154"/>
      <c r="E41" s="2154"/>
    </row>
    <row r="42" spans="1:5" ht="12.75" customHeight="1" x14ac:dyDescent="0.2">
      <c r="A42" s="2155" t="s">
        <v>1015</v>
      </c>
      <c r="B42" s="2155"/>
      <c r="C42" s="2155"/>
      <c r="D42" s="2155"/>
      <c r="E42" s="2155"/>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3" sqref="C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70" t="s">
        <v>1668</v>
      </c>
      <c r="B18" s="2470"/>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Document.2017" dvAspect="DVASPECT_ICON" shapeId="43009"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Document.2017"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1" t="s">
        <v>1672</v>
      </c>
      <c r="B1" s="2472"/>
      <c r="C1" s="2472"/>
      <c r="D1" s="2472"/>
      <c r="E1" s="2472"/>
      <c r="F1" s="2473"/>
    </row>
    <row r="2" spans="1:8" ht="45" customHeight="1" x14ac:dyDescent="0.2">
      <c r="A2" s="24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2"/>
      <c r="C2" s="2482"/>
      <c r="D2" s="2482"/>
      <c r="E2" s="2482"/>
      <c r="F2" s="2483"/>
      <c r="G2" s="853"/>
      <c r="H2" s="853"/>
    </row>
    <row r="3" spans="1:8" ht="57" customHeight="1" x14ac:dyDescent="0.2">
      <c r="A3" s="2484" t="s">
        <v>1969</v>
      </c>
      <c r="B3" s="2485"/>
      <c r="C3" s="2485"/>
      <c r="D3" s="2485"/>
      <c r="E3" s="2485"/>
      <c r="F3" s="2486"/>
      <c r="G3" s="853"/>
      <c r="H3" s="853"/>
    </row>
    <row r="4" spans="1:8" ht="14.25" customHeight="1" x14ac:dyDescent="0.2">
      <c r="A4" s="24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1"/>
      <c r="C4" s="2491"/>
      <c r="D4" s="2491"/>
      <c r="E4" s="2491"/>
      <c r="F4" s="2492"/>
      <c r="G4" s="853"/>
      <c r="H4" s="853"/>
    </row>
    <row r="5" spans="1:8" ht="14.25" customHeight="1" x14ac:dyDescent="0.2">
      <c r="A5" s="24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4"/>
      <c r="C5" s="2494"/>
      <c r="D5" s="2494"/>
      <c r="E5" s="2494"/>
      <c r="F5" s="2495"/>
      <c r="G5" s="853"/>
      <c r="H5" s="853"/>
    </row>
    <row r="6" spans="1:8" s="854" customFormat="1" ht="41.25" customHeight="1" x14ac:dyDescent="0.2">
      <c r="A6" s="2487" t="s">
        <v>1673</v>
      </c>
      <c r="B6" s="2488"/>
      <c r="C6" s="2488"/>
      <c r="D6" s="2488"/>
      <c r="E6" s="2488"/>
      <c r="F6" s="2489"/>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3">
        <f>'Acct Summary 7-8'!C8</f>
        <v>22078275</v>
      </c>
      <c r="C8" s="1813">
        <f>'Acct Summary 7-8'!D8</f>
        <v>2217145</v>
      </c>
      <c r="D8" s="1813">
        <f>'Acct Summary 7-8'!F8</f>
        <v>1879102</v>
      </c>
      <c r="E8" s="1813">
        <f>'Acct Summary 7-8'!I8</f>
        <v>54208</v>
      </c>
      <c r="F8" s="1813">
        <f>SUM(B8:E8)</f>
        <v>26228730</v>
      </c>
    </row>
    <row r="9" spans="1:8" s="858" customFormat="1" ht="14.25" customHeight="1" thickBot="1" x14ac:dyDescent="0.25">
      <c r="A9" s="857" t="s">
        <v>1355</v>
      </c>
      <c r="B9" s="1814">
        <f>'Acct Summary 7-8'!C17</f>
        <v>23174721</v>
      </c>
      <c r="C9" s="1814">
        <f>'Acct Summary 7-8'!D17</f>
        <v>2162757</v>
      </c>
      <c r="D9" s="1814">
        <f>'Acct Summary 7-8'!F17</f>
        <v>1776910</v>
      </c>
      <c r="E9" s="1813"/>
      <c r="F9" s="1813">
        <f>SUM(B9:E9)</f>
        <v>27114388</v>
      </c>
    </row>
    <row r="10" spans="1:8" s="858" customFormat="1" ht="14.25" thickTop="1" thickBot="1" x14ac:dyDescent="0.25">
      <c r="A10" s="859" t="s">
        <v>1356</v>
      </c>
      <c r="B10" s="1815">
        <f>(B8-B9)</f>
        <v>-1096446</v>
      </c>
      <c r="C10" s="1815">
        <f>(C8-C9)</f>
        <v>54388</v>
      </c>
      <c r="D10" s="1815">
        <f>(D8-D9)</f>
        <v>102192</v>
      </c>
      <c r="E10" s="1814">
        <f>(E8-E9)</f>
        <v>54208</v>
      </c>
      <c r="F10" s="1816">
        <f>SUM(F8-F9)</f>
        <v>-885658</v>
      </c>
    </row>
    <row r="11" spans="1:8" s="858" customFormat="1" ht="14.25" thickTop="1" thickBot="1" x14ac:dyDescent="0.25">
      <c r="A11" s="860" t="s">
        <v>1900</v>
      </c>
      <c r="B11" s="1817">
        <f>'Acct Summary 7-8'!C81</f>
        <v>9820905</v>
      </c>
      <c r="C11" s="1817">
        <f>'Acct Summary 7-8'!D81</f>
        <v>2017521</v>
      </c>
      <c r="D11" s="1817">
        <f>'Acct Summary 7-8'!F81</f>
        <v>1052816</v>
      </c>
      <c r="E11" s="1817">
        <f>'Acct Summary 7-8'!I81</f>
        <v>4258292</v>
      </c>
      <c r="F11" s="1818">
        <f>SUM(B11:E11)</f>
        <v>17149534</v>
      </c>
    </row>
    <row r="12" spans="1:8" ht="16.5" customHeight="1" thickTop="1" x14ac:dyDescent="0.2">
      <c r="A12" s="861"/>
      <c r="B12" s="862"/>
      <c r="C12" s="2475" t="str">
        <f>IF(AND(F10&lt;0,F11&gt;=0,ABS(F10*3)&gt;ABS(F11)),A16,IF(AND(F10&lt;0,F11&gt;0,ABS(F10*3)&lt;=ABS(F11)),A17,IF(AND(F10&lt;0,F11&lt;0),A16,IF(F11=0,A19,A18))))</f>
        <v>Unbalanced -  however, a deficit reduction plan is not required at this time.</v>
      </c>
      <c r="D12" s="2476"/>
      <c r="E12" s="2476"/>
      <c r="F12" s="2477"/>
    </row>
    <row r="13" spans="1:8" ht="19.5" customHeight="1" x14ac:dyDescent="0.2">
      <c r="A13" s="863"/>
      <c r="B13" s="864"/>
      <c r="C13" s="2475"/>
      <c r="D13" s="2476"/>
      <c r="E13" s="2476"/>
      <c r="F13" s="2477"/>
      <c r="H13" s="853"/>
    </row>
    <row r="14" spans="1:8" ht="19.5" customHeight="1" x14ac:dyDescent="0.2">
      <c r="A14" s="863"/>
      <c r="B14" s="864"/>
      <c r="C14" s="2475"/>
      <c r="D14" s="2476"/>
      <c r="E14" s="2476"/>
      <c r="F14" s="2477"/>
      <c r="H14" s="853"/>
    </row>
    <row r="15" spans="1:8" ht="17.25" customHeight="1" x14ac:dyDescent="0.2">
      <c r="A15" s="863"/>
      <c r="B15" s="864"/>
      <c r="C15" s="2478"/>
      <c r="D15" s="2479"/>
      <c r="E15" s="2479"/>
      <c r="F15" s="2480"/>
      <c r="H15" s="853"/>
    </row>
    <row r="16" spans="1:8" s="288" customFormat="1" ht="51.75" hidden="1" customHeight="1" x14ac:dyDescent="0.2">
      <c r="A16" s="2474" t="s">
        <v>1669</v>
      </c>
      <c r="B16" s="2474"/>
      <c r="C16" s="2474"/>
      <c r="D16" s="2474"/>
      <c r="E16" s="2474"/>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1" colorId="8" zoomScale="110" zoomScaleNormal="110" workbookViewId="0">
      <selection activeCell="H31" sqref="H31"/>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6" t="s">
        <v>660</v>
      </c>
      <c r="B3" s="2497"/>
      <c r="C3" s="2497"/>
      <c r="D3" s="2498"/>
    </row>
    <row r="4" spans="1:4" x14ac:dyDescent="0.2">
      <c r="A4" s="931" t="s">
        <v>1674</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7" t="s">
        <v>1490</v>
      </c>
      <c r="D7" s="2508"/>
    </row>
    <row r="8" spans="1:4" s="542" customFormat="1" ht="12.75" x14ac:dyDescent="0.2">
      <c r="A8" s="917"/>
      <c r="B8" s="872"/>
      <c r="C8" s="875" t="s">
        <v>1489</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499" t="s">
        <v>1001</v>
      </c>
      <c r="B15" s="2500"/>
      <c r="C15" s="2500"/>
      <c r="D15" s="2501"/>
    </row>
    <row r="16" spans="1:4" s="542" customFormat="1" ht="24" customHeight="1" x14ac:dyDescent="0.2">
      <c r="A16" s="2502" t="s">
        <v>658</v>
      </c>
      <c r="B16" s="2503"/>
      <c r="C16" s="2503"/>
      <c r="D16" s="2504"/>
    </row>
    <row r="17" spans="1:10" s="542" customFormat="1" ht="12.75" customHeight="1" x14ac:dyDescent="0.2">
      <c r="A17" s="935" t="s">
        <v>1675</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11" t="s">
        <v>311</v>
      </c>
      <c r="D21" s="2512"/>
    </row>
    <row r="22" spans="1:10" ht="12.75" x14ac:dyDescent="0.2">
      <c r="A22" s="918"/>
      <c r="B22" s="919">
        <v>2</v>
      </c>
      <c r="C22" s="2509" t="s">
        <v>1510</v>
      </c>
      <c r="D22" s="2510"/>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1359</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3" t="s">
        <v>533</v>
      </c>
      <c r="D43" s="2514"/>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05" t="s">
        <v>779</v>
      </c>
      <c r="D56" s="2506"/>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05" t="s">
        <v>1677</v>
      </c>
      <c r="D70" s="2506"/>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901" t="str">
        <f>IF('Contracts Paid in CY 29'!$D$142&gt;0,"OK","PLEASE ENTER CONTRACTS PAID IN CURRENT YEAR.  IF NONE, STATE NO CONTRACTS ON PAGE 29.")</f>
        <v>OK</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f>COVER!A13</f>
        <v>7016118004</v>
      </c>
      <c r="E2" s="1542">
        <v>2020</v>
      </c>
      <c r="F2" s="1542">
        <v>1</v>
      </c>
      <c r="G2" s="1899">
        <v>101000300</v>
      </c>
    </row>
    <row r="3" spans="1:7" ht="15" x14ac:dyDescent="0.25">
      <c r="A3" t="s">
        <v>950</v>
      </c>
      <c r="B3" s="135" t="str">
        <f>COVER!A15</f>
        <v>Cook</v>
      </c>
      <c r="E3" s="1830" t="s">
        <v>1968</v>
      </c>
      <c r="F3" s="1830" t="s">
        <v>1967</v>
      </c>
      <c r="G3" s="1899">
        <v>101000400</v>
      </c>
    </row>
    <row r="4" spans="1:7" ht="15" x14ac:dyDescent="0.25">
      <c r="A4" t="s">
        <v>1000</v>
      </c>
      <c r="B4" s="135" t="str">
        <f>COVER!A17</f>
        <v xml:space="preserve">  Palos CCSD 118</v>
      </c>
      <c r="E4" s="1828">
        <v>44119</v>
      </c>
      <c r="F4" s="1829">
        <v>44151</v>
      </c>
      <c r="G4" s="1899">
        <v>101000600</v>
      </c>
    </row>
    <row r="5" spans="1:7" ht="15" x14ac:dyDescent="0.25">
      <c r="A5" t="s">
        <v>699</v>
      </c>
      <c r="B5" s="135" t="str">
        <f>COVER!A38</f>
        <v>Anthony M. Scarsella</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 xml:space="preserve">ACCRUAL </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1529</v>
      </c>
      <c r="B12" s="135" t="str">
        <f>IF(COVER!J29="x","Yes",IF(COVER!L29="X","No",0))</f>
        <v>Yes</v>
      </c>
      <c r="G12" s="1899">
        <v>202100600</v>
      </c>
    </row>
    <row r="13" spans="1:7" ht="15" x14ac:dyDescent="0.25">
      <c r="A13" s="1" t="s">
        <v>1530</v>
      </c>
      <c r="B13" s="135" t="str">
        <f>IF(COVER!J30="x","Yes",IF(COVER!L30="x","No",0))</f>
        <v>Yes</v>
      </c>
      <c r="G13" s="1899">
        <v>202100800</v>
      </c>
    </row>
    <row r="14" spans="1:7" ht="15" x14ac:dyDescent="0.25">
      <c r="A14" t="s">
        <v>473</v>
      </c>
      <c r="B14" s="135" t="str">
        <f>IF(COVER!J31="x","Yes",IF(COVER!L31="x","No",0))</f>
        <v>Yes</v>
      </c>
      <c r="G14" s="1899">
        <v>402100300</v>
      </c>
    </row>
    <row r="15" spans="1:7" ht="15" x14ac:dyDescent="0.25">
      <c r="A15" t="s">
        <v>573</v>
      </c>
      <c r="B15" s="135" t="str">
        <f>COVER!T23</f>
        <v>066-003328</v>
      </c>
      <c r="G15" s="1899">
        <v>402100400</v>
      </c>
    </row>
    <row r="16" spans="1:7" ht="15" x14ac:dyDescent="0.25">
      <c r="A16" t="s">
        <v>419</v>
      </c>
      <c r="B16" s="135" t="str">
        <f>COVER!T13</f>
        <v>Mueller &amp; Co., LLP</v>
      </c>
      <c r="G16" s="1899">
        <v>402100600</v>
      </c>
    </row>
    <row r="17" spans="1:7" ht="15" x14ac:dyDescent="0.25">
      <c r="A17" t="s">
        <v>878</v>
      </c>
      <c r="B17" s="135" t="str">
        <f>COVER!T15</f>
        <v>Kevin Bissell</v>
      </c>
      <c r="G17" s="1899">
        <v>402100800</v>
      </c>
    </row>
    <row r="18" spans="1:7" ht="15" x14ac:dyDescent="0.25">
      <c r="A18" t="s">
        <v>1142</v>
      </c>
      <c r="B18" s="135" t="str">
        <f>COVER!T17</f>
        <v>14300 South Ravinia Avenue, Suite 200</v>
      </c>
      <c r="G18" s="1899">
        <v>102200300</v>
      </c>
    </row>
    <row r="19" spans="1:7" ht="15" x14ac:dyDescent="0.25">
      <c r="A19" t="s">
        <v>880</v>
      </c>
      <c r="B19" s="135" t="str">
        <f>COVER!T25</f>
        <v>kbissell@muellercpa.com</v>
      </c>
      <c r="G19" s="1899">
        <v>102200400</v>
      </c>
    </row>
    <row r="20" spans="1:7" ht="15" x14ac:dyDescent="0.25">
      <c r="A20" t="s">
        <v>881</v>
      </c>
      <c r="B20" s="135" t="str">
        <f>COVER!T19</f>
        <v>Orland Park</v>
      </c>
      <c r="G20" s="1899">
        <v>102200600</v>
      </c>
    </row>
    <row r="21" spans="1:7" ht="15" x14ac:dyDescent="0.25">
      <c r="A21" t="s">
        <v>476</v>
      </c>
      <c r="B21" s="135" t="str">
        <f>COVER!X19</f>
        <v>IL</v>
      </c>
      <c r="G21" s="1899">
        <v>102200800</v>
      </c>
    </row>
    <row r="22" spans="1:7" ht="15" x14ac:dyDescent="0.25">
      <c r="A22" t="s">
        <v>882</v>
      </c>
      <c r="B22" s="135">
        <f>COVER!Z19</f>
        <v>60462</v>
      </c>
      <c r="G22" s="1899">
        <v>102300300</v>
      </c>
    </row>
    <row r="23" spans="1:7" ht="15" x14ac:dyDescent="0.25">
      <c r="A23" t="s">
        <v>1144</v>
      </c>
      <c r="B23" s="135" t="str">
        <f>COVER!T21</f>
        <v>708-349-6999</v>
      </c>
      <c r="G23" s="1899">
        <v>102300400</v>
      </c>
    </row>
    <row r="24" spans="1:7" ht="15" x14ac:dyDescent="0.25">
      <c r="A24" t="s">
        <v>1143</v>
      </c>
      <c r="B24" s="135">
        <f>COVER!Y21</f>
        <v>0</v>
      </c>
      <c r="G24" s="1899">
        <v>102300600</v>
      </c>
    </row>
    <row r="25" spans="1:7" ht="15" x14ac:dyDescent="0.25">
      <c r="A25" t="s">
        <v>756</v>
      </c>
      <c r="B25" s="135">
        <f>COVER!B34</f>
        <v>0</v>
      </c>
      <c r="G25" s="1899">
        <v>102300800</v>
      </c>
    </row>
    <row r="26" spans="1:7" ht="15" x14ac:dyDescent="0.25">
      <c r="A26" t="s">
        <v>1145</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1467</v>
      </c>
      <c r="B49" s="135" t="str">
        <f>IF('Aud Quest 2'!B53="x","Yes",IF('Aud Quest 2'!B53&lt;&gt;"x","0"))</f>
        <v>Yes</v>
      </c>
      <c r="G49" s="1899">
        <v>102540800</v>
      </c>
    </row>
    <row r="50" spans="1:7" ht="15" x14ac:dyDescent="0.25">
      <c r="A50" s="1" t="s">
        <v>1466</v>
      </c>
      <c r="B50" s="146">
        <f>'Aud Quest 2'!H53</f>
        <v>33239</v>
      </c>
      <c r="G50" s="1899">
        <v>202540300</v>
      </c>
    </row>
    <row r="51" spans="1:7" ht="15" x14ac:dyDescent="0.25">
      <c r="A51" s="1" t="s">
        <v>1468</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8762845</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16788</v>
      </c>
      <c r="D76" s="2" t="str">
        <f t="shared" si="0"/>
        <v>Error?</v>
      </c>
      <c r="G76" s="1899">
        <v>102570600</v>
      </c>
    </row>
    <row r="77" spans="1:7" ht="15" x14ac:dyDescent="0.25">
      <c r="A77" s="5">
        <v>16</v>
      </c>
      <c r="B77" s="1832">
        <f>'Assets-Liab 5-6'!C13</f>
        <v>19413926</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9355859</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9593021</v>
      </c>
      <c r="C91" s="2" t="s">
        <v>569</v>
      </c>
      <c r="D91" s="2" t="str">
        <f t="shared" si="0"/>
        <v>Error?</v>
      </c>
      <c r="G91" s="1899">
        <v>102640400</v>
      </c>
    </row>
    <row r="92" spans="1:7" ht="15" x14ac:dyDescent="0.25">
      <c r="A92" s="5">
        <v>31</v>
      </c>
      <c r="B92" s="1832">
        <f>'Assets-Liab 5-6'!C39</f>
        <v>8870902</v>
      </c>
      <c r="D92" s="2" t="str">
        <f t="shared" si="0"/>
        <v>Error?</v>
      </c>
      <c r="G92" s="1899">
        <v>102640600</v>
      </c>
    </row>
    <row r="93" spans="1:7" ht="15" x14ac:dyDescent="0.25">
      <c r="A93" s="5">
        <v>32</v>
      </c>
      <c r="B93" s="1832">
        <f>'Assets-Liab 5-6'!C41</f>
        <v>19413926</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891015</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3362</v>
      </c>
      <c r="D108" s="2" t="str">
        <f t="shared" si="0"/>
        <v>Error?</v>
      </c>
      <c r="G108" s="1899">
        <v>402900600</v>
      </c>
    </row>
    <row r="109" spans="1:7" ht="15" x14ac:dyDescent="0.25">
      <c r="A109" s="5">
        <v>48</v>
      </c>
      <c r="B109" s="1832">
        <f>'Assets-Liab 5-6'!D13</f>
        <v>2949029</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928931</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931508</v>
      </c>
      <c r="C122" s="2" t="s">
        <v>569</v>
      </c>
      <c r="D122" s="2" t="str">
        <f t="shared" si="0"/>
        <v>Error?</v>
      </c>
      <c r="G122" s="1899">
        <v>203000300</v>
      </c>
    </row>
    <row r="123" spans="1:7" ht="15" x14ac:dyDescent="0.25">
      <c r="A123" s="5">
        <v>62</v>
      </c>
      <c r="B123" s="1832">
        <f>'Assets-Liab 5-6'!D39</f>
        <v>2017521</v>
      </c>
      <c r="D123" s="2" t="str">
        <f t="shared" si="0"/>
        <v>Error?</v>
      </c>
      <c r="G123" s="1899">
        <v>203000400</v>
      </c>
    </row>
    <row r="124" spans="1:7" ht="15" x14ac:dyDescent="0.25">
      <c r="A124" s="5">
        <v>63</v>
      </c>
      <c r="B124" s="1832">
        <f>'Assets-Liab 5-6'!D41</f>
        <v>2949029</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869799</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2228</v>
      </c>
      <c r="D130" s="2" t="str">
        <f t="shared" si="1"/>
        <v>Error?</v>
      </c>
    </row>
    <row r="131" spans="1:7" x14ac:dyDescent="0.2">
      <c r="A131" s="5">
        <v>70</v>
      </c>
      <c r="B131" s="1832">
        <f>'Assets-Liab 5-6'!E13</f>
        <v>2213957</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907227</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907227</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2213957</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385201</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1678</v>
      </c>
      <c r="D156" s="2" t="str">
        <f t="shared" si="1"/>
        <v>Error?</v>
      </c>
    </row>
    <row r="157" spans="1:4" x14ac:dyDescent="0.2">
      <c r="A157" s="5">
        <v>96</v>
      </c>
      <c r="B157" s="1832">
        <f>'Assets-Liab 5-6'!F13</f>
        <v>1529459</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401700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476643</v>
      </c>
      <c r="C169" s="2" t="s">
        <v>569</v>
      </c>
      <c r="D169" s="2" t="str">
        <f t="shared" si="1"/>
        <v>Error?</v>
      </c>
    </row>
    <row r="170" spans="1:4" x14ac:dyDescent="0.2">
      <c r="A170" s="5">
        <v>109</v>
      </c>
      <c r="B170" s="1832">
        <f>'Assets-Liab 5-6'!F39</f>
        <v>1052816</v>
      </c>
      <c r="D170" s="2" t="str">
        <f t="shared" si="1"/>
        <v>Error?</v>
      </c>
    </row>
    <row r="171" spans="1:4" x14ac:dyDescent="0.2">
      <c r="A171" s="5">
        <v>110</v>
      </c>
      <c r="B171" s="1832">
        <f>'Assets-Liab 5-6'!F41</f>
        <v>1529459</v>
      </c>
      <c r="C171" s="2" t="s">
        <v>569</v>
      </c>
      <c r="D171" s="2" t="str">
        <f t="shared" si="1"/>
        <v>Error?</v>
      </c>
    </row>
    <row r="172" spans="1:4" x14ac:dyDescent="0.2">
      <c r="A172" s="10">
        <v>111</v>
      </c>
      <c r="B172" s="1832"/>
      <c r="D172" s="2" t="str">
        <f t="shared" si="1"/>
        <v>OK</v>
      </c>
    </row>
    <row r="173" spans="1:4" x14ac:dyDescent="0.2">
      <c r="A173" s="5">
        <v>112</v>
      </c>
      <c r="B173" s="1832">
        <f>'Assets-Liab 5-6'!G6</f>
        <v>385692</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602</v>
      </c>
      <c r="D179" s="2" t="str">
        <f t="shared" si="1"/>
        <v>Error?</v>
      </c>
    </row>
    <row r="180" spans="1:4" x14ac:dyDescent="0.2">
      <c r="A180" s="5">
        <v>119</v>
      </c>
      <c r="B180" s="1832">
        <f>'Assets-Liab 5-6'!G13</f>
        <v>748842</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401700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401700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748842</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8694</v>
      </c>
      <c r="D202" s="2" t="str">
        <f t="shared" si="2"/>
        <v>Error?</v>
      </c>
    </row>
    <row r="203" spans="1:4" x14ac:dyDescent="0.2">
      <c r="A203" s="5">
        <v>142</v>
      </c>
      <c r="B203" s="1832">
        <f>'Assets-Liab 5-6'!H13</f>
        <v>5245806</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76522</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5245806</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294943</v>
      </c>
      <c r="D273" s="2" t="str">
        <f t="shared" si="3"/>
        <v>Error?</v>
      </c>
    </row>
    <row r="274" spans="1:4" x14ac:dyDescent="0.2">
      <c r="A274" s="5">
        <v>213</v>
      </c>
      <c r="B274" s="1832">
        <f>'Assets-Liab 5-6'!M17</f>
        <v>36504309</v>
      </c>
      <c r="D274" s="2" t="str">
        <f t="shared" si="3"/>
        <v>Error?</v>
      </c>
    </row>
    <row r="275" spans="1:4" x14ac:dyDescent="0.2">
      <c r="A275" s="5">
        <v>214</v>
      </c>
      <c r="B275" s="1832">
        <f>'Assets-Liab 5-6'!M18</f>
        <v>14508694</v>
      </c>
      <c r="D275" s="2" t="str">
        <f t="shared" si="3"/>
        <v>Error?</v>
      </c>
    </row>
    <row r="276" spans="1:4" x14ac:dyDescent="0.2">
      <c r="A276" s="5">
        <v>215</v>
      </c>
      <c r="B276" s="1832">
        <f>'Assets-Liab 5-6'!M19</f>
        <v>5297547</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56702350</v>
      </c>
      <c r="C279" s="2" t="s">
        <v>569</v>
      </c>
      <c r="D279" s="2" t="str">
        <f t="shared" si="3"/>
        <v>Error?</v>
      </c>
    </row>
    <row r="280" spans="1:4" x14ac:dyDescent="0.2">
      <c r="A280" s="5">
        <v>219</v>
      </c>
      <c r="B280" s="1832">
        <f>'Assets-Liab 5-6'!M40</f>
        <v>56702350</v>
      </c>
      <c r="D280" s="2" t="str">
        <f t="shared" si="3"/>
        <v>Error?</v>
      </c>
    </row>
    <row r="281" spans="1:4" x14ac:dyDescent="0.2">
      <c r="A281" s="5">
        <v>220</v>
      </c>
      <c r="B281" s="1832">
        <f>'Assets-Liab 5-6'!M41</f>
        <v>56702350</v>
      </c>
      <c r="C281" s="2" t="s">
        <v>569</v>
      </c>
      <c r="D281" s="2" t="str">
        <f t="shared" si="3"/>
        <v>Error?</v>
      </c>
    </row>
    <row r="282" spans="1:4" x14ac:dyDescent="0.2">
      <c r="A282" s="5">
        <v>221</v>
      </c>
      <c r="B282" s="1832">
        <f>'Assets-Liab 5-6'!N21</f>
        <v>1306730</v>
      </c>
      <c r="D282" s="2" t="str">
        <f t="shared" si="3"/>
        <v>Error?</v>
      </c>
    </row>
    <row r="283" spans="1:4" x14ac:dyDescent="0.2">
      <c r="A283" s="5">
        <v>222</v>
      </c>
      <c r="B283" s="1832">
        <f>'Assets-Liab 5-6'!N22</f>
        <v>6493270</v>
      </c>
      <c r="D283" s="2" t="str">
        <f t="shared" si="3"/>
        <v>Error?</v>
      </c>
    </row>
    <row r="284" spans="1:4" x14ac:dyDescent="0.2">
      <c r="A284" s="5">
        <v>223</v>
      </c>
      <c r="B284" s="1832">
        <f>'Assets-Liab 5-6'!N23</f>
        <v>7800000</v>
      </c>
      <c r="C284" s="2" t="s">
        <v>569</v>
      </c>
      <c r="D284" s="2" t="str">
        <f t="shared" si="3"/>
        <v>Error?</v>
      </c>
    </row>
    <row r="285" spans="1:4" x14ac:dyDescent="0.2">
      <c r="A285" s="5">
        <v>224</v>
      </c>
      <c r="B285" s="1832">
        <f>'Assets-Liab 5-6'!N36</f>
        <v>7800000</v>
      </c>
      <c r="D285" s="2" t="str">
        <f t="shared" si="3"/>
        <v>Error?</v>
      </c>
    </row>
    <row r="286" spans="1:4" x14ac:dyDescent="0.2">
      <c r="A286" s="10">
        <v>225</v>
      </c>
      <c r="B286" s="1832"/>
      <c r="D286" s="2" t="str">
        <f t="shared" si="3"/>
        <v>OK</v>
      </c>
    </row>
    <row r="287" spans="1:4" x14ac:dyDescent="0.2">
      <c r="A287" s="5">
        <v>226</v>
      </c>
      <c r="B287" s="1832">
        <f>'Assets-Liab 5-6'!N37</f>
        <v>7800000</v>
      </c>
      <c r="C287" s="2" t="s">
        <v>569</v>
      </c>
      <c r="D287" s="2" t="str">
        <f t="shared" si="3"/>
        <v>Error?</v>
      </c>
    </row>
    <row r="288" spans="1:4" x14ac:dyDescent="0.2">
      <c r="A288" s="5">
        <v>227</v>
      </c>
      <c r="B288" s="1832">
        <f>'Assets-Liab 5-6'!N41</f>
        <v>7800000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6310000</v>
      </c>
      <c r="D651" s="2" t="str">
        <f t="shared" si="9"/>
        <v>Error?</v>
      </c>
    </row>
    <row r="652" spans="1:4" x14ac:dyDescent="0.2">
      <c r="A652" s="5">
        <v>591</v>
      </c>
      <c r="B652" s="1832">
        <f>'Acct Summary 7-8'!I34</f>
        <v>761497</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8175456</v>
      </c>
      <c r="D705" s="2" t="str">
        <f t="shared" si="10"/>
        <v>Error?</v>
      </c>
    </row>
    <row r="706" spans="1:4" x14ac:dyDescent="0.2">
      <c r="A706" s="5">
        <v>645</v>
      </c>
      <c r="B706" s="1832">
        <f>'Expenditures 15-22'!C16</f>
        <v>295109</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463008</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176923</v>
      </c>
      <c r="D718" s="2" t="str">
        <f t="shared" si="10"/>
        <v>Error?</v>
      </c>
    </row>
    <row r="719" spans="1:4" x14ac:dyDescent="0.2">
      <c r="A719" s="5">
        <v>658</v>
      </c>
      <c r="B719" s="1832">
        <f>'Expenditures 15-22'!C15</f>
        <v>39087</v>
      </c>
      <c r="D719" s="2" t="str">
        <f t="shared" si="10"/>
        <v>Error?</v>
      </c>
    </row>
    <row r="720" spans="1:4" x14ac:dyDescent="0.2">
      <c r="A720" s="5">
        <v>659</v>
      </c>
      <c r="B720" s="1832">
        <f>'Expenditures 15-22'!C33</f>
        <v>11623602</v>
      </c>
      <c r="C720" s="2" t="s">
        <v>569</v>
      </c>
      <c r="D720" s="2" t="str">
        <f t="shared" si="10"/>
        <v>Error?</v>
      </c>
    </row>
    <row r="721" spans="1:4" x14ac:dyDescent="0.2">
      <c r="A721" s="5">
        <v>660</v>
      </c>
      <c r="B721" s="1832">
        <f>'Expenditures 15-22'!C36</f>
        <v>290254</v>
      </c>
      <c r="D721" s="2" t="str">
        <f t="shared" si="10"/>
        <v>Error?</v>
      </c>
    </row>
    <row r="722" spans="1:4" x14ac:dyDescent="0.2">
      <c r="A722" s="5">
        <v>661</v>
      </c>
      <c r="B722" s="1832">
        <f>'Expenditures 15-22'!C37</f>
        <v>62736</v>
      </c>
      <c r="D722" s="2" t="str">
        <f t="shared" si="10"/>
        <v>Error?</v>
      </c>
    </row>
    <row r="723" spans="1:4" x14ac:dyDescent="0.2">
      <c r="A723" s="5">
        <v>662</v>
      </c>
      <c r="B723" s="1832">
        <f>'Expenditures 15-22'!C38</f>
        <v>145069</v>
      </c>
      <c r="D723" s="2" t="str">
        <f t="shared" si="10"/>
        <v>Error?</v>
      </c>
    </row>
    <row r="724" spans="1:4" x14ac:dyDescent="0.2">
      <c r="A724" s="5">
        <v>663</v>
      </c>
      <c r="B724" s="1832">
        <f>'Expenditures 15-22'!C39</f>
        <v>260434</v>
      </c>
      <c r="D724" s="2" t="str">
        <f t="shared" si="10"/>
        <v>Error?</v>
      </c>
    </row>
    <row r="725" spans="1:4" x14ac:dyDescent="0.2">
      <c r="A725" s="5">
        <v>664</v>
      </c>
      <c r="B725" s="1832">
        <f>'Expenditures 15-22'!C40</f>
        <v>592225</v>
      </c>
      <c r="D725" s="2" t="str">
        <f t="shared" si="10"/>
        <v>Error?</v>
      </c>
    </row>
    <row r="726" spans="1:4" x14ac:dyDescent="0.2">
      <c r="A726" s="5">
        <v>665</v>
      </c>
      <c r="B726" s="1832">
        <f>'Expenditures 15-22'!C41</f>
        <v>278337</v>
      </c>
      <c r="D726" s="2" t="str">
        <f t="shared" si="10"/>
        <v>Error?</v>
      </c>
    </row>
    <row r="727" spans="1:4" x14ac:dyDescent="0.2">
      <c r="A727" s="5">
        <v>666</v>
      </c>
      <c r="B727" s="1832">
        <f>'Expenditures 15-22'!C42</f>
        <v>1629055</v>
      </c>
      <c r="C727" s="2" t="s">
        <v>569</v>
      </c>
      <c r="D727" s="2" t="str">
        <f t="shared" si="10"/>
        <v>Error?</v>
      </c>
    </row>
    <row r="728" spans="1:4" x14ac:dyDescent="0.2">
      <c r="A728" s="5">
        <v>667</v>
      </c>
      <c r="B728" s="1832">
        <f>'Expenditures 15-22'!C44</f>
        <v>397343</v>
      </c>
      <c r="D728" s="2" t="str">
        <f t="shared" si="10"/>
        <v>Error?</v>
      </c>
    </row>
    <row r="729" spans="1:4" x14ac:dyDescent="0.2">
      <c r="A729" s="5">
        <v>668</v>
      </c>
      <c r="B729" s="1832">
        <f>'Expenditures 15-22'!C45</f>
        <v>309472</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706815</v>
      </c>
      <c r="C731" s="2" t="s">
        <v>569</v>
      </c>
      <c r="D731" s="2" t="str">
        <f t="shared" si="10"/>
        <v>Error?</v>
      </c>
    </row>
    <row r="732" spans="1:4" x14ac:dyDescent="0.2">
      <c r="A732" s="5">
        <v>671</v>
      </c>
      <c r="B732" s="1832">
        <f>'Expenditures 15-22'!C49</f>
        <v>38621</v>
      </c>
      <c r="D732" s="2" t="str">
        <f t="shared" si="10"/>
        <v>Error?</v>
      </c>
    </row>
    <row r="733" spans="1:4" x14ac:dyDescent="0.2">
      <c r="A733" s="5">
        <v>672</v>
      </c>
      <c r="B733" s="1832">
        <f>'Expenditures 15-22'!C50</f>
        <v>289808</v>
      </c>
      <c r="D733" s="2" t="str">
        <f t="shared" si="10"/>
        <v>Error?</v>
      </c>
    </row>
    <row r="734" spans="1:4" x14ac:dyDescent="0.2">
      <c r="A734" s="5">
        <v>673</v>
      </c>
      <c r="B734" s="1832">
        <f>'Expenditures 15-22'!C53</f>
        <v>328429</v>
      </c>
      <c r="C734" s="2" t="s">
        <v>569</v>
      </c>
      <c r="D734" s="2" t="str">
        <f t="shared" si="10"/>
        <v>Error?</v>
      </c>
    </row>
    <row r="735" spans="1:4" x14ac:dyDescent="0.2">
      <c r="A735" s="5">
        <v>674</v>
      </c>
      <c r="B735" s="1832">
        <f>'Expenditures 15-22'!C55</f>
        <v>852709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852709</v>
      </c>
      <c r="C737" s="2" t="s">
        <v>569</v>
      </c>
      <c r="D737" s="2" t="str">
        <f t="shared" si="10"/>
        <v>Error?</v>
      </c>
    </row>
    <row r="738" spans="1:4" x14ac:dyDescent="0.2">
      <c r="A738" s="5">
        <v>677</v>
      </c>
      <c r="B738" s="1832">
        <f>'Expenditures 15-22'!C59</f>
        <v>137784</v>
      </c>
      <c r="D738" s="2" t="str">
        <f t="shared" si="10"/>
        <v>Error?</v>
      </c>
    </row>
    <row r="739" spans="1:4" x14ac:dyDescent="0.2">
      <c r="A739" s="5">
        <v>678</v>
      </c>
      <c r="B739" s="1832">
        <f>'Expenditures 15-22'!C60</f>
        <v>123520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261304</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30906</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254622</v>
      </c>
      <c r="D751" s="2" t="str">
        <f t="shared" si="10"/>
        <v>Error?</v>
      </c>
    </row>
    <row r="752" spans="1:4" x14ac:dyDescent="0.2">
      <c r="A752" s="10">
        <v>691</v>
      </c>
      <c r="B752" s="1832"/>
      <c r="D752" s="2" t="str">
        <f t="shared" si="10"/>
        <v>OK</v>
      </c>
    </row>
    <row r="753" spans="1:4" x14ac:dyDescent="0.2">
      <c r="A753" s="5">
        <v>692</v>
      </c>
      <c r="B753" s="1832">
        <f>'Expenditures 15-22'!C72</f>
        <v>285528</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4063840</v>
      </c>
      <c r="C755" s="2" t="s">
        <v>569</v>
      </c>
      <c r="D755" s="2" t="str">
        <f t="shared" si="10"/>
        <v>Error?</v>
      </c>
    </row>
    <row r="756" spans="1:4" x14ac:dyDescent="0.2">
      <c r="A756" s="5">
        <v>695</v>
      </c>
      <c r="B756" s="1832">
        <f>'Expenditures 15-22'!C75</f>
        <v>26142</v>
      </c>
      <c r="D756" s="2" t="str">
        <f t="shared" si="10"/>
        <v>Error?</v>
      </c>
    </row>
    <row r="757" spans="1:4" x14ac:dyDescent="0.2">
      <c r="A757" s="5">
        <v>696</v>
      </c>
      <c r="B757" s="1832">
        <f>'Expenditures 15-22'!C114</f>
        <v>15713584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1691438</v>
      </c>
      <c r="D763" s="2" t="str">
        <f t="shared" si="10"/>
        <v>Error?</v>
      </c>
    </row>
    <row r="764" spans="1:4" x14ac:dyDescent="0.2">
      <c r="A764" s="5">
        <v>703</v>
      </c>
      <c r="B764" s="1832">
        <f>'Expenditures 15-22'!D16</f>
        <v>68734</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110335</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2742</v>
      </c>
      <c r="D776" s="2" t="str">
        <f t="shared" si="11"/>
        <v>Error?</v>
      </c>
    </row>
    <row r="777" spans="1:4" x14ac:dyDescent="0.2">
      <c r="A777" s="5">
        <v>716</v>
      </c>
      <c r="B777" s="1832">
        <f>'Expenditures 15-22'!D15</f>
        <v>492</v>
      </c>
      <c r="D777" s="2" t="str">
        <f t="shared" si="11"/>
        <v>Error?</v>
      </c>
    </row>
    <row r="778" spans="1:4" x14ac:dyDescent="0.2">
      <c r="A778" s="5">
        <v>717</v>
      </c>
      <c r="B778" s="1832">
        <f>'Expenditures 15-22'!D33</f>
        <v>2881071</v>
      </c>
      <c r="C778" s="2" t="s">
        <v>569</v>
      </c>
      <c r="D778" s="2" t="str">
        <f t="shared" si="11"/>
        <v>Error?</v>
      </c>
    </row>
    <row r="779" spans="1:4" x14ac:dyDescent="0.2">
      <c r="A779" s="5">
        <v>718</v>
      </c>
      <c r="B779" s="1832">
        <f>'Expenditures 15-22'!D36</f>
        <v>55769</v>
      </c>
      <c r="D779" s="2" t="str">
        <f t="shared" si="11"/>
        <v>Error?</v>
      </c>
    </row>
    <row r="780" spans="1:4" x14ac:dyDescent="0.2">
      <c r="A780" s="5">
        <v>719</v>
      </c>
      <c r="B780" s="1832">
        <f>'Expenditures 15-22'!D37</f>
        <v>2829</v>
      </c>
      <c r="D780" s="2" t="str">
        <f t="shared" si="11"/>
        <v>Error?</v>
      </c>
    </row>
    <row r="781" spans="1:4" x14ac:dyDescent="0.2">
      <c r="A781" s="5">
        <v>720</v>
      </c>
      <c r="B781" s="1832">
        <f>'Expenditures 15-22'!D38</f>
        <v>70603</v>
      </c>
      <c r="D781" s="2" t="str">
        <f t="shared" si="11"/>
        <v>Error?</v>
      </c>
    </row>
    <row r="782" spans="1:4" x14ac:dyDescent="0.2">
      <c r="A782" s="5">
        <v>721</v>
      </c>
      <c r="B782" s="1832">
        <f>'Expenditures 15-22'!D39</f>
        <v>68748</v>
      </c>
      <c r="D782" s="2" t="str">
        <f t="shared" si="11"/>
        <v>Error?</v>
      </c>
    </row>
    <row r="783" spans="1:4" x14ac:dyDescent="0.2">
      <c r="A783" s="5">
        <v>722</v>
      </c>
      <c r="B783" s="1832">
        <f>'Expenditures 15-22'!D40</f>
        <v>138185</v>
      </c>
      <c r="D783" s="2" t="str">
        <f t="shared" si="11"/>
        <v>Error?</v>
      </c>
    </row>
    <row r="784" spans="1:4" x14ac:dyDescent="0.2">
      <c r="A784" s="5">
        <v>723</v>
      </c>
      <c r="B784" s="1832">
        <f>'Expenditures 15-22'!D41</f>
        <v>79616</v>
      </c>
      <c r="D784" s="2" t="str">
        <f t="shared" si="11"/>
        <v>Error?</v>
      </c>
    </row>
    <row r="785" spans="1:4" x14ac:dyDescent="0.2">
      <c r="A785" s="5">
        <v>724</v>
      </c>
      <c r="B785" s="1832">
        <f>'Expenditures 15-22'!D42</f>
        <v>415750</v>
      </c>
      <c r="C785" s="2" t="s">
        <v>569</v>
      </c>
      <c r="D785" s="2" t="str">
        <f t="shared" si="11"/>
        <v>Error?</v>
      </c>
    </row>
    <row r="786" spans="1:4" x14ac:dyDescent="0.2">
      <c r="A786" s="5">
        <v>725</v>
      </c>
      <c r="B786" s="1832">
        <f>'Expenditures 15-22'!D44</f>
        <v>87072</v>
      </c>
      <c r="D786" s="2" t="str">
        <f t="shared" si="11"/>
        <v>Error?</v>
      </c>
    </row>
    <row r="787" spans="1:4" x14ac:dyDescent="0.2">
      <c r="A787" s="5">
        <v>726</v>
      </c>
      <c r="B787" s="1832">
        <f>'Expenditures 15-22'!D45</f>
        <v>126107</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213179</v>
      </c>
      <c r="C789" s="2" t="s">
        <v>569</v>
      </c>
      <c r="D789" s="2" t="str">
        <f t="shared" si="11"/>
        <v>Error?</v>
      </c>
    </row>
    <row r="790" spans="1:4" x14ac:dyDescent="0.2">
      <c r="A790" s="5">
        <v>729</v>
      </c>
      <c r="B790" s="1832">
        <f>'Expenditures 15-22'!D49</f>
        <v>24070</v>
      </c>
      <c r="D790" s="2" t="str">
        <f t="shared" si="11"/>
        <v>Error?</v>
      </c>
    </row>
    <row r="791" spans="1:4" x14ac:dyDescent="0.2">
      <c r="A791" s="5">
        <v>730</v>
      </c>
      <c r="B791" s="1832">
        <f>'Expenditures 15-22'!D50</f>
        <v>37128</v>
      </c>
      <c r="D791" s="2" t="str">
        <f t="shared" si="11"/>
        <v>Error?</v>
      </c>
    </row>
    <row r="792" spans="1:4" x14ac:dyDescent="0.2">
      <c r="A792" s="5">
        <v>731</v>
      </c>
      <c r="B792" s="1832">
        <f>'Expenditures 15-22'!D53</f>
        <v>61198</v>
      </c>
      <c r="C792" s="2" t="s">
        <v>569</v>
      </c>
      <c r="D792" s="2" t="str">
        <f t="shared" si="11"/>
        <v>Error?</v>
      </c>
    </row>
    <row r="793" spans="1:4" x14ac:dyDescent="0.2">
      <c r="A793" s="5">
        <v>732</v>
      </c>
      <c r="B793" s="1832">
        <f>'Expenditures 15-22'!D55</f>
        <v>290418</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290418</v>
      </c>
      <c r="C795" s="2" t="s">
        <v>569</v>
      </c>
      <c r="D795" s="2" t="str">
        <f t="shared" si="11"/>
        <v>Error?</v>
      </c>
    </row>
    <row r="796" spans="1:4" x14ac:dyDescent="0.2">
      <c r="A796" s="5">
        <v>735</v>
      </c>
      <c r="B796" s="1832">
        <f>'Expenditures 15-22'!D59</f>
        <v>30093</v>
      </c>
      <c r="D796" s="2" t="str">
        <f t="shared" si="11"/>
        <v>Error?</v>
      </c>
    </row>
    <row r="797" spans="1:4" x14ac:dyDescent="0.2">
      <c r="A797" s="5">
        <v>736</v>
      </c>
      <c r="B797" s="1832">
        <f>'Expenditures 15-22'!D60</f>
        <v>36117</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66210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19892</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72092</v>
      </c>
      <c r="D809" s="2" t="str">
        <f t="shared" si="11"/>
        <v>Error?</v>
      </c>
    </row>
    <row r="810" spans="1:4" x14ac:dyDescent="0.2">
      <c r="A810" s="10">
        <v>749</v>
      </c>
      <c r="B810" s="1832"/>
      <c r="D810" s="2" t="str">
        <f t="shared" si="11"/>
        <v>OK</v>
      </c>
    </row>
    <row r="811" spans="1:4" x14ac:dyDescent="0.2">
      <c r="A811" s="5">
        <v>750</v>
      </c>
      <c r="B811" s="1832">
        <f>'Expenditures 15-22'!D72</f>
        <v>91984</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1138739</v>
      </c>
      <c r="C813" s="2" t="s">
        <v>569</v>
      </c>
      <c r="D813" s="2" t="str">
        <f t="shared" si="11"/>
        <v>Error?</v>
      </c>
    </row>
    <row r="814" spans="1:4" x14ac:dyDescent="0.2">
      <c r="A814" s="5">
        <v>753</v>
      </c>
      <c r="B814" s="1832">
        <f>'Expenditures 15-22'!D75</f>
        <v>2574</v>
      </c>
      <c r="D814" s="2" t="str">
        <f t="shared" si="11"/>
        <v>Error?</v>
      </c>
    </row>
    <row r="815" spans="1:4" x14ac:dyDescent="0.2">
      <c r="A815" s="5">
        <v>754</v>
      </c>
      <c r="B815" s="1832">
        <f>'Expenditures 15-22'!D114</f>
        <v>4022384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100208</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8005</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2770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131519</v>
      </c>
      <c r="C836" s="2" t="s">
        <v>569</v>
      </c>
      <c r="D836" s="2" t="str">
        <f t="shared" si="12"/>
        <v>Error?</v>
      </c>
    </row>
    <row r="837" spans="1:4" x14ac:dyDescent="0.2">
      <c r="A837" s="5">
        <v>776</v>
      </c>
      <c r="B837" s="1832">
        <f>'Expenditures 15-22'!E36</f>
        <v>454</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404</v>
      </c>
      <c r="D839" s="2" t="str">
        <f t="shared" si="12"/>
        <v>Error?</v>
      </c>
    </row>
    <row r="840" spans="1:4" x14ac:dyDescent="0.2">
      <c r="A840" s="5">
        <v>779</v>
      </c>
      <c r="B840" s="1832">
        <f>'Expenditures 15-22'!E39</f>
        <v>7035</v>
      </c>
      <c r="D840" s="2" t="str">
        <f t="shared" si="12"/>
        <v>Error?</v>
      </c>
    </row>
    <row r="841" spans="1:4" x14ac:dyDescent="0.2">
      <c r="A841" s="5">
        <v>780</v>
      </c>
      <c r="B841" s="1832">
        <f>'Expenditures 15-22'!E40</f>
        <v>103</v>
      </c>
      <c r="D841" s="2" t="str">
        <f t="shared" si="12"/>
        <v>Error?</v>
      </c>
    </row>
    <row r="842" spans="1:4" x14ac:dyDescent="0.2">
      <c r="A842" s="5">
        <v>781</v>
      </c>
      <c r="B842" s="1832">
        <f>'Expenditures 15-22'!E41</f>
        <v>8407</v>
      </c>
      <c r="D842" s="2" t="str">
        <f t="shared" si="12"/>
        <v>Error?</v>
      </c>
    </row>
    <row r="843" spans="1:4" x14ac:dyDescent="0.2">
      <c r="A843" s="5">
        <v>782</v>
      </c>
      <c r="B843" s="1832">
        <f>'Expenditures 15-22'!E42</f>
        <v>16403</v>
      </c>
      <c r="C843" s="2" t="s">
        <v>569</v>
      </c>
      <c r="D843" s="2" t="str">
        <f t="shared" si="12"/>
        <v>Error?</v>
      </c>
    </row>
    <row r="844" spans="1:4" x14ac:dyDescent="0.2">
      <c r="A844" s="5">
        <v>783</v>
      </c>
      <c r="B844" s="1832">
        <f>'Expenditures 15-22'!E44</f>
        <v>68960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68960</v>
      </c>
      <c r="C847" s="2" t="s">
        <v>569</v>
      </c>
      <c r="D847" s="2" t="str">
        <f t="shared" si="12"/>
        <v>Error?</v>
      </c>
    </row>
    <row r="848" spans="1:4" x14ac:dyDescent="0.2">
      <c r="A848" s="5">
        <v>787</v>
      </c>
      <c r="B848" s="1832">
        <f>'Expenditures 15-22'!E49</f>
        <v>262018</v>
      </c>
      <c r="D848" s="2" t="str">
        <f t="shared" si="12"/>
        <v>Error?</v>
      </c>
    </row>
    <row r="849" spans="1:4" x14ac:dyDescent="0.2">
      <c r="A849" s="5">
        <v>788</v>
      </c>
      <c r="B849" s="1832">
        <f>'Expenditures 15-22'!E50</f>
        <v>4980</v>
      </c>
      <c r="D849" s="2" t="str">
        <f t="shared" si="12"/>
        <v>Error?</v>
      </c>
    </row>
    <row r="850" spans="1:4" x14ac:dyDescent="0.2">
      <c r="A850" s="5">
        <v>789</v>
      </c>
      <c r="B850" s="1832">
        <f>'Expenditures 15-22'!E53</f>
        <v>266998</v>
      </c>
      <c r="C850" s="2" t="s">
        <v>569</v>
      </c>
      <c r="D850" s="2" t="str">
        <f t="shared" si="12"/>
        <v>Error?</v>
      </c>
    </row>
    <row r="851" spans="1:4" x14ac:dyDescent="0.2">
      <c r="A851" s="5">
        <v>790</v>
      </c>
      <c r="B851" s="1832">
        <f>'Expenditures 15-22'!E55</f>
        <v>6436</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6436</v>
      </c>
      <c r="C853" s="2" t="s">
        <v>569</v>
      </c>
      <c r="D853" s="2" t="str">
        <f t="shared" si="12"/>
        <v>Error?</v>
      </c>
    </row>
    <row r="854" spans="1:4" x14ac:dyDescent="0.2">
      <c r="A854" s="5">
        <v>793</v>
      </c>
      <c r="B854" s="1832">
        <f>'Expenditures 15-22'!E59</f>
        <v>57928</v>
      </c>
      <c r="D854" s="2" t="str">
        <f t="shared" si="12"/>
        <v>Error?</v>
      </c>
    </row>
    <row r="855" spans="1:4" x14ac:dyDescent="0.2">
      <c r="A855" s="5">
        <v>794</v>
      </c>
      <c r="B855" s="1832">
        <f>'Expenditures 15-22'!E60</f>
        <v>55325</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262624</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375877</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17182</v>
      </c>
      <c r="D867" s="2" t="str">
        <f t="shared" si="12"/>
        <v>Error?</v>
      </c>
    </row>
    <row r="868" spans="1:4" x14ac:dyDescent="0.2">
      <c r="A868" s="10">
        <v>807</v>
      </c>
      <c r="B868" s="1832"/>
      <c r="D868" s="2" t="str">
        <f t="shared" si="12"/>
        <v>OK</v>
      </c>
    </row>
    <row r="869" spans="1:4" x14ac:dyDescent="0.2">
      <c r="A869" s="5">
        <v>808</v>
      </c>
      <c r="B869" s="1832">
        <f>'Expenditures 15-22'!E72</f>
        <v>17182</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751856</v>
      </c>
      <c r="C871" s="2" t="s">
        <v>569</v>
      </c>
      <c r="D871" s="2" t="str">
        <f t="shared" si="12"/>
        <v>Error?</v>
      </c>
    </row>
    <row r="872" spans="1:4" x14ac:dyDescent="0.2">
      <c r="A872" s="5">
        <v>811</v>
      </c>
      <c r="B872" s="1832">
        <f>'Expenditures 15-22'!E75</f>
        <v>2313</v>
      </c>
      <c r="D872" s="2" t="str">
        <f t="shared" si="12"/>
        <v>Error?</v>
      </c>
    </row>
    <row r="873" spans="1:4" x14ac:dyDescent="0.2">
      <c r="A873" s="5">
        <v>812</v>
      </c>
      <c r="B873" s="1832">
        <f>'Expenditures 15-22'!E114</f>
        <v>899640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385488</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10575</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10462</v>
      </c>
      <c r="D892" s="2" t="str">
        <f t="shared" si="12"/>
        <v>Error?</v>
      </c>
    </row>
    <row r="893" spans="1:4" x14ac:dyDescent="0.2">
      <c r="A893" s="5">
        <v>832</v>
      </c>
      <c r="B893" s="1832">
        <f>'Expenditures 15-22'!F15</f>
        <v>1056</v>
      </c>
      <c r="D893" s="2" t="str">
        <f t="shared" si="12"/>
        <v>Error?</v>
      </c>
    </row>
    <row r="894" spans="1:4" x14ac:dyDescent="0.2">
      <c r="A894" s="5">
        <v>833</v>
      </c>
      <c r="B894" s="1832">
        <f>'Expenditures 15-22'!F33</f>
        <v>480086</v>
      </c>
      <c r="C894" s="2" t="s">
        <v>569</v>
      </c>
      <c r="D894" s="2" t="str">
        <f t="shared" si="12"/>
        <v>Error?</v>
      </c>
    </row>
    <row r="895" spans="1:4" x14ac:dyDescent="0.2">
      <c r="A895" s="5">
        <v>834</v>
      </c>
      <c r="B895" s="1832">
        <f>'Expenditures 15-22'!F36</f>
        <v>5220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6937</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1435</v>
      </c>
      <c r="D899" s="2" t="str">
        <f t="shared" si="13"/>
        <v>Error?</v>
      </c>
    </row>
    <row r="900" spans="1:4" x14ac:dyDescent="0.2">
      <c r="A900" s="5">
        <v>839</v>
      </c>
      <c r="B900" s="1832">
        <f>'Expenditures 15-22'!F41</f>
        <v>250</v>
      </c>
      <c r="D900" s="2" t="str">
        <f t="shared" si="13"/>
        <v>Error?</v>
      </c>
    </row>
    <row r="901" spans="1:4" x14ac:dyDescent="0.2">
      <c r="A901" s="5">
        <v>840</v>
      </c>
      <c r="B901" s="1832">
        <f>'Expenditures 15-22'!F42</f>
        <v>13842</v>
      </c>
      <c r="C901" s="2" t="s">
        <v>569</v>
      </c>
      <c r="D901" s="2" t="str">
        <f t="shared" si="13"/>
        <v>Error?</v>
      </c>
    </row>
    <row r="902" spans="1:4" x14ac:dyDescent="0.2">
      <c r="A902" s="5">
        <v>841</v>
      </c>
      <c r="B902" s="1832">
        <f>'Expenditures 15-22'!F44</f>
        <v>2573</v>
      </c>
      <c r="D902" s="2" t="str">
        <f t="shared" si="13"/>
        <v>Error?</v>
      </c>
    </row>
    <row r="903" spans="1:4" x14ac:dyDescent="0.2">
      <c r="A903" s="5">
        <v>842</v>
      </c>
      <c r="B903" s="1832">
        <f>'Expenditures 15-22'!F45</f>
        <v>46652</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49225</v>
      </c>
      <c r="C905" s="2" t="s">
        <v>569</v>
      </c>
      <c r="D905" s="2" t="str">
        <f t="shared" si="13"/>
        <v>Error?</v>
      </c>
    </row>
    <row r="906" spans="1:4" x14ac:dyDescent="0.2">
      <c r="A906" s="5">
        <v>845</v>
      </c>
      <c r="B906" s="1832">
        <f>'Expenditures 15-22'!F49</f>
        <v>16411</v>
      </c>
      <c r="D906" s="2" t="str">
        <f t="shared" si="13"/>
        <v>Error?</v>
      </c>
    </row>
    <row r="907" spans="1:4" x14ac:dyDescent="0.2">
      <c r="A907" s="5">
        <v>846</v>
      </c>
      <c r="B907" s="1832">
        <f>'Expenditures 15-22'!F50</f>
        <v>1600</v>
      </c>
      <c r="D907" s="2" t="str">
        <f t="shared" si="13"/>
        <v>Error?</v>
      </c>
    </row>
    <row r="908" spans="1:4" x14ac:dyDescent="0.2">
      <c r="A908" s="5">
        <v>847</v>
      </c>
      <c r="B908" s="1832">
        <f>'Expenditures 15-22'!F53</f>
        <v>18011</v>
      </c>
      <c r="C908" s="2" t="s">
        <v>569</v>
      </c>
      <c r="D908" s="2" t="str">
        <f t="shared" si="13"/>
        <v>Error?</v>
      </c>
    </row>
    <row r="909" spans="1:4" x14ac:dyDescent="0.2">
      <c r="A909" s="5">
        <v>848</v>
      </c>
      <c r="B909" s="1832">
        <f>'Expenditures 15-22'!F55</f>
        <v>4265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4265</v>
      </c>
      <c r="C911" s="2" t="s">
        <v>569</v>
      </c>
      <c r="D911" s="2" t="str">
        <f t="shared" si="13"/>
        <v>Error?</v>
      </c>
    </row>
    <row r="912" spans="1:4" x14ac:dyDescent="0.2">
      <c r="A912" s="5">
        <v>851</v>
      </c>
      <c r="B912" s="1832">
        <f>'Expenditures 15-22'!F59</f>
        <v>29527</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126109</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155636</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413998</v>
      </c>
      <c r="D925" s="2" t="str">
        <f t="shared" si="13"/>
        <v>Error?</v>
      </c>
    </row>
    <row r="926" spans="1:4" x14ac:dyDescent="0.2">
      <c r="A926" s="10">
        <v>865</v>
      </c>
      <c r="B926" s="1832"/>
      <c r="D926" s="2" t="str">
        <f t="shared" si="13"/>
        <v>OK</v>
      </c>
    </row>
    <row r="927" spans="1:4" x14ac:dyDescent="0.2">
      <c r="A927" s="5">
        <v>866</v>
      </c>
      <c r="B927" s="1832">
        <f>'Expenditures 15-22'!F72</f>
        <v>413998</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654977</v>
      </c>
      <c r="C929" s="2" t="s">
        <v>569</v>
      </c>
      <c r="D929" s="2" t="str">
        <f t="shared" si="13"/>
        <v>Error?</v>
      </c>
    </row>
    <row r="930" spans="1:4" x14ac:dyDescent="0.2">
      <c r="A930" s="5">
        <v>869</v>
      </c>
      <c r="B930" s="1832">
        <f>'Expenditures 15-22'!F75</f>
        <v>266</v>
      </c>
      <c r="D930" s="2" t="str">
        <f t="shared" si="13"/>
        <v>Error?</v>
      </c>
    </row>
    <row r="931" spans="1:4" x14ac:dyDescent="0.2">
      <c r="A931" s="5">
        <v>870</v>
      </c>
      <c r="B931" s="1832">
        <f>'Expenditures 15-22'!F114</f>
        <v>1135329</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243</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1900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652285</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200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200</v>
      </c>
      <c r="C1021" s="2" t="s">
        <v>569</v>
      </c>
      <c r="D1021" s="2" t="str">
        <f t="shared" si="14"/>
        <v>Error?</v>
      </c>
    </row>
    <row r="1022" spans="1:4" x14ac:dyDescent="0.2">
      <c r="A1022" s="5">
        <v>961</v>
      </c>
      <c r="B1022" s="1832">
        <f>'Expenditures 15-22'!H49</f>
        <v>13152</v>
      </c>
      <c r="D1022" s="2" t="str">
        <f t="shared" si="14"/>
        <v>Error?</v>
      </c>
    </row>
    <row r="1023" spans="1:4" x14ac:dyDescent="0.2">
      <c r="A1023" s="5">
        <v>962</v>
      </c>
      <c r="B1023" s="1832">
        <f>'Expenditures 15-22'!H50</f>
        <v>2814</v>
      </c>
      <c r="D1023" s="2" t="str">
        <f t="shared" ref="D1023:D1086" si="15">IF(ISBLANK(B1023),"OK",IF(A1023-B1023=0,"OK","Error?"))</f>
        <v>Error?</v>
      </c>
    </row>
    <row r="1024" spans="1:4" x14ac:dyDescent="0.2">
      <c r="A1024" s="5">
        <v>963</v>
      </c>
      <c r="B1024" s="1832">
        <f>'Expenditures 15-22'!H53</f>
        <v>15966</v>
      </c>
      <c r="C1024" s="2" t="s">
        <v>569</v>
      </c>
      <c r="D1024" s="2" t="str">
        <f t="shared" si="15"/>
        <v>Error?</v>
      </c>
    </row>
    <row r="1025" spans="1:4" x14ac:dyDescent="0.2">
      <c r="A1025" s="5">
        <v>964</v>
      </c>
      <c r="B1025" s="1832">
        <f>'Expenditures 15-22'!H55</f>
        <v>178</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178</v>
      </c>
      <c r="C1027" s="2" t="s">
        <v>569</v>
      </c>
      <c r="D1027" s="2" t="str">
        <f t="shared" si="15"/>
        <v>Error?</v>
      </c>
    </row>
    <row r="1028" spans="1:4" x14ac:dyDescent="0.2">
      <c r="A1028" s="5">
        <v>967</v>
      </c>
      <c r="B1028" s="1832">
        <f>'Expenditures 15-22'!H59</f>
        <v>16178</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16178</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32522</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641520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1326327</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10362132</v>
      </c>
      <c r="C1093" s="2" t="s">
        <v>569</v>
      </c>
      <c r="D1093" s="2" t="str">
        <f t="shared" si="16"/>
        <v>Error?</v>
      </c>
    </row>
    <row r="1094" spans="1:4" x14ac:dyDescent="0.2">
      <c r="A1094" s="5">
        <v>1033</v>
      </c>
      <c r="B1094" s="1832">
        <f>'Expenditures 15-22'!K16</f>
        <v>363843</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591923</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194797</v>
      </c>
      <c r="C1106" s="2" t="s">
        <v>569</v>
      </c>
      <c r="D1106" s="2" t="str">
        <f t="shared" si="16"/>
        <v>Error?</v>
      </c>
    </row>
    <row r="1107" spans="1:4" x14ac:dyDescent="0.2">
      <c r="A1107" s="5">
        <v>1046</v>
      </c>
      <c r="B1107" s="1832">
        <f>'Expenditures 15-22'!K15</f>
        <v>40635</v>
      </c>
      <c r="C1107" s="2" t="s">
        <v>569</v>
      </c>
      <c r="D1107" s="2" t="str">
        <f t="shared" si="16"/>
        <v>Error?</v>
      </c>
    </row>
    <row r="1108" spans="1:4" x14ac:dyDescent="0.2">
      <c r="A1108" s="5">
        <v>1047</v>
      </c>
      <c r="B1108" s="1832">
        <f>'Expenditures 15-22'!K33</f>
        <v>15777862</v>
      </c>
      <c r="C1108" s="2" t="s">
        <v>569</v>
      </c>
      <c r="D1108" s="2" t="str">
        <f t="shared" si="16"/>
        <v>Error?</v>
      </c>
    </row>
    <row r="1109" spans="1:4" x14ac:dyDescent="0.2">
      <c r="A1109" s="5">
        <v>1048</v>
      </c>
      <c r="B1109" s="1832">
        <f>'Expenditures 15-22'!K36</f>
        <v>351697</v>
      </c>
      <c r="C1109" s="2" t="s">
        <v>569</v>
      </c>
      <c r="D1109" s="2" t="str">
        <f t="shared" si="16"/>
        <v>Error?</v>
      </c>
    </row>
    <row r="1110" spans="1:4" x14ac:dyDescent="0.2">
      <c r="A1110" s="5">
        <v>1049</v>
      </c>
      <c r="B1110" s="1832">
        <f>'Expenditures 15-22'!K37</f>
        <v>65565</v>
      </c>
      <c r="C1110" s="2" t="s">
        <v>569</v>
      </c>
      <c r="D1110" s="2" t="str">
        <f t="shared" si="16"/>
        <v>Error?</v>
      </c>
    </row>
    <row r="1111" spans="1:4" x14ac:dyDescent="0.2">
      <c r="A1111" s="5">
        <v>1050</v>
      </c>
      <c r="B1111" s="1832">
        <f>'Expenditures 15-22'!K38</f>
        <v>223013</v>
      </c>
      <c r="C1111" s="2" t="s">
        <v>569</v>
      </c>
      <c r="D1111" s="2" t="str">
        <f t="shared" si="16"/>
        <v>Error?</v>
      </c>
    </row>
    <row r="1112" spans="1:4" x14ac:dyDescent="0.2">
      <c r="A1112" s="5">
        <v>1051</v>
      </c>
      <c r="B1112" s="1832">
        <f>'Expenditures 15-22'!K39</f>
        <v>336515</v>
      </c>
      <c r="C1112" s="2" t="s">
        <v>569</v>
      </c>
      <c r="D1112" s="2" t="str">
        <f t="shared" si="16"/>
        <v>Error?</v>
      </c>
    </row>
    <row r="1113" spans="1:4" x14ac:dyDescent="0.2">
      <c r="A1113" s="5">
        <v>1052</v>
      </c>
      <c r="B1113" s="1832">
        <f>'Expenditures 15-22'!K40</f>
        <v>731948</v>
      </c>
      <c r="C1113" s="2" t="s">
        <v>569</v>
      </c>
      <c r="D1113" s="2" t="str">
        <f t="shared" si="16"/>
        <v>Error?</v>
      </c>
    </row>
    <row r="1114" spans="1:4" x14ac:dyDescent="0.2">
      <c r="A1114" s="5">
        <v>1053</v>
      </c>
      <c r="B1114" s="1832">
        <f>'Expenditures 15-22'!K41</f>
        <v>366610</v>
      </c>
      <c r="C1114" s="2" t="s">
        <v>569</v>
      </c>
      <c r="D1114" s="2" t="str">
        <f t="shared" si="16"/>
        <v>Error?</v>
      </c>
    </row>
    <row r="1115" spans="1:4" x14ac:dyDescent="0.2">
      <c r="A1115" s="5">
        <v>1054</v>
      </c>
      <c r="B1115" s="1832">
        <f>'Expenditures 15-22'!K42</f>
        <v>2075348</v>
      </c>
      <c r="C1115" s="2" t="s">
        <v>569</v>
      </c>
      <c r="D1115" s="2" t="str">
        <f t="shared" si="16"/>
        <v>Error?</v>
      </c>
    </row>
    <row r="1116" spans="1:4" x14ac:dyDescent="0.2">
      <c r="A1116" s="5">
        <v>1055</v>
      </c>
      <c r="B1116" s="1832">
        <f>'Expenditures 15-22'!K44</f>
        <v>556148</v>
      </c>
      <c r="C1116" s="2" t="s">
        <v>569</v>
      </c>
      <c r="D1116" s="2" t="str">
        <f t="shared" si="16"/>
        <v>Error?</v>
      </c>
    </row>
    <row r="1117" spans="1:4" x14ac:dyDescent="0.2">
      <c r="A1117" s="5">
        <v>1056</v>
      </c>
      <c r="B1117" s="1832">
        <f>'Expenditures 15-22'!K45</f>
        <v>482231</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1038379</v>
      </c>
      <c r="C1119" s="2" t="s">
        <v>569</v>
      </c>
      <c r="D1119" s="2" t="str">
        <f t="shared" si="16"/>
        <v>Error?</v>
      </c>
    </row>
    <row r="1120" spans="1:4" x14ac:dyDescent="0.2">
      <c r="A1120" s="5">
        <v>1059</v>
      </c>
      <c r="B1120" s="1832">
        <f>'Expenditures 15-22'!K49</f>
        <v>354272</v>
      </c>
      <c r="C1120" s="2" t="s">
        <v>569</v>
      </c>
      <c r="D1120" s="2" t="str">
        <f t="shared" si="16"/>
        <v>Error?</v>
      </c>
    </row>
    <row r="1121" spans="1:4" x14ac:dyDescent="0.2">
      <c r="A1121" s="5">
        <v>1060</v>
      </c>
      <c r="B1121" s="1832">
        <f>'Expenditures 15-22'!K50</f>
        <v>336330</v>
      </c>
      <c r="C1121" s="2" t="s">
        <v>569</v>
      </c>
      <c r="D1121" s="2" t="str">
        <f t="shared" si="16"/>
        <v>Error?</v>
      </c>
    </row>
    <row r="1122" spans="1:4" x14ac:dyDescent="0.2">
      <c r="A1122" s="5">
        <v>1061</v>
      </c>
      <c r="B1122" s="1832">
        <f>'Expenditures 15-22'!K53</f>
        <v>690602</v>
      </c>
      <c r="C1122" s="2" t="s">
        <v>569</v>
      </c>
      <c r="D1122" s="2" t="str">
        <f t="shared" si="16"/>
        <v>Error?</v>
      </c>
    </row>
    <row r="1123" spans="1:4" x14ac:dyDescent="0.2">
      <c r="A1123" s="5">
        <v>1062</v>
      </c>
      <c r="B1123" s="1832">
        <f>'Expenditures 15-22'!K55</f>
        <v>1154006</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1154006</v>
      </c>
      <c r="C1125" s="2" t="s">
        <v>569</v>
      </c>
      <c r="D1125" s="2" t="str">
        <f t="shared" si="16"/>
        <v>Error?</v>
      </c>
    </row>
    <row r="1126" spans="1:4" x14ac:dyDescent="0.2">
      <c r="A1126" s="5">
        <v>1065</v>
      </c>
      <c r="B1126" s="1832">
        <f>'Expenditures 15-22'!K59</f>
        <v>271510</v>
      </c>
      <c r="C1126" s="2" t="s">
        <v>569</v>
      </c>
      <c r="D1126" s="2" t="str">
        <f t="shared" si="16"/>
        <v>Error?</v>
      </c>
    </row>
    <row r="1127" spans="1:4" x14ac:dyDescent="0.2">
      <c r="A1127" s="5">
        <v>1066</v>
      </c>
      <c r="B1127" s="1832">
        <f>'Expenditures 15-22'!K60</f>
        <v>214962</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388733</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875205</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50798</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825754</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876552</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6710092</v>
      </c>
      <c r="C1143" s="2" t="s">
        <v>569</v>
      </c>
      <c r="D1143" s="2" t="str">
        <f t="shared" si="16"/>
        <v>Error?</v>
      </c>
    </row>
    <row r="1144" spans="1:4" x14ac:dyDescent="0.2">
      <c r="A1144" s="5">
        <v>1083</v>
      </c>
      <c r="B1144" s="1832">
        <f>'Expenditures 15-22'!K75</f>
        <v>31295</v>
      </c>
      <c r="C1144" s="2" t="s">
        <v>569</v>
      </c>
      <c r="D1144" s="2" t="str">
        <f t="shared" si="16"/>
        <v>Error?</v>
      </c>
    </row>
    <row r="1145" spans="1:4" x14ac:dyDescent="0.2">
      <c r="A1145" s="5">
        <v>1084</v>
      </c>
      <c r="B1145" s="1832">
        <f>'Expenditures 15-22'!K102</f>
        <v>655472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23174721</v>
      </c>
      <c r="C1152" s="2" t="s">
        <v>569</v>
      </c>
      <c r="D1152" s="2" t="str">
        <f t="shared" si="17"/>
        <v>Error?</v>
      </c>
    </row>
    <row r="1153" spans="1:4" x14ac:dyDescent="0.2">
      <c r="A1153" s="5">
        <v>1092</v>
      </c>
      <c r="B1153" s="1832">
        <f>'Expenditures 15-22'!K115</f>
        <v>-1096446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866295</v>
      </c>
      <c r="D1221" s="2" t="str">
        <f t="shared" si="18"/>
        <v>Error?</v>
      </c>
    </row>
    <row r="1222" spans="1:4" x14ac:dyDescent="0.2">
      <c r="A1222" s="10">
        <v>1161</v>
      </c>
      <c r="B1222" s="1832"/>
      <c r="D1222" s="2" t="str">
        <f t="shared" si="18"/>
        <v>OK</v>
      </c>
    </row>
    <row r="1223" spans="1:4" x14ac:dyDescent="0.2">
      <c r="A1223" s="5">
        <v>1162</v>
      </c>
      <c r="B1223" s="1832">
        <f>'Expenditures 15-22'!C127</f>
        <v>866295</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866295</v>
      </c>
      <c r="C1225" s="2" t="s">
        <v>569</v>
      </c>
      <c r="D1225" s="2" t="str">
        <f t="shared" si="18"/>
        <v>Error?</v>
      </c>
    </row>
    <row r="1226" spans="1:4" x14ac:dyDescent="0.2">
      <c r="A1226" s="5">
        <v>1165</v>
      </c>
      <c r="B1226" s="1832">
        <f>'Expenditures 15-22'!C151</f>
        <v>866295</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349783</v>
      </c>
      <c r="D1229" s="2" t="str">
        <f t="shared" si="18"/>
        <v>Error?</v>
      </c>
    </row>
    <row r="1230" spans="1:4" x14ac:dyDescent="0.2">
      <c r="A1230" s="10">
        <v>1169</v>
      </c>
      <c r="B1230" s="1832"/>
      <c r="D1230" s="2" t="str">
        <f t="shared" si="18"/>
        <v>OK</v>
      </c>
    </row>
    <row r="1231" spans="1:4" x14ac:dyDescent="0.2">
      <c r="A1231" s="5">
        <v>1170</v>
      </c>
      <c r="B1231" s="1832">
        <f>'Expenditures 15-22'!D127</f>
        <v>349783</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349783</v>
      </c>
      <c r="C1233" s="2" t="s">
        <v>569</v>
      </c>
      <c r="D1233" s="2" t="str">
        <f t="shared" si="18"/>
        <v>Error?</v>
      </c>
    </row>
    <row r="1234" spans="1:4" x14ac:dyDescent="0.2">
      <c r="A1234" s="5">
        <v>1173</v>
      </c>
      <c r="B1234" s="1832">
        <f>'Expenditures 15-22'!D151</f>
        <v>349783</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439607</v>
      </c>
      <c r="D1237" s="2" t="str">
        <f t="shared" si="18"/>
        <v>Error?</v>
      </c>
    </row>
    <row r="1238" spans="1:4" x14ac:dyDescent="0.2">
      <c r="A1238" s="10">
        <v>1177</v>
      </c>
      <c r="B1238" s="1832"/>
      <c r="D1238" s="2" t="str">
        <f t="shared" si="18"/>
        <v>OK</v>
      </c>
    </row>
    <row r="1239" spans="1:4" x14ac:dyDescent="0.2">
      <c r="A1239" s="5">
        <v>1178</v>
      </c>
      <c r="B1239" s="1832">
        <f>'Expenditures 15-22'!E127</f>
        <v>439607</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439607</v>
      </c>
      <c r="C1241" s="2" t="s">
        <v>569</v>
      </c>
      <c r="D1241" s="2" t="str">
        <f t="shared" si="18"/>
        <v>Error?</v>
      </c>
    </row>
    <row r="1242" spans="1:4" x14ac:dyDescent="0.2">
      <c r="A1242" s="5">
        <v>1181</v>
      </c>
      <c r="B1242" s="1832">
        <f>'Expenditures 15-22'!E151</f>
        <v>439607</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466157</v>
      </c>
      <c r="D1245" s="2" t="str">
        <f t="shared" si="18"/>
        <v>Error?</v>
      </c>
    </row>
    <row r="1246" spans="1:4" x14ac:dyDescent="0.2">
      <c r="A1246" s="10">
        <v>1185</v>
      </c>
      <c r="B1246" s="1832"/>
      <c r="D1246" s="2" t="str">
        <f t="shared" si="18"/>
        <v>OK</v>
      </c>
    </row>
    <row r="1247" spans="1:4" x14ac:dyDescent="0.2">
      <c r="A1247" s="5">
        <v>1186</v>
      </c>
      <c r="B1247" s="1832">
        <f>'Expenditures 15-22'!F127</f>
        <v>466157</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466157</v>
      </c>
      <c r="C1249" s="2" t="s">
        <v>569</v>
      </c>
      <c r="D1249" s="2" t="str">
        <f t="shared" si="18"/>
        <v>Error?</v>
      </c>
    </row>
    <row r="1250" spans="1:4" x14ac:dyDescent="0.2">
      <c r="A1250" s="5">
        <v>1189</v>
      </c>
      <c r="B1250" s="1832">
        <f>'Expenditures 15-22'!F151</f>
        <v>466157</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25</v>
      </c>
      <c r="D1262" s="2" t="str">
        <f t="shared" si="18"/>
        <v>Error?</v>
      </c>
    </row>
    <row r="1263" spans="1:4" x14ac:dyDescent="0.2">
      <c r="A1263" s="10">
        <v>1202</v>
      </c>
      <c r="B1263" s="1832"/>
      <c r="D1263" s="2" t="str">
        <f t="shared" si="18"/>
        <v>OK</v>
      </c>
    </row>
    <row r="1264" spans="1:4" x14ac:dyDescent="0.2">
      <c r="A1264" s="5">
        <v>1203</v>
      </c>
      <c r="B1264" s="1832">
        <f>'Expenditures 15-22'!H127</f>
        <v>25</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25</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25</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2162757</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2162757</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2162757</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2162757</v>
      </c>
      <c r="C1288" s="2" t="s">
        <v>569</v>
      </c>
      <c r="D1288" s="2" t="str">
        <f t="shared" si="19"/>
        <v>Error?</v>
      </c>
    </row>
    <row r="1289" spans="1:4" x14ac:dyDescent="0.2">
      <c r="A1289" s="5">
        <v>1228</v>
      </c>
      <c r="B1289" s="1832">
        <f>'Expenditures 15-22'!K152</f>
        <v>54388</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159536</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1680000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1839536</v>
      </c>
      <c r="C1317" s="2" t="s">
        <v>569</v>
      </c>
      <c r="D1317" s="2" t="str">
        <f t="shared" si="19"/>
        <v>Error?</v>
      </c>
    </row>
    <row r="1318" spans="1:4" x14ac:dyDescent="0.2">
      <c r="A1318" s="5">
        <v>1257</v>
      </c>
      <c r="B1318" s="1832">
        <f>'Expenditures 15-22'!H174</f>
        <v>1839536</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159536</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1680000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1839536</v>
      </c>
      <c r="C1331" s="2" t="s">
        <v>569</v>
      </c>
      <c r="D1331" s="2" t="str">
        <f t="shared" si="19"/>
        <v>Error?</v>
      </c>
    </row>
    <row r="1332" spans="1:4" x14ac:dyDescent="0.2">
      <c r="A1332" s="5">
        <v>1271</v>
      </c>
      <c r="B1332" s="1832">
        <f>'Expenditures 15-22'!K174</f>
        <v>1839536</v>
      </c>
      <c r="C1332" s="2" t="s">
        <v>569</v>
      </c>
      <c r="D1332" s="2" t="str">
        <f t="shared" si="19"/>
        <v>Error?</v>
      </c>
    </row>
    <row r="1333" spans="1:4" x14ac:dyDescent="0.2">
      <c r="A1333" s="5">
        <v>1272</v>
      </c>
      <c r="B1333" s="1832">
        <f>'Expenditures 15-22'!K175</f>
        <v>-19722</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638837</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638837</v>
      </c>
      <c r="C1339" s="2" t="s">
        <v>569</v>
      </c>
      <c r="D1339" s="2" t="str">
        <f t="shared" si="19"/>
        <v>Error?</v>
      </c>
    </row>
    <row r="1340" spans="1:4" x14ac:dyDescent="0.2">
      <c r="A1340" s="5">
        <v>1279</v>
      </c>
      <c r="B1340" s="1832">
        <f>'Expenditures 15-22'!C210</f>
        <v>638837</v>
      </c>
      <c r="C1340" s="2" t="s">
        <v>569</v>
      </c>
      <c r="D1340" s="2" t="str">
        <f t="shared" si="19"/>
        <v>Error?</v>
      </c>
    </row>
    <row r="1341" spans="1:4" x14ac:dyDescent="0.2">
      <c r="A1341" s="5">
        <v>1280</v>
      </c>
      <c r="B1341" s="1832">
        <f>'Expenditures 15-22'!D182</f>
        <v>320584</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320584</v>
      </c>
      <c r="C1345" s="2" t="s">
        <v>569</v>
      </c>
      <c r="D1345" s="2" t="str">
        <f t="shared" si="20"/>
        <v>Error?</v>
      </c>
    </row>
    <row r="1346" spans="1:4" x14ac:dyDescent="0.2">
      <c r="A1346" s="5">
        <v>1285</v>
      </c>
      <c r="B1346" s="1832">
        <f>'Expenditures 15-22'!D210</f>
        <v>320584</v>
      </c>
      <c r="C1346" s="2" t="s">
        <v>569</v>
      </c>
      <c r="D1346" s="2" t="str">
        <f t="shared" si="20"/>
        <v>Error?</v>
      </c>
    </row>
    <row r="1347" spans="1:4" x14ac:dyDescent="0.2">
      <c r="A1347" s="5">
        <v>1286</v>
      </c>
      <c r="B1347" s="1832">
        <f>'Expenditures 15-22'!E182</f>
        <v>712339</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712339</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712339</v>
      </c>
      <c r="C1353" s="2" t="s">
        <v>569</v>
      </c>
      <c r="D1353" s="2" t="str">
        <f t="shared" si="20"/>
        <v>Error?</v>
      </c>
    </row>
    <row r="1354" spans="1:4" x14ac:dyDescent="0.2">
      <c r="A1354" s="5">
        <v>1293</v>
      </c>
      <c r="B1354" s="1832">
        <f>'Expenditures 15-22'!F182</f>
        <v>102018</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102018</v>
      </c>
      <c r="C1358" s="2" t="s">
        <v>569</v>
      </c>
      <c r="D1358" s="2" t="str">
        <f t="shared" si="20"/>
        <v>Error?</v>
      </c>
    </row>
    <row r="1359" spans="1:4" x14ac:dyDescent="0.2">
      <c r="A1359" s="5">
        <v>1298</v>
      </c>
      <c r="B1359" s="1832">
        <f>'Expenditures 15-22'!F210</f>
        <v>102018</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845</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845</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845</v>
      </c>
      <c r="C1376" s="2" t="s">
        <v>569</v>
      </c>
      <c r="D1376" s="2" t="str">
        <f t="shared" si="20"/>
        <v>Error?</v>
      </c>
    </row>
    <row r="1377" spans="1:4" x14ac:dyDescent="0.2">
      <c r="A1377" s="5">
        <v>1316</v>
      </c>
      <c r="B1377" s="1832">
        <f>'Expenditures 15-22'!K182</f>
        <v>1776910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1776910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1776910</v>
      </c>
      <c r="C1388" s="2" t="s">
        <v>569</v>
      </c>
      <c r="D1388" s="2" t="str">
        <f t="shared" si="20"/>
        <v>Error?</v>
      </c>
    </row>
    <row r="1389" spans="1:4" x14ac:dyDescent="0.2">
      <c r="A1389" s="5">
        <v>1328</v>
      </c>
      <c r="B1389" s="1832">
        <f>'Expenditures 15-22'!K211</f>
        <v>102192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4117</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6453</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3793</v>
      </c>
      <c r="D1408" s="2" t="str">
        <f t="shared" si="21"/>
        <v>Error?</v>
      </c>
    </row>
    <row r="1409" spans="1:4" x14ac:dyDescent="0.2">
      <c r="A1409" s="5">
        <v>1348</v>
      </c>
      <c r="B1409" s="1832">
        <f>'Expenditures 15-22'!D224</f>
        <v>1570</v>
      </c>
      <c r="D1409" s="2" t="str">
        <f t="shared" si="21"/>
        <v>Error?</v>
      </c>
    </row>
    <row r="1410" spans="1:4" x14ac:dyDescent="0.2">
      <c r="A1410" s="5">
        <v>1349</v>
      </c>
      <c r="B1410" s="1832">
        <f>'Expenditures 15-22'!D229</f>
        <v>286714</v>
      </c>
      <c r="C1410" s="2" t="s">
        <v>569</v>
      </c>
      <c r="D1410" s="2" t="str">
        <f t="shared" si="21"/>
        <v>Error?</v>
      </c>
    </row>
    <row r="1411" spans="1:4" x14ac:dyDescent="0.2">
      <c r="A1411" s="5">
        <v>1350</v>
      </c>
      <c r="B1411" s="1832">
        <f>'Expenditures 15-22'!D232</f>
        <v>4016</v>
      </c>
      <c r="D1411" s="2" t="str">
        <f t="shared" si="21"/>
        <v>Error?</v>
      </c>
    </row>
    <row r="1412" spans="1:4" x14ac:dyDescent="0.2">
      <c r="A1412" s="5">
        <v>1351</v>
      </c>
      <c r="B1412" s="1832">
        <f>'Expenditures 15-22'!D233</f>
        <v>888</v>
      </c>
      <c r="D1412" s="2" t="str">
        <f t="shared" si="21"/>
        <v>Error?</v>
      </c>
    </row>
    <row r="1413" spans="1:4" x14ac:dyDescent="0.2">
      <c r="A1413" s="5">
        <v>1352</v>
      </c>
      <c r="B1413" s="1832">
        <f>'Expenditures 15-22'!D234</f>
        <v>17416</v>
      </c>
      <c r="D1413" s="2" t="str">
        <f t="shared" si="21"/>
        <v>Error?</v>
      </c>
    </row>
    <row r="1414" spans="1:4" x14ac:dyDescent="0.2">
      <c r="A1414" s="5">
        <v>1353</v>
      </c>
      <c r="B1414" s="1832">
        <f>'Expenditures 15-22'!D235</f>
        <v>3622</v>
      </c>
      <c r="D1414" s="2" t="str">
        <f t="shared" si="21"/>
        <v>Error?</v>
      </c>
    </row>
    <row r="1415" spans="1:4" x14ac:dyDescent="0.2">
      <c r="A1415" s="5">
        <v>1354</v>
      </c>
      <c r="B1415" s="1832">
        <f>'Expenditures 15-22'!D236</f>
        <v>8370</v>
      </c>
      <c r="D1415" s="2" t="str">
        <f t="shared" si="21"/>
        <v>Error?</v>
      </c>
    </row>
    <row r="1416" spans="1:4" x14ac:dyDescent="0.2">
      <c r="A1416" s="5">
        <v>1355</v>
      </c>
      <c r="B1416" s="1832">
        <f>'Expenditures 15-22'!D237</f>
        <v>46022</v>
      </c>
      <c r="D1416" s="2" t="str">
        <f t="shared" si="21"/>
        <v>Error?</v>
      </c>
    </row>
    <row r="1417" spans="1:4" x14ac:dyDescent="0.2">
      <c r="A1417" s="5">
        <v>1356</v>
      </c>
      <c r="B1417" s="1832">
        <f>'Expenditures 15-22'!D238</f>
        <v>80334</v>
      </c>
      <c r="C1417" s="2" t="s">
        <v>569</v>
      </c>
      <c r="D1417" s="2" t="str">
        <f t="shared" si="21"/>
        <v>Error?</v>
      </c>
    </row>
    <row r="1418" spans="1:4" x14ac:dyDescent="0.2">
      <c r="A1418" s="5">
        <v>1357</v>
      </c>
      <c r="B1418" s="1832">
        <f>'Expenditures 15-22'!D240</f>
        <v>15210</v>
      </c>
      <c r="D1418" s="2" t="str">
        <f t="shared" si="21"/>
        <v>Error?</v>
      </c>
    </row>
    <row r="1419" spans="1:4" x14ac:dyDescent="0.2">
      <c r="A1419" s="5">
        <v>1358</v>
      </c>
      <c r="B1419" s="1832">
        <f>'Expenditures 15-22'!D241</f>
        <v>24273</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39483</v>
      </c>
      <c r="C1421" s="2" t="s">
        <v>569</v>
      </c>
      <c r="D1421" s="2" t="str">
        <f t="shared" si="21"/>
        <v>Error?</v>
      </c>
    </row>
    <row r="1422" spans="1:4" x14ac:dyDescent="0.2">
      <c r="A1422" s="5">
        <v>1361</v>
      </c>
      <c r="B1422" s="1832">
        <f>'Expenditures 15-22'!D245</f>
        <v>7008</v>
      </c>
      <c r="D1422" s="2" t="str">
        <f t="shared" si="21"/>
        <v>Error?</v>
      </c>
    </row>
    <row r="1423" spans="1:4" x14ac:dyDescent="0.2">
      <c r="A1423" s="5">
        <v>1362</v>
      </c>
      <c r="B1423" s="1832">
        <f>'Expenditures 15-22'!D246</f>
        <v>17375</v>
      </c>
      <c r="D1423" s="2" t="str">
        <f t="shared" si="21"/>
        <v>Error?</v>
      </c>
    </row>
    <row r="1424" spans="1:4" x14ac:dyDescent="0.2">
      <c r="A1424" s="5">
        <v>1363</v>
      </c>
      <c r="B1424" s="1832">
        <f>'Expenditures 15-22'!D257</f>
        <v>24383</v>
      </c>
      <c r="C1424" s="2" t="s">
        <v>569</v>
      </c>
      <c r="D1424" s="2" t="str">
        <f t="shared" si="21"/>
        <v>Error?</v>
      </c>
    </row>
    <row r="1425" spans="1:4" x14ac:dyDescent="0.2">
      <c r="A1425" s="5">
        <v>1364</v>
      </c>
      <c r="B1425" s="1832">
        <f>'Expenditures 15-22'!D259</f>
        <v>48181</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48181</v>
      </c>
      <c r="C1427" s="2" t="s">
        <v>569</v>
      </c>
      <c r="D1427" s="2" t="str">
        <f t="shared" si="21"/>
        <v>Error?</v>
      </c>
    </row>
    <row r="1428" spans="1:4" x14ac:dyDescent="0.2">
      <c r="A1428" s="5">
        <v>1367</v>
      </c>
      <c r="B1428" s="1832">
        <f>'Expenditures 15-22'!D263</f>
        <v>1945</v>
      </c>
      <c r="D1428" s="2" t="str">
        <f t="shared" si="21"/>
        <v>Error?</v>
      </c>
    </row>
    <row r="1429" spans="1:4" x14ac:dyDescent="0.2">
      <c r="A1429" s="5">
        <v>1368</v>
      </c>
      <c r="B1429" s="1832">
        <f>'Expenditures 15-22'!D264</f>
        <v>22636</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150844</v>
      </c>
      <c r="D1431" s="2" t="str">
        <f t="shared" si="21"/>
        <v>Error?</v>
      </c>
    </row>
    <row r="1432" spans="1:4" x14ac:dyDescent="0.2">
      <c r="A1432" s="5">
        <v>1371</v>
      </c>
      <c r="B1432" s="1832">
        <f>'Expenditures 15-22'!D267</f>
        <v>116737</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292162</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5617</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46195</v>
      </c>
      <c r="D1442" s="2" t="str">
        <f t="shared" si="21"/>
        <v>Error?</v>
      </c>
    </row>
    <row r="1443" spans="1:4" x14ac:dyDescent="0.2">
      <c r="A1443" s="10">
        <v>1382</v>
      </c>
      <c r="B1443" s="1832"/>
      <c r="D1443" s="2" t="str">
        <f t="shared" si="21"/>
        <v>OK</v>
      </c>
    </row>
    <row r="1444" spans="1:4" x14ac:dyDescent="0.2">
      <c r="A1444" s="5">
        <v>1383</v>
      </c>
      <c r="B1444" s="1832">
        <f>'Expenditures 15-22'!D277</f>
        <v>51812</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536355</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823069</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4117</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6453</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3793</v>
      </c>
      <c r="C1472" s="2" t="s">
        <v>569</v>
      </c>
      <c r="D1472" s="2" t="str">
        <f t="shared" si="22"/>
        <v>Error?</v>
      </c>
    </row>
    <row r="1473" spans="1:4" x14ac:dyDescent="0.2">
      <c r="A1473" s="5">
        <v>1412</v>
      </c>
      <c r="B1473" s="1832">
        <f>'Expenditures 15-22'!K224</f>
        <v>1570</v>
      </c>
      <c r="C1473" s="2" t="s">
        <v>569</v>
      </c>
      <c r="D1473" s="2" t="str">
        <f t="shared" si="22"/>
        <v>Error?</v>
      </c>
    </row>
    <row r="1474" spans="1:4" x14ac:dyDescent="0.2">
      <c r="A1474" s="5">
        <v>1413</v>
      </c>
      <c r="B1474" s="1832">
        <f>'Expenditures 15-22'!K229</f>
        <v>286714</v>
      </c>
      <c r="C1474" s="2" t="s">
        <v>569</v>
      </c>
      <c r="D1474" s="2" t="str">
        <f t="shared" si="22"/>
        <v>Error?</v>
      </c>
    </row>
    <row r="1475" spans="1:4" x14ac:dyDescent="0.2">
      <c r="A1475" s="5">
        <v>1414</v>
      </c>
      <c r="B1475" s="1832">
        <f>'Expenditures 15-22'!K232</f>
        <v>4016</v>
      </c>
      <c r="C1475" s="2" t="s">
        <v>569</v>
      </c>
      <c r="D1475" s="2" t="str">
        <f t="shared" si="22"/>
        <v>Error?</v>
      </c>
    </row>
    <row r="1476" spans="1:4" x14ac:dyDescent="0.2">
      <c r="A1476" s="5">
        <v>1415</v>
      </c>
      <c r="B1476" s="1832">
        <f>'Expenditures 15-22'!K233</f>
        <v>888</v>
      </c>
      <c r="C1476" s="2" t="s">
        <v>569</v>
      </c>
      <c r="D1476" s="2" t="str">
        <f t="shared" si="22"/>
        <v>Error?</v>
      </c>
    </row>
    <row r="1477" spans="1:4" x14ac:dyDescent="0.2">
      <c r="A1477" s="5">
        <v>1416</v>
      </c>
      <c r="B1477" s="1832">
        <f>'Expenditures 15-22'!K234</f>
        <v>17416</v>
      </c>
      <c r="C1477" s="2" t="s">
        <v>569</v>
      </c>
      <c r="D1477" s="2" t="str">
        <f t="shared" si="22"/>
        <v>Error?</v>
      </c>
    </row>
    <row r="1478" spans="1:4" x14ac:dyDescent="0.2">
      <c r="A1478" s="5">
        <v>1417</v>
      </c>
      <c r="B1478" s="1832">
        <f>'Expenditures 15-22'!K235</f>
        <v>3622</v>
      </c>
      <c r="C1478" s="2" t="s">
        <v>569</v>
      </c>
      <c r="D1478" s="2" t="str">
        <f t="shared" si="22"/>
        <v>Error?</v>
      </c>
    </row>
    <row r="1479" spans="1:4" x14ac:dyDescent="0.2">
      <c r="A1479" s="5">
        <v>1418</v>
      </c>
      <c r="B1479" s="1832">
        <f>'Expenditures 15-22'!K236</f>
        <v>8370</v>
      </c>
      <c r="C1479" s="2" t="s">
        <v>569</v>
      </c>
      <c r="D1479" s="2" t="str">
        <f t="shared" si="22"/>
        <v>Error?</v>
      </c>
    </row>
    <row r="1480" spans="1:4" x14ac:dyDescent="0.2">
      <c r="A1480" s="5">
        <v>1419</v>
      </c>
      <c r="B1480" s="1832">
        <f>'Expenditures 15-22'!K237</f>
        <v>46022</v>
      </c>
      <c r="C1480" s="2" t="s">
        <v>569</v>
      </c>
      <c r="D1480" s="2" t="str">
        <f t="shared" si="22"/>
        <v>Error?</v>
      </c>
    </row>
    <row r="1481" spans="1:4" x14ac:dyDescent="0.2">
      <c r="A1481" s="5">
        <v>1420</v>
      </c>
      <c r="B1481" s="1832">
        <f>'Expenditures 15-22'!K238</f>
        <v>80334</v>
      </c>
      <c r="C1481" s="2" t="s">
        <v>569</v>
      </c>
      <c r="D1481" s="2" t="str">
        <f t="shared" si="22"/>
        <v>Error?</v>
      </c>
    </row>
    <row r="1482" spans="1:4" x14ac:dyDescent="0.2">
      <c r="A1482" s="5">
        <v>1421</v>
      </c>
      <c r="B1482" s="1832">
        <f>'Expenditures 15-22'!K240</f>
        <v>15210</v>
      </c>
      <c r="C1482" s="2" t="s">
        <v>569</v>
      </c>
      <c r="D1482" s="2" t="str">
        <f t="shared" si="22"/>
        <v>Error?</v>
      </c>
    </row>
    <row r="1483" spans="1:4" x14ac:dyDescent="0.2">
      <c r="A1483" s="5">
        <v>1422</v>
      </c>
      <c r="B1483" s="1832">
        <f>'Expenditures 15-22'!K241</f>
        <v>24273</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39483</v>
      </c>
      <c r="C1485" s="2" t="s">
        <v>569</v>
      </c>
      <c r="D1485" s="2" t="str">
        <f t="shared" si="22"/>
        <v>Error?</v>
      </c>
    </row>
    <row r="1486" spans="1:4" x14ac:dyDescent="0.2">
      <c r="A1486" s="5">
        <v>1425</v>
      </c>
      <c r="B1486" s="1832">
        <f>'Expenditures 15-22'!K245</f>
        <v>7008</v>
      </c>
      <c r="C1486" s="2" t="s">
        <v>569</v>
      </c>
      <c r="D1486" s="2" t="str">
        <f t="shared" si="22"/>
        <v>Error?</v>
      </c>
    </row>
    <row r="1487" spans="1:4" x14ac:dyDescent="0.2">
      <c r="A1487" s="5">
        <v>1426</v>
      </c>
      <c r="B1487" s="1832">
        <f>'Expenditures 15-22'!K246</f>
        <v>17375</v>
      </c>
      <c r="C1487" s="2" t="s">
        <v>569</v>
      </c>
      <c r="D1487" s="2" t="str">
        <f t="shared" si="22"/>
        <v>Error?</v>
      </c>
    </row>
    <row r="1488" spans="1:4" x14ac:dyDescent="0.2">
      <c r="A1488" s="5">
        <v>1427</v>
      </c>
      <c r="B1488" s="1832">
        <f>'Expenditures 15-22'!K257</f>
        <v>24383</v>
      </c>
      <c r="C1488" s="2" t="s">
        <v>569</v>
      </c>
      <c r="D1488" s="2" t="str">
        <f t="shared" si="22"/>
        <v>Error?</v>
      </c>
    </row>
    <row r="1489" spans="1:4" x14ac:dyDescent="0.2">
      <c r="A1489" s="5">
        <v>1428</v>
      </c>
      <c r="B1489" s="1832">
        <f>'Expenditures 15-22'!K259</f>
        <v>48181</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48181</v>
      </c>
      <c r="C1491" s="2" t="s">
        <v>569</v>
      </c>
      <c r="D1491" s="2" t="str">
        <f t="shared" si="22"/>
        <v>Error?</v>
      </c>
    </row>
    <row r="1492" spans="1:4" x14ac:dyDescent="0.2">
      <c r="A1492" s="5">
        <v>1431</v>
      </c>
      <c r="B1492" s="1832">
        <f>'Expenditures 15-22'!K263</f>
        <v>1945</v>
      </c>
      <c r="C1492" s="2" t="s">
        <v>569</v>
      </c>
      <c r="D1492" s="2" t="str">
        <f t="shared" si="22"/>
        <v>Error?</v>
      </c>
    </row>
    <row r="1493" spans="1:4" x14ac:dyDescent="0.2">
      <c r="A1493" s="5">
        <v>1432</v>
      </c>
      <c r="B1493" s="1832">
        <f>'Expenditures 15-22'!K264</f>
        <v>22636</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150844</v>
      </c>
      <c r="C1495" s="2" t="s">
        <v>569</v>
      </c>
      <c r="D1495" s="2" t="str">
        <f t="shared" si="22"/>
        <v>Error?</v>
      </c>
    </row>
    <row r="1496" spans="1:4" x14ac:dyDescent="0.2">
      <c r="A1496" s="5">
        <v>1435</v>
      </c>
      <c r="B1496" s="1832">
        <f>'Expenditures 15-22'!K267</f>
        <v>116737</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292162</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5617</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46195</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51812</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536355</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823069</v>
      </c>
      <c r="C1517" s="2" t="s">
        <v>569</v>
      </c>
      <c r="D1517" s="2" t="str">
        <f t="shared" si="22"/>
        <v>Error?</v>
      </c>
    </row>
    <row r="1518" spans="1:4" x14ac:dyDescent="0.2">
      <c r="A1518" s="5">
        <v>1457</v>
      </c>
      <c r="B1518" s="1832">
        <f>'Expenditures 15-22'!K296</f>
        <v>9079</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60916</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60916</v>
      </c>
      <c r="C1535" s="2" t="s">
        <v>569</v>
      </c>
      <c r="D1535" s="2" t="str">
        <f t="shared" ref="D1535:D1598" si="23">IF(ISBLANK(B1535),"OK",IF(A1535-B1535=0,"OK","Error?"))</f>
        <v>Error?</v>
      </c>
    </row>
    <row r="1536" spans="1:4" x14ac:dyDescent="0.2">
      <c r="A1536" s="5">
        <v>1475</v>
      </c>
      <c r="B1536" s="1832">
        <f>'Expenditures 15-22'!E312</f>
        <v>60916</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223090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223090</v>
      </c>
      <c r="C1547" s="2" t="s">
        <v>569</v>
      </c>
      <c r="D1547" s="2" t="str">
        <f t="shared" si="23"/>
        <v>Error?</v>
      </c>
    </row>
    <row r="1548" spans="1:4" x14ac:dyDescent="0.2">
      <c r="A1548" s="5">
        <v>1487</v>
      </c>
      <c r="B1548" s="1832">
        <f>'Expenditures 15-22'!G312</f>
        <v>223090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284006</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284006</v>
      </c>
      <c r="C1559" s="2" t="s">
        <v>569</v>
      </c>
      <c r="D1559" s="2" t="str">
        <f t="shared" si="23"/>
        <v>Error?</v>
      </c>
    </row>
    <row r="1560" spans="1:4" x14ac:dyDescent="0.2">
      <c r="A1560" s="5">
        <v>1499</v>
      </c>
      <c r="B1560" s="1832">
        <f>'Expenditures 15-22'!K312</f>
        <v>284006</v>
      </c>
      <c r="C1560" s="2" t="s">
        <v>569</v>
      </c>
      <c r="D1560" s="2" t="str">
        <f t="shared" si="23"/>
        <v>Error?</v>
      </c>
    </row>
    <row r="1561" spans="1:4" x14ac:dyDescent="0.2">
      <c r="A1561" s="5">
        <v>1500</v>
      </c>
      <c r="B1561" s="1832">
        <f>'Expenditures 15-22'!K313</f>
        <v>-255892</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10917351</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9820905</v>
      </c>
      <c r="C1630" s="2" t="s">
        <v>569</v>
      </c>
      <c r="D1630" s="2" t="str">
        <f t="shared" si="24"/>
        <v>Error?</v>
      </c>
    </row>
    <row r="1631" spans="1:4" x14ac:dyDescent="0.2">
      <c r="A1631" s="5">
        <v>1570</v>
      </c>
      <c r="B1631" s="1832">
        <f>'Acct Summary 7-8'!D79</f>
        <v>1963133</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2017521</v>
      </c>
      <c r="C1644" s="2" t="s">
        <v>569</v>
      </c>
      <c r="D1644" s="2" t="str">
        <f t="shared" si="24"/>
        <v>Error?</v>
      </c>
    </row>
    <row r="1645" spans="1:4" x14ac:dyDescent="0.2">
      <c r="A1645" s="5">
        <v>1584</v>
      </c>
      <c r="B1645" s="1832">
        <f>'Acct Summary 7-8'!E79</f>
        <v>1326452</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1306730</v>
      </c>
      <c r="C1658" s="2" t="s">
        <v>569</v>
      </c>
      <c r="D1658" s="2" t="str">
        <f t="shared" si="24"/>
        <v>Error?</v>
      </c>
    </row>
    <row r="1659" spans="1:4" x14ac:dyDescent="0.2">
      <c r="A1659" s="5">
        <v>1598</v>
      </c>
      <c r="B1659" s="1832">
        <f>'Acct Summary 7-8'!F79</f>
        <v>950624</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1052816</v>
      </c>
      <c r="C1672" s="2" t="s">
        <v>569</v>
      </c>
      <c r="D1672" s="2" t="str">
        <f t="shared" si="25"/>
        <v>Error?</v>
      </c>
    </row>
    <row r="1673" spans="1:4" x14ac:dyDescent="0.2">
      <c r="A1673" s="5">
        <v>1612</v>
      </c>
      <c r="B1673" s="1832">
        <f>'Acct Summary 7-8'!G79</f>
        <v>338063</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347142</v>
      </c>
      <c r="C1686" s="2" t="s">
        <v>569</v>
      </c>
      <c r="D1686" s="2" t="str">
        <f t="shared" si="25"/>
        <v>Error?</v>
      </c>
    </row>
    <row r="1687" spans="1:4" x14ac:dyDescent="0.2">
      <c r="A1687" s="5">
        <v>1626</v>
      </c>
      <c r="B1687" s="1832">
        <f>'Acct Summary 7-8'!H79</f>
        <v>548209</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5169284</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16623691</v>
      </c>
      <c r="C1744" s="2" t="s">
        <v>569</v>
      </c>
      <c r="D1744" s="2" t="str">
        <f t="shared" si="26"/>
        <v>Error?</v>
      </c>
    </row>
    <row r="1745" spans="1:5" x14ac:dyDescent="0.2">
      <c r="A1745" s="5">
        <v>1684</v>
      </c>
      <c r="B1745" s="1832">
        <f>'Tax Sched 23'!B5</f>
        <v>1838032</v>
      </c>
      <c r="C1745" s="2" t="s">
        <v>569</v>
      </c>
      <c r="D1745" s="2" t="str">
        <f t="shared" si="26"/>
        <v>Error?</v>
      </c>
    </row>
    <row r="1746" spans="1:5" x14ac:dyDescent="0.2">
      <c r="A1746" s="5">
        <v>1685</v>
      </c>
      <c r="B1746" s="1832">
        <f>'Tax Sched 23'!B6</f>
        <v>1796669</v>
      </c>
      <c r="C1746" s="2" t="s">
        <v>569</v>
      </c>
      <c r="D1746" s="2" t="str">
        <f t="shared" si="26"/>
        <v>Error?</v>
      </c>
    </row>
    <row r="1747" spans="1:5" x14ac:dyDescent="0.2">
      <c r="A1747" s="5">
        <v>1686</v>
      </c>
      <c r="B1747" s="1832">
        <f>'Tax Sched 23'!B7</f>
        <v>794813</v>
      </c>
      <c r="C1747" s="2" t="s">
        <v>569</v>
      </c>
      <c r="D1747" s="2" t="str">
        <f t="shared" si="26"/>
        <v>Error?</v>
      </c>
    </row>
    <row r="1748" spans="1:5" x14ac:dyDescent="0.2">
      <c r="A1748" s="5">
        <v>1687</v>
      </c>
      <c r="B1748" s="1832">
        <f>'Tax Sched 23'!B8</f>
        <v>397161</v>
      </c>
      <c r="C1748" s="2" t="s">
        <v>569</v>
      </c>
      <c r="D1748" s="2" t="str">
        <f t="shared" si="26"/>
        <v>Error?</v>
      </c>
    </row>
    <row r="1749" spans="1:5" x14ac:dyDescent="0.2">
      <c r="A1749" s="5">
        <v>1688</v>
      </c>
      <c r="B1749" s="1832">
        <f>'Tax Sched 23'!B10</f>
        <v>693</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694</v>
      </c>
      <c r="C1752" s="2" t="s">
        <v>569</v>
      </c>
      <c r="D1752" s="2" t="str">
        <f t="shared" si="26"/>
        <v>Error?</v>
      </c>
    </row>
    <row r="1753" spans="1:5" x14ac:dyDescent="0.2">
      <c r="A1753" s="5">
        <v>1692</v>
      </c>
      <c r="B1753" s="1832">
        <f>'Tax Sched 23'!B12</f>
        <v>694</v>
      </c>
      <c r="C1753" s="2" t="s">
        <v>569</v>
      </c>
      <c r="D1753" s="2" t="str">
        <f t="shared" si="26"/>
        <v>Error?</v>
      </c>
    </row>
    <row r="1754" spans="1:5" x14ac:dyDescent="0.2">
      <c r="A1754" s="5">
        <v>1693</v>
      </c>
      <c r="B1754" s="1832">
        <f>'Tax Sched 23'!B14</f>
        <v>1242048</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23091656</v>
      </c>
      <c r="C1759" s="2" t="s">
        <v>569</v>
      </c>
      <c r="D1759" s="2" t="str">
        <f t="shared" si="26"/>
        <v>Error?</v>
      </c>
    </row>
    <row r="1760" spans="1:5" x14ac:dyDescent="0.2">
      <c r="A1760" s="5">
        <v>1699</v>
      </c>
      <c r="B1760" s="1832">
        <f>'Tax Sched 23'!D4</f>
        <v>7765382</v>
      </c>
      <c r="C1760" s="2" t="s">
        <v>569</v>
      </c>
      <c r="D1760" s="2" t="str">
        <f t="shared" si="26"/>
        <v>Error?</v>
      </c>
    </row>
    <row r="1761" spans="1:7" x14ac:dyDescent="0.2">
      <c r="A1761" s="5">
        <v>1700</v>
      </c>
      <c r="B1761" s="1832">
        <f>'Tax Sched 23'!D5</f>
        <v>871185</v>
      </c>
      <c r="C1761" s="2" t="s">
        <v>569</v>
      </c>
      <c r="D1761" s="2" t="str">
        <f t="shared" si="26"/>
        <v>Error?</v>
      </c>
    </row>
    <row r="1762" spans="1:7" s="8" customFormat="1" x14ac:dyDescent="0.2">
      <c r="A1762" s="5">
        <v>1701</v>
      </c>
      <c r="B1762" s="1832">
        <f>'Tax Sched 23'!D6</f>
        <v>852013</v>
      </c>
      <c r="C1762" s="2" t="s">
        <v>569</v>
      </c>
      <c r="D1762" s="2" t="str">
        <f t="shared" si="26"/>
        <v>Error?</v>
      </c>
      <c r="E1762" s="9"/>
      <c r="G1762"/>
    </row>
    <row r="1763" spans="1:7" x14ac:dyDescent="0.2">
      <c r="A1763" s="5">
        <v>1702</v>
      </c>
      <c r="B1763" s="1832">
        <f>'Tax Sched 23'!D7</f>
        <v>376614</v>
      </c>
      <c r="C1763" s="2" t="s">
        <v>569</v>
      </c>
      <c r="D1763" s="2" t="str">
        <f t="shared" si="26"/>
        <v>Error?</v>
      </c>
    </row>
    <row r="1764" spans="1:7" x14ac:dyDescent="0.2">
      <c r="A1764" s="5">
        <v>1703</v>
      </c>
      <c r="B1764" s="1832">
        <f>'Tax Sched 23'!D8</f>
        <v>188307</v>
      </c>
      <c r="C1764" s="2" t="s">
        <v>569</v>
      </c>
      <c r="D1764" s="2" t="str">
        <f t="shared" si="26"/>
        <v>Error?</v>
      </c>
    </row>
    <row r="1765" spans="1:7" x14ac:dyDescent="0.2">
      <c r="A1765" s="5">
        <v>1704</v>
      </c>
      <c r="B1765" s="1832">
        <f>'Tax Sched 23'!D10</f>
        <v>325</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326</v>
      </c>
      <c r="C1768" s="2" t="s">
        <v>569</v>
      </c>
      <c r="D1768" s="2" t="str">
        <f t="shared" si="26"/>
        <v>Error?</v>
      </c>
    </row>
    <row r="1769" spans="1:7" x14ac:dyDescent="0.2">
      <c r="A1769" s="5">
        <v>1708</v>
      </c>
      <c r="B1769" s="1832">
        <f>'Tax Sched 23'!D12</f>
        <v>326</v>
      </c>
      <c r="C1769" s="2" t="s">
        <v>569</v>
      </c>
      <c r="D1769" s="2" t="str">
        <f t="shared" si="26"/>
        <v>Error?</v>
      </c>
    </row>
    <row r="1770" spans="1:7" x14ac:dyDescent="0.2">
      <c r="A1770" s="5">
        <v>1709</v>
      </c>
      <c r="B1770" s="1832">
        <f>'Tax Sched 23'!D14</f>
        <v>588697</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10831482</v>
      </c>
      <c r="C1775" s="2" t="s">
        <v>569</v>
      </c>
      <c r="D1775" s="2" t="str">
        <f t="shared" si="26"/>
        <v>Error?</v>
      </c>
    </row>
    <row r="1776" spans="1:7" x14ac:dyDescent="0.2">
      <c r="A1776" s="5">
        <v>1715</v>
      </c>
      <c r="B1776" s="1832">
        <f>'Tax Sched 23'!C4</f>
        <v>8858309</v>
      </c>
      <c r="D1776" s="2" t="str">
        <f t="shared" si="26"/>
        <v>Error?</v>
      </c>
    </row>
    <row r="1777" spans="1:4" x14ac:dyDescent="0.2">
      <c r="A1777" s="5">
        <v>1716</v>
      </c>
      <c r="B1777" s="1832">
        <f>'Tax Sched 23'!C5</f>
        <v>966847</v>
      </c>
      <c r="D1777" s="2" t="str">
        <f t="shared" si="26"/>
        <v>Error?</v>
      </c>
    </row>
    <row r="1778" spans="1:4" x14ac:dyDescent="0.2">
      <c r="A1778" s="5">
        <v>1717</v>
      </c>
      <c r="B1778" s="1832">
        <f>'Tax Sched 23'!C6</f>
        <v>944656</v>
      </c>
      <c r="D1778" s="2" t="str">
        <f t="shared" si="26"/>
        <v>Error?</v>
      </c>
    </row>
    <row r="1779" spans="1:4" x14ac:dyDescent="0.2">
      <c r="A1779" s="5">
        <v>1718</v>
      </c>
      <c r="B1779" s="1832">
        <f>'Tax Sched 23'!C7</f>
        <v>418199</v>
      </c>
      <c r="D1779" s="2" t="str">
        <f t="shared" si="26"/>
        <v>Error?</v>
      </c>
    </row>
    <row r="1780" spans="1:4" x14ac:dyDescent="0.2">
      <c r="A1780" s="5">
        <v>1719</v>
      </c>
      <c r="B1780" s="1832">
        <f>'Tax Sched 23'!C8</f>
        <v>208854</v>
      </c>
      <c r="D1780" s="2" t="str">
        <f t="shared" si="26"/>
        <v>Error?</v>
      </c>
    </row>
    <row r="1781" spans="1:4" x14ac:dyDescent="0.2">
      <c r="A1781" s="5">
        <v>1720</v>
      </c>
      <c r="B1781" s="1832">
        <f>'Tax Sched 23'!C10</f>
        <v>368</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368</v>
      </c>
      <c r="D1784" s="2" t="str">
        <f t="shared" si="26"/>
        <v>Error?</v>
      </c>
    </row>
    <row r="1785" spans="1:4" x14ac:dyDescent="0.2">
      <c r="A1785" s="5">
        <v>1724</v>
      </c>
      <c r="B1785" s="1832">
        <f>'Tax Sched 23'!C12</f>
        <v>368</v>
      </c>
      <c r="D1785" s="2" t="str">
        <f t="shared" si="26"/>
        <v>Error?</v>
      </c>
    </row>
    <row r="1786" spans="1:4" x14ac:dyDescent="0.2">
      <c r="A1786" s="5">
        <v>1725</v>
      </c>
      <c r="B1786" s="1832">
        <f>'Tax Sched 23'!C14</f>
        <v>653351</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12260174</v>
      </c>
      <c r="C1791" s="2" t="s">
        <v>569</v>
      </c>
      <c r="D1791" s="2" t="str">
        <f t="shared" ref="D1791:D1854" si="27">IF(ISBLANK(B1791),"OK",IF(A1791-B1791=0,"OK","Error?"))</f>
        <v>Error?</v>
      </c>
    </row>
    <row r="1792" spans="1:4" x14ac:dyDescent="0.2">
      <c r="A1792" s="5">
        <v>1731</v>
      </c>
      <c r="B1792" s="1832">
        <f>'Tax Sched 23'!F4</f>
        <v>8597274</v>
      </c>
      <c r="C1792" s="2" t="s">
        <v>569</v>
      </c>
      <c r="D1792" s="2" t="str">
        <f t="shared" si="27"/>
        <v>Error?</v>
      </c>
    </row>
    <row r="1793" spans="1:4" x14ac:dyDescent="0.2">
      <c r="A1793" s="5">
        <v>1732</v>
      </c>
      <c r="B1793" s="1832">
        <f>'Tax Sched 23'!F5</f>
        <v>938653</v>
      </c>
      <c r="C1793" s="2" t="s">
        <v>569</v>
      </c>
      <c r="D1793" s="2" t="str">
        <f t="shared" si="27"/>
        <v>Error?</v>
      </c>
    </row>
    <row r="1794" spans="1:4" x14ac:dyDescent="0.2">
      <c r="A1794" s="5">
        <v>1733</v>
      </c>
      <c r="B1794" s="1832">
        <f>'Tax Sched 23'!F6</f>
        <v>916324</v>
      </c>
      <c r="C1794" s="2" t="s">
        <v>569</v>
      </c>
      <c r="D1794" s="2" t="str">
        <f t="shared" si="27"/>
        <v>Error?</v>
      </c>
    </row>
    <row r="1795" spans="1:4" x14ac:dyDescent="0.2">
      <c r="A1795" s="5">
        <v>1734</v>
      </c>
      <c r="B1795" s="1832">
        <f>'Tax Sched 23'!F7</f>
        <v>405801</v>
      </c>
      <c r="C1795" s="2" t="s">
        <v>569</v>
      </c>
      <c r="D1795" s="2" t="str">
        <f t="shared" si="27"/>
        <v>Error?</v>
      </c>
    </row>
    <row r="1796" spans="1:4" x14ac:dyDescent="0.2">
      <c r="A1796" s="5">
        <v>1735</v>
      </c>
      <c r="B1796" s="1832">
        <f>'Tax Sched 23'!F8</f>
        <v>203146</v>
      </c>
      <c r="C1796" s="2" t="s">
        <v>569</v>
      </c>
      <c r="D1796" s="2" t="str">
        <f t="shared" si="27"/>
        <v>Error?</v>
      </c>
    </row>
    <row r="1797" spans="1:4" x14ac:dyDescent="0.2">
      <c r="A1797" s="5">
        <v>1736</v>
      </c>
      <c r="B1797" s="1832">
        <f>'Tax Sched 23'!F10</f>
        <v>662</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662</v>
      </c>
      <c r="C1800" s="2" t="s">
        <v>569</v>
      </c>
      <c r="D1800" s="2" t="str">
        <f t="shared" si="27"/>
        <v>Error?</v>
      </c>
    </row>
    <row r="1801" spans="1:4" x14ac:dyDescent="0.2">
      <c r="A1801" s="5">
        <v>1740</v>
      </c>
      <c r="B1801" s="1832">
        <f>'Tax Sched 23'!F12</f>
        <v>662</v>
      </c>
      <c r="C1801" s="2" t="s">
        <v>569</v>
      </c>
      <c r="D1801" s="2" t="str">
        <f t="shared" si="27"/>
        <v>Error?</v>
      </c>
    </row>
    <row r="1802" spans="1:4" x14ac:dyDescent="0.2">
      <c r="A1802" s="5">
        <v>1741</v>
      </c>
      <c r="B1802" s="1832">
        <f>'Tax Sched 23'!F14</f>
        <v>634149</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11900479</v>
      </c>
      <c r="C1807" s="2" t="s">
        <v>569</v>
      </c>
      <c r="D1807" s="2" t="str">
        <f t="shared" si="27"/>
        <v>Error?</v>
      </c>
    </row>
    <row r="1808" spans="1:4" x14ac:dyDescent="0.2">
      <c r="A1808" s="5">
        <v>1747</v>
      </c>
      <c r="B1808" s="1832">
        <f>'Tax Sched 23'!E4</f>
        <v>17455583</v>
      </c>
      <c r="D1808" s="2" t="str">
        <f t="shared" si="27"/>
        <v>Error?</v>
      </c>
    </row>
    <row r="1809" spans="1:4" x14ac:dyDescent="0.2">
      <c r="A1809" s="5">
        <v>1748</v>
      </c>
      <c r="B1809" s="1832">
        <f>'Tax Sched 23'!E5</f>
        <v>1905500</v>
      </c>
      <c r="D1809" s="2" t="str">
        <f t="shared" si="27"/>
        <v>Error?</v>
      </c>
    </row>
    <row r="1810" spans="1:4" x14ac:dyDescent="0.2">
      <c r="A1810" s="5">
        <v>1749</v>
      </c>
      <c r="B1810" s="1832">
        <f>'Tax Sched 23'!E6</f>
        <v>1860980</v>
      </c>
      <c r="D1810" s="2" t="str">
        <f t="shared" si="27"/>
        <v>Error?</v>
      </c>
    </row>
    <row r="1811" spans="1:4" x14ac:dyDescent="0.2">
      <c r="A1811" s="5">
        <v>1750</v>
      </c>
      <c r="B1811" s="1832">
        <f>'Tax Sched 23'!E7</f>
        <v>824000</v>
      </c>
      <c r="D1811" s="2" t="str">
        <f t="shared" si="27"/>
        <v>Error?</v>
      </c>
    </row>
    <row r="1812" spans="1:4" x14ac:dyDescent="0.2">
      <c r="A1812" s="5">
        <v>1751</v>
      </c>
      <c r="B1812" s="1832">
        <f>'Tax Sched 23'!E8</f>
        <v>412000</v>
      </c>
      <c r="D1812" s="2" t="str">
        <f t="shared" si="27"/>
        <v>Error?</v>
      </c>
    </row>
    <row r="1813" spans="1:4" x14ac:dyDescent="0.2">
      <c r="A1813" s="5">
        <v>1752</v>
      </c>
      <c r="B1813" s="1832">
        <f>'Tax Sched 23'!E10</f>
        <v>1030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1030</v>
      </c>
      <c r="D1816" s="2" t="str">
        <f t="shared" si="27"/>
        <v>Error?</v>
      </c>
    </row>
    <row r="1817" spans="1:4" x14ac:dyDescent="0.2">
      <c r="A1817" s="5">
        <v>1756</v>
      </c>
      <c r="B1817" s="1832">
        <f>'Tax Sched 23'!E12</f>
        <v>1030</v>
      </c>
      <c r="D1817" s="2" t="str">
        <f t="shared" si="27"/>
        <v>Error?</v>
      </c>
    </row>
    <row r="1818" spans="1:4" x14ac:dyDescent="0.2">
      <c r="A1818" s="5">
        <v>1757</v>
      </c>
      <c r="B1818" s="1832">
        <f>'Tax Sched 23'!E14</f>
        <v>1287500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24160653</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3170000</v>
      </c>
      <c r="C1939" s="2" t="s">
        <v>569</v>
      </c>
      <c r="D1939" s="2" t="str">
        <f t="shared" si="29"/>
        <v>Error?</v>
      </c>
    </row>
    <row r="1940" spans="1:5" x14ac:dyDescent="0.2">
      <c r="A1940" s="5">
        <v>1879</v>
      </c>
      <c r="B1940" s="1832">
        <f>'Short-Term Long-Term Debt 24'!F49</f>
        <v>6310000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1247840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1247840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1247840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294943</v>
      </c>
      <c r="D2008" s="2" t="str">
        <f t="shared" si="30"/>
        <v>Error?</v>
      </c>
    </row>
    <row r="2009" spans="1:4" x14ac:dyDescent="0.2">
      <c r="A2009" s="5">
        <v>1948</v>
      </c>
      <c r="B2009" s="1832">
        <f>'Cap Outlay Deprec 26'!C8</f>
        <v>36504309</v>
      </c>
      <c r="D2009" s="2" t="str">
        <f t="shared" si="30"/>
        <v>Error?</v>
      </c>
    </row>
    <row r="2010" spans="1:4" x14ac:dyDescent="0.2">
      <c r="A2010" s="5">
        <v>1949</v>
      </c>
      <c r="B2010" s="1832">
        <f>'Cap Outlay Deprec 26'!C10</f>
        <v>12417044</v>
      </c>
      <c r="D2010" s="2" t="str">
        <f t="shared" si="30"/>
        <v>Error?</v>
      </c>
    </row>
    <row r="2011" spans="1:4" x14ac:dyDescent="0.2">
      <c r="A2011" s="5">
        <v>1950</v>
      </c>
      <c r="B2011" s="1832">
        <f>'Cap Outlay Deprec 26'!C12</f>
        <v>4812120</v>
      </c>
      <c r="D2011" s="2" t="str">
        <f t="shared" si="30"/>
        <v>Error?</v>
      </c>
    </row>
    <row r="2012" spans="1:4" x14ac:dyDescent="0.2">
      <c r="A2012" s="5">
        <v>1951</v>
      </c>
      <c r="B2012" s="1832">
        <f>'Cap Outlay Deprec 26'!C13</f>
        <v>412751</v>
      </c>
      <c r="D2012" s="2" t="str">
        <f t="shared" si="30"/>
        <v>Error?</v>
      </c>
    </row>
    <row r="2013" spans="1:4" x14ac:dyDescent="0.2">
      <c r="A2013" s="5">
        <v>1952</v>
      </c>
      <c r="B2013" s="1832">
        <f>'Cap Outlay Deprec 26'!C16</f>
        <v>56479260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2091650</v>
      </c>
      <c r="D2016" s="2" t="str">
        <f t="shared" si="30"/>
        <v>Error?</v>
      </c>
    </row>
    <row r="2017" spans="1:4" x14ac:dyDescent="0.2">
      <c r="A2017" s="5">
        <v>1956</v>
      </c>
      <c r="B2017" s="1832">
        <f>'Cap Outlay Deprec 26'!D12</f>
        <v>14148</v>
      </c>
      <c r="D2017" s="2" t="str">
        <f t="shared" si="30"/>
        <v>Error?</v>
      </c>
    </row>
    <row r="2018" spans="1:4" x14ac:dyDescent="0.2">
      <c r="A2018" s="5">
        <v>1957</v>
      </c>
      <c r="B2018" s="1832">
        <f>'Cap Outlay Deprec 26'!D13</f>
        <v>58528</v>
      </c>
      <c r="D2018" s="2" t="str">
        <f t="shared" si="30"/>
        <v>Error?</v>
      </c>
    </row>
    <row r="2019" spans="1:4" x14ac:dyDescent="0.2">
      <c r="A2019" s="5">
        <v>1958</v>
      </c>
      <c r="B2019" s="1832">
        <f>'Cap Outlay Deprec 26'!D16</f>
        <v>2302855</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2079765</v>
      </c>
      <c r="C2025" s="2" t="s">
        <v>569</v>
      </c>
      <c r="D2025" s="2" t="str">
        <f t="shared" si="30"/>
        <v>Error?</v>
      </c>
    </row>
    <row r="2026" spans="1:4" x14ac:dyDescent="0.2">
      <c r="A2026" s="5">
        <v>1965</v>
      </c>
      <c r="B2026" s="1832">
        <f>'Cap Outlay Deprec 26'!F5</f>
        <v>294943</v>
      </c>
      <c r="C2026" s="2" t="s">
        <v>569</v>
      </c>
      <c r="D2026" s="2" t="str">
        <f t="shared" si="30"/>
        <v>Error?</v>
      </c>
    </row>
    <row r="2027" spans="1:4" x14ac:dyDescent="0.2">
      <c r="A2027" s="5">
        <v>1966</v>
      </c>
      <c r="B2027" s="1832">
        <f>'Cap Outlay Deprec 26'!F8</f>
        <v>36504309</v>
      </c>
      <c r="C2027" s="2" t="s">
        <v>569</v>
      </c>
      <c r="D2027" s="2" t="str">
        <f t="shared" si="30"/>
        <v>Error?</v>
      </c>
    </row>
    <row r="2028" spans="1:4" x14ac:dyDescent="0.2">
      <c r="A2028" s="5">
        <v>1967</v>
      </c>
      <c r="B2028" s="1832">
        <f>'Cap Outlay Deprec 26'!F10</f>
        <v>14508694</v>
      </c>
      <c r="C2028" s="2" t="s">
        <v>569</v>
      </c>
      <c r="D2028" s="2" t="str">
        <f t="shared" si="30"/>
        <v>Error?</v>
      </c>
    </row>
    <row r="2029" spans="1:4" x14ac:dyDescent="0.2">
      <c r="A2029" s="5">
        <v>1968</v>
      </c>
      <c r="B2029" s="1832">
        <f>'Cap Outlay Deprec 26'!F12</f>
        <v>4826268</v>
      </c>
      <c r="C2029" s="2" t="s">
        <v>569</v>
      </c>
      <c r="D2029" s="2" t="str">
        <f t="shared" si="30"/>
        <v>Error?</v>
      </c>
    </row>
    <row r="2030" spans="1:4" x14ac:dyDescent="0.2">
      <c r="A2030" s="5">
        <v>1969</v>
      </c>
      <c r="B2030" s="1832">
        <f>'Cap Outlay Deprec 26'!F13</f>
        <v>471279</v>
      </c>
      <c r="C2030" s="2" t="s">
        <v>569</v>
      </c>
      <c r="D2030" s="2" t="str">
        <f t="shared" si="30"/>
        <v>Error?</v>
      </c>
    </row>
    <row r="2031" spans="1:4" x14ac:dyDescent="0.2">
      <c r="A2031" s="5">
        <v>1970</v>
      </c>
      <c r="B2031" s="1832">
        <f>'Cap Outlay Deprec 26'!F16</f>
        <v>56702350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11055816</v>
      </c>
      <c r="D2033" s="2" t="str">
        <f t="shared" si="30"/>
        <v>Error?</v>
      </c>
    </row>
    <row r="2034" spans="1:4" x14ac:dyDescent="0.2">
      <c r="A2034" s="5">
        <v>1973</v>
      </c>
      <c r="B2034" s="1832">
        <f>'Cap Outlay Deprec 26'!H10</f>
        <v>5265728</v>
      </c>
      <c r="D2034" s="2" t="str">
        <f t="shared" si="30"/>
        <v>Error?</v>
      </c>
    </row>
    <row r="2035" spans="1:4" x14ac:dyDescent="0.2">
      <c r="A2035" s="5">
        <v>1974</v>
      </c>
      <c r="B2035" s="1832">
        <f>'Cap Outlay Deprec 26'!H12</f>
        <v>4052364</v>
      </c>
      <c r="D2035" s="2" t="str">
        <f t="shared" si="30"/>
        <v>Error?</v>
      </c>
    </row>
    <row r="2036" spans="1:4" x14ac:dyDescent="0.2">
      <c r="A2036" s="5">
        <v>1975</v>
      </c>
      <c r="B2036" s="1832">
        <f>'Cap Outlay Deprec 26'!H13</f>
        <v>372843</v>
      </c>
      <c r="D2036" s="2" t="str">
        <f t="shared" si="30"/>
        <v>Error?</v>
      </c>
    </row>
    <row r="2037" spans="1:4" x14ac:dyDescent="0.2">
      <c r="A2037" s="5">
        <v>1976</v>
      </c>
      <c r="B2037" s="1832">
        <f>'Cap Outlay Deprec 26'!H16</f>
        <v>20746751</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730086</v>
      </c>
      <c r="D2039" s="2" t="str">
        <f t="shared" si="30"/>
        <v>Error?</v>
      </c>
    </row>
    <row r="2040" spans="1:4" x14ac:dyDescent="0.2">
      <c r="A2040" s="5">
        <v>1979</v>
      </c>
      <c r="B2040" s="1832">
        <f>'Cap Outlay Deprec 26'!I10</f>
        <v>644441</v>
      </c>
      <c r="D2040" s="2" t="str">
        <f t="shared" si="30"/>
        <v>Error?</v>
      </c>
    </row>
    <row r="2041" spans="1:4" x14ac:dyDescent="0.2">
      <c r="A2041" s="5">
        <v>1980</v>
      </c>
      <c r="B2041" s="1832">
        <f>'Cap Outlay Deprec 26'!I12</f>
        <v>210331</v>
      </c>
      <c r="D2041" s="2" t="str">
        <f t="shared" si="30"/>
        <v>Error?</v>
      </c>
    </row>
    <row r="2042" spans="1:4" x14ac:dyDescent="0.2">
      <c r="A2042" s="5">
        <v>1981</v>
      </c>
      <c r="B2042" s="1832">
        <f>'Cap Outlay Deprec 26'!I13</f>
        <v>12280</v>
      </c>
      <c r="D2042" s="2" t="str">
        <f t="shared" si="30"/>
        <v>Error?</v>
      </c>
    </row>
    <row r="2043" spans="1:4" x14ac:dyDescent="0.2">
      <c r="A2043" s="5">
        <v>1982</v>
      </c>
      <c r="B2043" s="1832">
        <f>'Cap Outlay Deprec 26'!I16</f>
        <v>1597138</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11785902</v>
      </c>
      <c r="C2051" s="2" t="s">
        <v>569</v>
      </c>
      <c r="D2051" s="2" t="str">
        <f t="shared" si="31"/>
        <v>Error?</v>
      </c>
    </row>
    <row r="2052" spans="1:4" x14ac:dyDescent="0.2">
      <c r="A2052" s="5">
        <v>1991</v>
      </c>
      <c r="B2052" s="1832">
        <f>'Cap Outlay Deprec 26'!K10</f>
        <v>5910169</v>
      </c>
      <c r="C2052" s="2" t="s">
        <v>569</v>
      </c>
      <c r="D2052" s="2" t="str">
        <f t="shared" si="31"/>
        <v>Error?</v>
      </c>
    </row>
    <row r="2053" spans="1:4" x14ac:dyDescent="0.2">
      <c r="A2053" s="5">
        <v>1992</v>
      </c>
      <c r="B2053" s="1832">
        <f>'Cap Outlay Deprec 26'!K12</f>
        <v>4262695</v>
      </c>
      <c r="C2053" s="2" t="s">
        <v>569</v>
      </c>
      <c r="D2053" s="2" t="str">
        <f t="shared" si="31"/>
        <v>Error?</v>
      </c>
    </row>
    <row r="2054" spans="1:4" x14ac:dyDescent="0.2">
      <c r="A2054" s="5">
        <v>1993</v>
      </c>
      <c r="B2054" s="1832">
        <f>'Cap Outlay Deprec 26'!K13</f>
        <v>385123</v>
      </c>
      <c r="C2054" s="2" t="s">
        <v>569</v>
      </c>
      <c r="D2054" s="2" t="str">
        <f t="shared" si="31"/>
        <v>Error?</v>
      </c>
    </row>
    <row r="2055" spans="1:4" x14ac:dyDescent="0.2">
      <c r="A2055" s="5">
        <v>1994</v>
      </c>
      <c r="B2055" s="1832">
        <f>'Cap Outlay Deprec 26'!K16</f>
        <v>22343889</v>
      </c>
      <c r="C2055" s="2" t="s">
        <v>569</v>
      </c>
      <c r="D2055" s="2" t="str">
        <f t="shared" si="31"/>
        <v>Error?</v>
      </c>
    </row>
    <row r="2056" spans="1:4" x14ac:dyDescent="0.2">
      <c r="A2056" s="5">
        <v>1995</v>
      </c>
      <c r="B2056" s="1832">
        <f>'Cap Outlay Deprec 26'!L5</f>
        <v>294943</v>
      </c>
      <c r="C2056" s="2" t="s">
        <v>569</v>
      </c>
      <c r="D2056" s="2" t="str">
        <f t="shared" si="31"/>
        <v>Error?</v>
      </c>
    </row>
    <row r="2057" spans="1:4" x14ac:dyDescent="0.2">
      <c r="A2057" s="5">
        <v>1996</v>
      </c>
      <c r="B2057" s="1832">
        <f>'Cap Outlay Deprec 26'!L8</f>
        <v>24718407</v>
      </c>
      <c r="C2057" s="2" t="s">
        <v>569</v>
      </c>
      <c r="D2057" s="2" t="str">
        <f t="shared" si="31"/>
        <v>Error?</v>
      </c>
    </row>
    <row r="2058" spans="1:4" x14ac:dyDescent="0.2">
      <c r="A2058" s="5">
        <v>1997</v>
      </c>
      <c r="B2058" s="1832">
        <f>'Cap Outlay Deprec 26'!L10</f>
        <v>8598525</v>
      </c>
      <c r="C2058" s="2" t="s">
        <v>569</v>
      </c>
      <c r="D2058" s="2" t="str">
        <f t="shared" si="31"/>
        <v>Error?</v>
      </c>
    </row>
    <row r="2059" spans="1:4" x14ac:dyDescent="0.2">
      <c r="A2059" s="5">
        <v>1998</v>
      </c>
      <c r="B2059" s="1832">
        <f>'Cap Outlay Deprec 26'!L12</f>
        <v>563573</v>
      </c>
      <c r="C2059" s="2" t="s">
        <v>569</v>
      </c>
      <c r="D2059" s="2" t="str">
        <f t="shared" si="31"/>
        <v>Error?</v>
      </c>
    </row>
    <row r="2060" spans="1:4" x14ac:dyDescent="0.2">
      <c r="A2060" s="5">
        <v>1999</v>
      </c>
      <c r="B2060" s="1832">
        <f>'Cap Outlay Deprec 26'!L13</f>
        <v>86156</v>
      </c>
      <c r="C2060" s="2" t="s">
        <v>569</v>
      </c>
      <c r="D2060" s="2" t="str">
        <f t="shared" si="31"/>
        <v>Error?</v>
      </c>
    </row>
    <row r="2061" spans="1:4" x14ac:dyDescent="0.2">
      <c r="A2061" s="5">
        <v>2000</v>
      </c>
      <c r="B2061" s="1832">
        <f>'Cap Outlay Deprec 26'!L16</f>
        <v>34358461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641520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655472</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4876967</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950003</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347142</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1306730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5169284</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18891807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2010768</v>
      </c>
      <c r="C2553" s="2" t="s">
        <v>569</v>
      </c>
      <c r="D2553" s="2" t="str">
        <f t="shared" si="38"/>
        <v>Error?</v>
      </c>
    </row>
    <row r="2554" spans="1:4" x14ac:dyDescent="0.2">
      <c r="A2554" s="5">
        <v>2493</v>
      </c>
      <c r="B2554" s="1832">
        <f>'Acct Summary 7-8'!C7</f>
        <v>1175700</v>
      </c>
      <c r="C2554" s="2" t="s">
        <v>569</v>
      </c>
      <c r="D2554" s="2" t="str">
        <f t="shared" si="38"/>
        <v>Error?</v>
      </c>
    </row>
    <row r="2555" spans="1:4" x14ac:dyDescent="0.2">
      <c r="A2555" s="5">
        <v>2494</v>
      </c>
      <c r="B2555" s="1832">
        <f>'Acct Summary 7-8'!C8</f>
        <v>22078275</v>
      </c>
      <c r="C2555" s="2" t="s">
        <v>569</v>
      </c>
      <c r="D2555" s="2" t="str">
        <f t="shared" si="38"/>
        <v>Error?</v>
      </c>
    </row>
    <row r="2556" spans="1:4" x14ac:dyDescent="0.2">
      <c r="A2556" s="5">
        <v>2495</v>
      </c>
      <c r="B2556" s="1832">
        <f>'Acct Summary 7-8'!C12</f>
        <v>15777862</v>
      </c>
      <c r="C2556" s="2" t="s">
        <v>569</v>
      </c>
      <c r="D2556" s="2" t="str">
        <f t="shared" si="38"/>
        <v>Error?</v>
      </c>
    </row>
    <row r="2557" spans="1:4" x14ac:dyDescent="0.2">
      <c r="A2557" s="5">
        <v>2496</v>
      </c>
      <c r="B2557" s="1832">
        <f>'Acct Summary 7-8'!C13</f>
        <v>6710092</v>
      </c>
      <c r="C2557" s="2" t="s">
        <v>569</v>
      </c>
      <c r="D2557" s="2" t="str">
        <f t="shared" si="38"/>
        <v>Error?</v>
      </c>
    </row>
    <row r="2558" spans="1:4" x14ac:dyDescent="0.2">
      <c r="A2558" s="5">
        <v>2497</v>
      </c>
      <c r="B2558" s="1832">
        <f>'Acct Summary 7-8'!C14</f>
        <v>31295</v>
      </c>
      <c r="C2558" s="2" t="s">
        <v>569</v>
      </c>
      <c r="D2558" s="2" t="str">
        <f t="shared" si="38"/>
        <v>Error?</v>
      </c>
    </row>
    <row r="2559" spans="1:4" x14ac:dyDescent="0.2">
      <c r="A2559" s="5">
        <v>2498</v>
      </c>
      <c r="B2559" s="1832">
        <f>'Acct Summary 7-8'!C15</f>
        <v>655472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23174721</v>
      </c>
      <c r="C2561" s="2" t="s">
        <v>569</v>
      </c>
      <c r="D2561" s="2" t="str">
        <f t="shared" si="39"/>
        <v>Error?</v>
      </c>
    </row>
    <row r="2562" spans="1:4" x14ac:dyDescent="0.2">
      <c r="A2562" s="5">
        <v>2501</v>
      </c>
      <c r="B2562" s="1832">
        <f>'Acct Summary 7-8'!C20</f>
        <v>-1096446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2167145</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2217145</v>
      </c>
      <c r="C2568" s="2" t="s">
        <v>569</v>
      </c>
      <c r="D2568" s="2" t="str">
        <f t="shared" si="39"/>
        <v>Error?</v>
      </c>
    </row>
    <row r="2569" spans="1:4" x14ac:dyDescent="0.2">
      <c r="A2569" s="5">
        <v>2508</v>
      </c>
      <c r="B2569" s="1832">
        <f>'Acct Summary 7-8'!D13</f>
        <v>2162757</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2162757</v>
      </c>
      <c r="C2573" s="2" t="s">
        <v>569</v>
      </c>
      <c r="D2573" s="2" t="str">
        <f t="shared" si="39"/>
        <v>Error?</v>
      </c>
    </row>
    <row r="2574" spans="1:4" x14ac:dyDescent="0.2">
      <c r="A2574" s="5">
        <v>2513</v>
      </c>
      <c r="B2574" s="1832">
        <f>'Acct Summary 7-8'!D20</f>
        <v>54388</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963807</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915295</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1879102</v>
      </c>
      <c r="C2595" s="2" t="s">
        <v>569</v>
      </c>
      <c r="D2595" s="2" t="str">
        <f t="shared" si="39"/>
        <v>Error?</v>
      </c>
    </row>
    <row r="2596" spans="1:4" x14ac:dyDescent="0.2">
      <c r="A2596" s="5">
        <v>2535</v>
      </c>
      <c r="B2596" s="1832">
        <f>'Acct Summary 7-8'!F13</f>
        <v>1776910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1776910</v>
      </c>
      <c r="C2600" s="2" t="s">
        <v>569</v>
      </c>
      <c r="D2600" s="2" t="str">
        <f t="shared" si="39"/>
        <v>Error?</v>
      </c>
    </row>
    <row r="2601" spans="1:4" x14ac:dyDescent="0.2">
      <c r="A2601" s="5">
        <v>2540</v>
      </c>
      <c r="B2601" s="1832">
        <f>'Acct Summary 7-8'!F20</f>
        <v>102192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832148</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832148</v>
      </c>
      <c r="C2606" s="2" t="s">
        <v>569</v>
      </c>
      <c r="D2606" s="2" t="str">
        <f t="shared" si="39"/>
        <v>Error?</v>
      </c>
    </row>
    <row r="2607" spans="1:4" x14ac:dyDescent="0.2">
      <c r="A2607" s="5">
        <v>2546</v>
      </c>
      <c r="B2607" s="1832">
        <f>'Acct Summary 7-8'!G12</f>
        <v>286714</v>
      </c>
      <c r="C2607" s="2" t="s">
        <v>569</v>
      </c>
      <c r="D2607" s="2" t="str">
        <f t="shared" si="39"/>
        <v>Error?</v>
      </c>
    </row>
    <row r="2608" spans="1:4" x14ac:dyDescent="0.2">
      <c r="A2608" s="5">
        <v>2547</v>
      </c>
      <c r="B2608" s="1832">
        <f>'Acct Summary 7-8'!G13</f>
        <v>536355</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823069</v>
      </c>
      <c r="C2612" s="2" t="s">
        <v>569</v>
      </c>
      <c r="D2612" s="2" t="str">
        <f t="shared" si="39"/>
        <v>Error?</v>
      </c>
    </row>
    <row r="2613" spans="1:4" x14ac:dyDescent="0.2">
      <c r="A2613" s="5">
        <v>2552</v>
      </c>
      <c r="B2613" s="1832">
        <f>'Acct Summary 7-8'!G20</f>
        <v>9079</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1819814</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1819814</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1839536</v>
      </c>
      <c r="C2634" s="2" t="s">
        <v>569</v>
      </c>
      <c r="D2634" s="2" t="str">
        <f t="shared" si="40"/>
        <v>Error?</v>
      </c>
    </row>
    <row r="2635" spans="1:4" x14ac:dyDescent="0.2">
      <c r="A2635" s="5">
        <v>2574</v>
      </c>
      <c r="B2635" s="1832">
        <f>'Acct Summary 7-8'!E17</f>
        <v>1839536</v>
      </c>
      <c r="C2635" s="2" t="s">
        <v>569</v>
      </c>
      <c r="D2635" s="2" t="str">
        <f t="shared" si="40"/>
        <v>Error?</v>
      </c>
    </row>
    <row r="2636" spans="1:4" x14ac:dyDescent="0.2">
      <c r="A2636" s="5">
        <v>2575</v>
      </c>
      <c r="B2636" s="1832">
        <f>'Acct Summary 7-8'!E20</f>
        <v>-19722</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28114</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28114</v>
      </c>
      <c r="C2658" s="2" t="s">
        <v>569</v>
      </c>
      <c r="D2658" s="2" t="str">
        <f t="shared" si="40"/>
        <v>Error?</v>
      </c>
    </row>
    <row r="2659" spans="1:4" x14ac:dyDescent="0.2">
      <c r="A2659" s="5">
        <v>2598</v>
      </c>
      <c r="B2659" s="1832">
        <f>'Acct Summary 7-8'!H13</f>
        <v>284006</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284006</v>
      </c>
      <c r="C2661" s="2" t="s">
        <v>569</v>
      </c>
      <c r="D2661" s="2" t="str">
        <f t="shared" si="40"/>
        <v>Error?</v>
      </c>
    </row>
    <row r="2662" spans="1:4" x14ac:dyDescent="0.2">
      <c r="A2662" s="5">
        <v>2601</v>
      </c>
      <c r="B2662" s="1832">
        <f>'Acct Summary 7-8'!H20</f>
        <v>-255892</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13952</v>
      </c>
      <c r="C2789" s="2" t="s">
        <v>569</v>
      </c>
      <c r="D2789" s="2" t="str">
        <f t="shared" si="42"/>
        <v>Error?</v>
      </c>
    </row>
    <row r="2790" spans="1:4" x14ac:dyDescent="0.2">
      <c r="A2790" s="5">
        <v>2729</v>
      </c>
      <c r="B2790" s="1832">
        <f>'Expenditures 15-22'!E102</f>
        <v>13952</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96857</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7058</v>
      </c>
      <c r="D2887" s="2" t="str">
        <f t="shared" si="44"/>
        <v>Error?</v>
      </c>
    </row>
    <row r="2888" spans="1:4" x14ac:dyDescent="0.2">
      <c r="A2888" s="5">
        <v>2827</v>
      </c>
      <c r="B2888" s="1832">
        <f>'Assets-Liab 5-6'!I13</f>
        <v>4258292</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149548</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4258292</v>
      </c>
      <c r="D2912" s="2" t="str">
        <f t="shared" si="44"/>
        <v>Error?</v>
      </c>
    </row>
    <row r="2913" spans="1:4" x14ac:dyDescent="0.2">
      <c r="A2913" s="5">
        <v>2852</v>
      </c>
      <c r="B2913" s="1832">
        <f>'Assets-Liab 5-6'!I41</f>
        <v>4258292</v>
      </c>
      <c r="C2913" s="2" t="s">
        <v>569</v>
      </c>
      <c r="D2913" s="2" t="str">
        <f t="shared" si="44"/>
        <v>Error?</v>
      </c>
    </row>
    <row r="2914" spans="1:4" x14ac:dyDescent="0.2">
      <c r="A2914" s="5">
        <v>2853</v>
      </c>
      <c r="B2914" s="1832">
        <f>'Assets-Liab 5-6'!L33</f>
        <v>149548</v>
      </c>
      <c r="D2914" s="2" t="str">
        <f t="shared" si="44"/>
        <v>Error?</v>
      </c>
    </row>
    <row r="2915" spans="1:4" x14ac:dyDescent="0.2">
      <c r="A2915" s="10">
        <v>2854</v>
      </c>
      <c r="B2915" s="1832"/>
      <c r="D2915" s="2" t="str">
        <f t="shared" si="44"/>
        <v>OK</v>
      </c>
    </row>
    <row r="2916" spans="1:4" x14ac:dyDescent="0.2">
      <c r="A2916" s="5">
        <v>2855</v>
      </c>
      <c r="B2916" s="1832">
        <f>'Assets-Liab 5-6'!L34</f>
        <v>149548</v>
      </c>
      <c r="C2916" s="2" t="s">
        <v>569</v>
      </c>
      <c r="D2916" s="2" t="str">
        <f t="shared" si="44"/>
        <v>Error?</v>
      </c>
    </row>
    <row r="2917" spans="1:4" x14ac:dyDescent="0.2">
      <c r="A2917" s="5">
        <v>2856</v>
      </c>
      <c r="B2917" s="1832">
        <f>'Assets-Liab 5-6'!L41</f>
        <v>149548</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13952</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641520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655472</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54208</v>
      </c>
      <c r="C3225" s="2" t="s">
        <v>569</v>
      </c>
      <c r="D3225" s="2" t="str">
        <f t="shared" si="49"/>
        <v>Error?</v>
      </c>
    </row>
    <row r="3226" spans="1:4" x14ac:dyDescent="0.2">
      <c r="A3226" s="5">
        <v>3165</v>
      </c>
      <c r="B3226" s="1832">
        <f>'Acct Summary 7-8'!I8</f>
        <v>54208</v>
      </c>
      <c r="C3226" s="2" t="s">
        <v>569</v>
      </c>
      <c r="D3226" s="2" t="str">
        <f t="shared" si="49"/>
        <v>Error?</v>
      </c>
    </row>
    <row r="3227" spans="1:4" x14ac:dyDescent="0.2">
      <c r="A3227" s="5">
        <v>3166</v>
      </c>
      <c r="B3227" s="1832">
        <f>'Acct Summary 7-8'!I20</f>
        <v>54208</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-1096446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54388</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102192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9079</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-19722</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4876967</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4876967</v>
      </c>
      <c r="C3299" s="2" t="s">
        <v>569</v>
      </c>
      <c r="D3299" s="2" t="str">
        <f t="shared" si="50"/>
        <v>Error?</v>
      </c>
    </row>
    <row r="3300" spans="1:4" x14ac:dyDescent="0.2">
      <c r="A3300" s="5">
        <v>3239</v>
      </c>
      <c r="B3300" s="1832">
        <f>'Acct Summary 7-8'!H78</f>
        <v>4621075</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7071497</v>
      </c>
      <c r="C3317" s="2" t="s">
        <v>569</v>
      </c>
      <c r="D3317" s="2" t="str">
        <f t="shared" si="50"/>
        <v>Error?</v>
      </c>
    </row>
    <row r="3318" spans="1:4" x14ac:dyDescent="0.2">
      <c r="A3318" s="5">
        <v>3257</v>
      </c>
      <c r="B3318" s="1832">
        <f>'Acct Summary 7-8'!I76</f>
        <v>4979269</v>
      </c>
      <c r="C3318" s="2" t="s">
        <v>569</v>
      </c>
      <c r="D3318" s="2" t="str">
        <f t="shared" si="50"/>
        <v>Error?</v>
      </c>
    </row>
    <row r="3319" spans="1:4" x14ac:dyDescent="0.2">
      <c r="A3319" s="5">
        <v>3258</v>
      </c>
      <c r="B3319" s="1832">
        <f>'Acct Summary 7-8'!I77</f>
        <v>2092228</v>
      </c>
      <c r="C3319" s="2" t="s">
        <v>569</v>
      </c>
      <c r="D3319" s="2" t="str">
        <f t="shared" si="50"/>
        <v>Error?</v>
      </c>
    </row>
    <row r="3320" spans="1:4" x14ac:dyDescent="0.2">
      <c r="A3320" s="5">
        <v>3259</v>
      </c>
      <c r="B3320" s="1832">
        <f>'Acct Summary 7-8'!I78</f>
        <v>2146436</v>
      </c>
      <c r="C3320" s="2" t="s">
        <v>569</v>
      </c>
      <c r="D3320" s="2" t="str">
        <f t="shared" si="50"/>
        <v>Error?</v>
      </c>
    </row>
    <row r="3321" spans="1:4" x14ac:dyDescent="0.2">
      <c r="A3321" s="5">
        <v>3260</v>
      </c>
      <c r="B3321" s="1832">
        <f>'Acct Summary 7-8'!I79</f>
        <v>2111856</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4258292</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2141445</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929120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20536</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66395</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3157496</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83747</v>
      </c>
      <c r="D3387" s="2" t="str">
        <f t="shared" si="51"/>
        <v>Error?</v>
      </c>
    </row>
    <row r="3388" spans="1:4" x14ac:dyDescent="0.2">
      <c r="A3388" s="5">
        <v>3327</v>
      </c>
      <c r="B3388" s="1832">
        <f>'Expenditures 15-22'!D217</f>
        <v>142446</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83747</v>
      </c>
      <c r="C3390" s="2" t="s">
        <v>569</v>
      </c>
      <c r="D3390" s="2" t="str">
        <f t="shared" si="51"/>
        <v>Error?</v>
      </c>
    </row>
    <row r="3391" spans="1:4" x14ac:dyDescent="0.2">
      <c r="A3391" s="5">
        <v>3330</v>
      </c>
      <c r="B3391" s="1832">
        <f>'Expenditures 15-22'!K217</f>
        <v>142446</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10179808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2054652</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1341930</v>
      </c>
      <c r="D3417" s="2" t="str">
        <f t="shared" si="52"/>
        <v>Error?</v>
      </c>
    </row>
    <row r="3418" spans="1:4" x14ac:dyDescent="0.2">
      <c r="A3418" s="10">
        <v>3357</v>
      </c>
      <c r="B3418" s="1832"/>
      <c r="D3418" s="2" t="str">
        <f t="shared" si="52"/>
        <v>OK</v>
      </c>
    </row>
    <row r="3419" spans="1:4" x14ac:dyDescent="0.2">
      <c r="A3419" s="5">
        <v>3358</v>
      </c>
      <c r="B3419" s="1832">
        <f>'Assets-Liab 5-6'!F4</f>
        <v>913636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362548</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5237112</v>
      </c>
      <c r="D3425" s="2" t="str">
        <f t="shared" si="52"/>
        <v>Error?</v>
      </c>
    </row>
    <row r="3426" spans="1:4" x14ac:dyDescent="0.2">
      <c r="A3426" s="10">
        <v>3365</v>
      </c>
      <c r="B3426" s="1832"/>
      <c r="D3426" s="2" t="str">
        <f t="shared" si="52"/>
        <v>OK</v>
      </c>
    </row>
    <row r="3427" spans="1:4" x14ac:dyDescent="0.2">
      <c r="A3427" s="5">
        <v>3366</v>
      </c>
      <c r="B3427" s="1832">
        <f>'Assets-Liab 5-6'!I4</f>
        <v>4251234</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149548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397161</v>
      </c>
      <c r="C3446" s="2" t="s">
        <v>569</v>
      </c>
      <c r="D3446" s="2" t="str">
        <f t="shared" si="52"/>
        <v>Error?</v>
      </c>
    </row>
    <row r="3447" spans="1:4" x14ac:dyDescent="0.2">
      <c r="A3447" s="5">
        <v>3386</v>
      </c>
      <c r="B3447" s="1832">
        <f>'Tax Sched 23'!D16</f>
        <v>188307</v>
      </c>
      <c r="C3447" s="2" t="s">
        <v>569</v>
      </c>
      <c r="D3447" s="2" t="str">
        <f t="shared" si="52"/>
        <v>Error?</v>
      </c>
    </row>
    <row r="3448" spans="1:4" x14ac:dyDescent="0.2">
      <c r="A3448" s="5">
        <v>3387</v>
      </c>
      <c r="B3448" s="1832">
        <f>'Tax Sched 23'!C16</f>
        <v>208854</v>
      </c>
      <c r="D3448" s="2" t="str">
        <f t="shared" si="52"/>
        <v>Error?</v>
      </c>
    </row>
    <row r="3449" spans="1:4" x14ac:dyDescent="0.2">
      <c r="A3449" s="5">
        <v>3388</v>
      </c>
      <c r="B3449" s="1832">
        <f>'Tax Sched 23'!F16</f>
        <v>203146</v>
      </c>
      <c r="C3449" s="2" t="s">
        <v>569</v>
      </c>
      <c r="D3449" s="2" t="str">
        <f t="shared" si="52"/>
        <v>Error?</v>
      </c>
    </row>
    <row r="3450" spans="1:4" x14ac:dyDescent="0.2">
      <c r="A3450" s="5">
        <v>3389</v>
      </c>
      <c r="B3450" s="1832">
        <f>'Tax Sched 23'!E16</f>
        <v>412000</v>
      </c>
      <c r="D3450" s="2" t="str">
        <f t="shared" si="52"/>
        <v>Error?</v>
      </c>
    </row>
    <row r="3451" spans="1:4" x14ac:dyDescent="0.2">
      <c r="A3451" s="5">
        <v>3390</v>
      </c>
      <c r="B3451" s="1832">
        <f>'Cap Outlay Deprec 26'!C15</f>
        <v>2038093</v>
      </c>
      <c r="D3451" s="2" t="str">
        <f t="shared" si="52"/>
        <v>Error?</v>
      </c>
    </row>
    <row r="3452" spans="1:4" x14ac:dyDescent="0.2">
      <c r="A3452" s="5">
        <v>3391</v>
      </c>
      <c r="B3452" s="1832">
        <f>'Cap Outlay Deprec 26'!D15</f>
        <v>138529</v>
      </c>
      <c r="D3452" s="2" t="str">
        <f t="shared" si="52"/>
        <v>Error?</v>
      </c>
    </row>
    <row r="3453" spans="1:4" x14ac:dyDescent="0.2">
      <c r="A3453" s="5">
        <v>3392</v>
      </c>
      <c r="B3453" s="1832">
        <f>'Cap Outlay Deprec 26'!E15</f>
        <v>2079765</v>
      </c>
      <c r="D3453" s="2" t="str">
        <f t="shared" si="52"/>
        <v>Error?</v>
      </c>
    </row>
    <row r="3454" spans="1:4" x14ac:dyDescent="0.2">
      <c r="A3454" s="5">
        <v>3393</v>
      </c>
      <c r="B3454" s="1832">
        <f>'Cap Outlay Deprec 26'!F15</f>
        <v>96857</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96857</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6926</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12</v>
      </c>
      <c r="D3551" s="2" t="str">
        <f t="shared" si="54"/>
        <v>Error?</v>
      </c>
    </row>
    <row r="3552" spans="1:4" x14ac:dyDescent="0.2">
      <c r="A3552" s="5">
        <v>3491</v>
      </c>
      <c r="B3552" s="1832">
        <f>'Assets-Liab 5-6'!K13</f>
        <v>6938</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6938</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6938</v>
      </c>
      <c r="C3568" s="2" t="s">
        <v>569</v>
      </c>
      <c r="D3568" s="2" t="str">
        <f t="shared" si="54"/>
        <v>Error?</v>
      </c>
    </row>
    <row r="3569" spans="1:4" x14ac:dyDescent="0.2">
      <c r="A3569" s="5">
        <v>3508</v>
      </c>
      <c r="B3569" s="1832">
        <f>'Acct Summary 7-8'!K4</f>
        <v>1087</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1087</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1087</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1087</v>
      </c>
      <c r="C3588" s="2" t="s">
        <v>569</v>
      </c>
      <c r="D3588" s="2" t="str">
        <f t="shared" si="55"/>
        <v>Error?</v>
      </c>
    </row>
    <row r="3589" spans="1:4" x14ac:dyDescent="0.2">
      <c r="A3589" s="5">
        <v>3528</v>
      </c>
      <c r="B3589" s="1832">
        <f>'Acct Summary 7-8'!K79</f>
        <v>5851</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6938</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1087</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262624</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10866958</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32945233</v>
      </c>
      <c r="C4122" s="2" t="s">
        <v>569</v>
      </c>
      <c r="D4122" s="2" t="str">
        <f t="shared" si="63"/>
        <v>Error?</v>
      </c>
    </row>
    <row r="4123" spans="1:4" x14ac:dyDescent="0.2">
      <c r="A4123" s="5">
        <v>4062</v>
      </c>
      <c r="B4123" s="1832">
        <f>'Acct Summary 7-8'!D10</f>
        <v>2217145</v>
      </c>
      <c r="C4123" s="2" t="s">
        <v>569</v>
      </c>
      <c r="D4123" s="2" t="str">
        <f t="shared" si="63"/>
        <v>Error?</v>
      </c>
    </row>
    <row r="4124" spans="1:4" x14ac:dyDescent="0.2">
      <c r="A4124" s="5">
        <v>4063</v>
      </c>
      <c r="B4124" s="1832">
        <f>'Acct Summary 7-8'!E10</f>
        <v>1819814</v>
      </c>
      <c r="C4124" s="2" t="s">
        <v>569</v>
      </c>
      <c r="D4124" s="2" t="str">
        <f t="shared" si="63"/>
        <v>Error?</v>
      </c>
    </row>
    <row r="4125" spans="1:4" x14ac:dyDescent="0.2">
      <c r="A4125" s="5">
        <v>4064</v>
      </c>
      <c r="B4125" s="1832">
        <f>'Acct Summary 7-8'!F10</f>
        <v>1879102</v>
      </c>
      <c r="C4125" s="2" t="s">
        <v>569</v>
      </c>
      <c r="D4125" s="2" t="str">
        <f t="shared" si="63"/>
        <v>Error?</v>
      </c>
    </row>
    <row r="4126" spans="1:4" x14ac:dyDescent="0.2">
      <c r="A4126" s="5">
        <v>4065</v>
      </c>
      <c r="B4126" s="1832">
        <f>'Acct Summary 7-8'!G10</f>
        <v>832148</v>
      </c>
      <c r="C4126" s="2" t="s">
        <v>569</v>
      </c>
      <c r="D4126" s="2" t="str">
        <f t="shared" si="63"/>
        <v>Error?</v>
      </c>
    </row>
    <row r="4127" spans="1:4" x14ac:dyDescent="0.2">
      <c r="A4127" s="5">
        <v>4066</v>
      </c>
      <c r="B4127" s="1832">
        <f>'Acct Summary 7-8'!H10</f>
        <v>28114</v>
      </c>
      <c r="C4127" s="2" t="s">
        <v>569</v>
      </c>
      <c r="D4127" s="2" t="str">
        <f t="shared" si="63"/>
        <v>Error?</v>
      </c>
    </row>
    <row r="4128" spans="1:4" x14ac:dyDescent="0.2">
      <c r="A4128" s="5">
        <v>4067</v>
      </c>
      <c r="B4128" s="1832">
        <f>'Acct Summary 7-8'!I10</f>
        <v>54208</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1087</v>
      </c>
      <c r="C4130" s="2" t="s">
        <v>569</v>
      </c>
      <c r="D4130" s="2" t="str">
        <f t="shared" si="63"/>
        <v>Error?</v>
      </c>
    </row>
    <row r="4131" spans="1:4" x14ac:dyDescent="0.2">
      <c r="A4131" s="5">
        <v>4070</v>
      </c>
      <c r="B4131" s="1832">
        <f>'Acct Summary 7-8'!C18</f>
        <v>10866958</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34041679</v>
      </c>
      <c r="C4136" s="2" t="s">
        <v>569</v>
      </c>
      <c r="D4136" s="2" t="str">
        <f t="shared" si="63"/>
        <v>Error?</v>
      </c>
    </row>
    <row r="4137" spans="1:4" x14ac:dyDescent="0.2">
      <c r="A4137" s="5">
        <v>4076</v>
      </c>
      <c r="B4137" s="1832">
        <f>'Acct Summary 7-8'!D19</f>
        <v>2162757</v>
      </c>
      <c r="C4137" s="2" t="s">
        <v>569</v>
      </c>
      <c r="D4137" s="2" t="str">
        <f t="shared" si="63"/>
        <v>Error?</v>
      </c>
    </row>
    <row r="4138" spans="1:4" x14ac:dyDescent="0.2">
      <c r="A4138" s="5">
        <v>4077</v>
      </c>
      <c r="B4138" s="1832">
        <f>'Acct Summary 7-8'!E19</f>
        <v>1839536</v>
      </c>
      <c r="C4138" s="2" t="s">
        <v>569</v>
      </c>
      <c r="D4138" s="2" t="str">
        <f t="shared" si="63"/>
        <v>Error?</v>
      </c>
    </row>
    <row r="4139" spans="1:4" x14ac:dyDescent="0.2">
      <c r="A4139" s="5">
        <v>4078</v>
      </c>
      <c r="B4139" s="1832">
        <f>'Acct Summary 7-8'!F19</f>
        <v>1776910</v>
      </c>
      <c r="C4139" s="2" t="s">
        <v>569</v>
      </c>
      <c r="D4139" s="2" t="str">
        <f t="shared" si="63"/>
        <v>Error?</v>
      </c>
    </row>
    <row r="4140" spans="1:4" x14ac:dyDescent="0.2">
      <c r="A4140" s="5">
        <v>4079</v>
      </c>
      <c r="B4140" s="1832">
        <f>'Acct Summary 7-8'!G19</f>
        <v>823069</v>
      </c>
      <c r="C4140" s="2" t="s">
        <v>569</v>
      </c>
      <c r="D4140" s="2" t="str">
        <f t="shared" si="63"/>
        <v>Error?</v>
      </c>
    </row>
    <row r="4141" spans="1:4" x14ac:dyDescent="0.2">
      <c r="A4141" s="5">
        <v>4080</v>
      </c>
      <c r="B4141" s="1832">
        <f>'Acct Summary 7-8'!H19</f>
        <v>284006</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7800000</v>
      </c>
      <c r="C4171" s="2" t="s">
        <v>569</v>
      </c>
      <c r="D4171" s="2" t="str">
        <f t="shared" si="64"/>
        <v>Error?</v>
      </c>
    </row>
    <row r="4172" spans="1:4" x14ac:dyDescent="0.2">
      <c r="A4172" s="5">
        <v>4111</v>
      </c>
      <c r="B4172" s="1832">
        <f>'Short-Term Long-Term Debt 24'!J49</f>
        <v>6493270</v>
      </c>
      <c r="C4172" s="2" t="s">
        <v>569</v>
      </c>
      <c r="D4172" s="2" t="str">
        <f t="shared" si="64"/>
        <v>Error?</v>
      </c>
    </row>
    <row r="4173" spans="1:4" x14ac:dyDescent="0.2">
      <c r="A4173" s="5">
        <v>4112</v>
      </c>
      <c r="B4173" s="1832">
        <f>'Short-Term Long-Term Debt 24'!H49</f>
        <v>1680000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2158.6</v>
      </c>
      <c r="C4265" s="2" t="s">
        <v>569</v>
      </c>
      <c r="D4265" s="2" t="str">
        <f t="shared" si="65"/>
        <v>Error?</v>
      </c>
      <c r="E4265" s="125"/>
    </row>
    <row r="4266" spans="1:5" x14ac:dyDescent="0.2">
      <c r="A4266" s="12">
        <v>4205</v>
      </c>
      <c r="B4266" s="1832">
        <f>('FP Info 3'!F10)*100000</f>
        <v>235.6</v>
      </c>
      <c r="C4266" s="2" t="s">
        <v>569</v>
      </c>
      <c r="D4266" s="2" t="str">
        <f t="shared" si="65"/>
        <v>Error?</v>
      </c>
      <c r="E4266" s="125"/>
    </row>
    <row r="4267" spans="1:5" x14ac:dyDescent="0.2">
      <c r="A4267" s="12">
        <v>4206</v>
      </c>
      <c r="B4267" s="1832">
        <f>('FP Info 3'!H10)*100000</f>
        <v>101.89999999999999</v>
      </c>
      <c r="C4267" s="2" t="s">
        <v>569</v>
      </c>
      <c r="D4267" s="2" t="str">
        <f t="shared" si="65"/>
        <v>Error?</v>
      </c>
      <c r="E4267" s="125"/>
    </row>
    <row r="4268" spans="1:5" x14ac:dyDescent="0.2">
      <c r="A4268" s="12">
        <v>4207</v>
      </c>
      <c r="B4268" s="1832">
        <f>('FP Info 3'!J10)*100000</f>
        <v>2496</v>
      </c>
      <c r="C4268" s="2" t="s">
        <v>569</v>
      </c>
      <c r="D4268" s="2" t="str">
        <f t="shared" si="65"/>
        <v>Error?</v>
      </c>
    </row>
    <row r="4269" spans="1:5" x14ac:dyDescent="0.2">
      <c r="A4269" s="12">
        <v>4208</v>
      </c>
      <c r="B4269" s="1832">
        <f>'FP Info 3'!J16</f>
        <v>17149534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95766</v>
      </c>
      <c r="D4300" s="2" t="str">
        <f t="shared" si="66"/>
        <v>Error?</v>
      </c>
    </row>
    <row r="4301" spans="1:4" x14ac:dyDescent="0.2">
      <c r="A4301" s="5">
        <v>4240</v>
      </c>
      <c r="B4301" s="1832">
        <f>'Rest Tax Levies-Tort Im 25'!G37</f>
        <v>29272</v>
      </c>
      <c r="D4301" s="2" t="str">
        <f t="shared" si="66"/>
        <v>Error?</v>
      </c>
    </row>
    <row r="4302" spans="1:4" x14ac:dyDescent="0.2">
      <c r="A4302" s="5">
        <v>4241</v>
      </c>
      <c r="B4302" s="1832">
        <f>'Rest Tax Levies-Tort Im 25'!G38</f>
        <v>133194</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33623</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128357</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7160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19839</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51851</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9.9999999999999992E-2</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808651176</v>
      </c>
      <c r="D4995" s="2" t="str">
        <f t="shared" si="77"/>
        <v>Error?</v>
      </c>
    </row>
    <row r="4996" spans="1:4" x14ac:dyDescent="0.2">
      <c r="A4996" s="12">
        <v>4935</v>
      </c>
      <c r="B4996" s="1832">
        <f>'FP Info 3'!H31</f>
        <v>55796931.144000001</v>
      </c>
      <c r="D4996" s="2" t="str">
        <f t="shared" si="77"/>
        <v>Error?</v>
      </c>
    </row>
    <row r="4997" spans="1:4" x14ac:dyDescent="0.2">
      <c r="A4997" s="12">
        <v>4936</v>
      </c>
      <c r="B4997" s="1832">
        <f>'FP Info 3'!H37</f>
        <v>7800000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16690539</v>
      </c>
      <c r="D5061" s="2" t="str">
        <f t="shared" si="78"/>
        <v>Error?</v>
      </c>
    </row>
    <row r="5062" spans="1:4" x14ac:dyDescent="0.2">
      <c r="A5062" s="10">
        <v>5001</v>
      </c>
      <c r="B5062" s="1832"/>
      <c r="D5062" s="2" t="str">
        <f t="shared" si="78"/>
        <v>OK</v>
      </c>
    </row>
    <row r="5063" spans="1:4" x14ac:dyDescent="0.2">
      <c r="A5063" s="5">
        <v>5002</v>
      </c>
      <c r="B5063" s="1832">
        <f>'Revenues 9-14'!C7</f>
        <v>1247840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17938379</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199418</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199418</v>
      </c>
      <c r="C5087" s="2" t="s">
        <v>569</v>
      </c>
      <c r="D5087" s="2" t="str">
        <f t="shared" si="78"/>
        <v>Error?</v>
      </c>
    </row>
    <row r="5088" spans="1:4" x14ac:dyDescent="0.2">
      <c r="A5088" s="5">
        <v>5027</v>
      </c>
      <c r="B5088" s="1832">
        <f>'Revenues 9-14'!C65</f>
        <v>251126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251126</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188500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290845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3680</v>
      </c>
      <c r="D5111" s="2" t="str">
        <f t="shared" si="78"/>
        <v>Error?</v>
      </c>
    </row>
    <row r="5112" spans="1:4" x14ac:dyDescent="0.2">
      <c r="A5112" s="5">
        <v>5051</v>
      </c>
      <c r="B5112" s="1832">
        <f>'Revenues 9-14'!C93</f>
        <v>294525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6360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3356</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10143</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19859</v>
      </c>
      <c r="C5120" s="2" t="s">
        <v>569</v>
      </c>
      <c r="D5120" s="2" t="str">
        <f t="shared" si="79"/>
        <v>Error?</v>
      </c>
    </row>
    <row r="5121" spans="1:4" x14ac:dyDescent="0.2">
      <c r="A5121" s="5">
        <v>5060</v>
      </c>
      <c r="B5121" s="1832">
        <f>'Revenues 9-14'!C109</f>
        <v>18891807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1690537</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1690537</v>
      </c>
      <c r="C5132" s="2" t="s">
        <v>569</v>
      </c>
      <c r="D5132" s="2" t="str">
        <f t="shared" si="79"/>
        <v>Error?</v>
      </c>
    </row>
    <row r="5133" spans="1:4" x14ac:dyDescent="0.2">
      <c r="A5133" s="5">
        <v>5072</v>
      </c>
      <c r="B5133" s="1832">
        <f>'Revenues 9-14'!C125</f>
        <v>229839</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86612</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316451</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1910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1910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1870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320231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2010768</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109548</v>
      </c>
      <c r="D5239" s="2" t="str">
        <f t="shared" si="80"/>
        <v>Error?</v>
      </c>
    </row>
    <row r="5240" spans="1:4" x14ac:dyDescent="0.2">
      <c r="A5240" s="5">
        <v>5179</v>
      </c>
      <c r="B5240" s="1832">
        <f>'Revenues 9-14'!C192</f>
        <v>970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110518</v>
      </c>
      <c r="C5246" s="2" t="s">
        <v>569</v>
      </c>
      <c r="D5246" s="2" t="str">
        <f t="shared" si="80"/>
        <v>Error?</v>
      </c>
    </row>
    <row r="5247" spans="1:4" x14ac:dyDescent="0.2">
      <c r="A5247" s="5">
        <v>5186</v>
      </c>
      <c r="B5247" s="1832">
        <f>'Revenues 9-14'!C200</f>
        <v>240979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7160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240979</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583199</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583199</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174</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1175700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1175700</v>
      </c>
      <c r="C5326" s="2" t="s">
        <v>569</v>
      </c>
      <c r="D5326" s="2" t="str">
        <f t="shared" si="82"/>
        <v>Error?</v>
      </c>
    </row>
    <row r="5327" spans="1:5" x14ac:dyDescent="0.2">
      <c r="A5327" s="5">
        <v>5266</v>
      </c>
      <c r="B5327" s="1832">
        <f>'Revenues 9-14'!C268</f>
        <v>22078275</v>
      </c>
      <c r="C5327" s="2" t="s">
        <v>569</v>
      </c>
      <c r="D5327" s="2" t="str">
        <f t="shared" si="82"/>
        <v>Error?</v>
      </c>
    </row>
    <row r="5328" spans="1:5" x14ac:dyDescent="0.2">
      <c r="A5328" s="5">
        <v>5267</v>
      </c>
      <c r="B5328" s="1832">
        <f>'Revenues 9-14'!D5</f>
        <v>1846903</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1846903</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162368</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162368</v>
      </c>
      <c r="C5339" s="2" t="s">
        <v>569</v>
      </c>
      <c r="D5339" s="2" t="str">
        <f t="shared" si="82"/>
        <v>Error?</v>
      </c>
    </row>
    <row r="5340" spans="1:4" x14ac:dyDescent="0.2">
      <c r="A5340" s="5">
        <v>5279</v>
      </c>
      <c r="B5340" s="1832">
        <f>'Revenues 9-14'!D65</f>
        <v>27822</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27822</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102526</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24980</v>
      </c>
      <c r="D5354" s="2" t="str">
        <f t="shared" si="82"/>
        <v>Error?</v>
      </c>
    </row>
    <row r="5355" spans="1:4" x14ac:dyDescent="0.2">
      <c r="A5355" s="5">
        <v>5294</v>
      </c>
      <c r="B5355" s="1832">
        <f>'Revenues 9-14'!D108</f>
        <v>130052</v>
      </c>
      <c r="C5355" s="2" t="s">
        <v>569</v>
      </c>
      <c r="D5355" s="2" t="str">
        <f t="shared" si="82"/>
        <v>Error?</v>
      </c>
    </row>
    <row r="5356" spans="1:4" x14ac:dyDescent="0.2">
      <c r="A5356" s="5">
        <v>5295</v>
      </c>
      <c r="B5356" s="1832">
        <f>'Revenues 9-14'!D109</f>
        <v>2167145</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2217145</v>
      </c>
      <c r="C5508" s="2" t="s">
        <v>569</v>
      </c>
      <c r="D5508" s="2" t="str">
        <f t="shared" si="85"/>
        <v>Error?</v>
      </c>
    </row>
    <row r="5509" spans="1:4" x14ac:dyDescent="0.2">
      <c r="A5509" s="5">
        <v>5448</v>
      </c>
      <c r="B5509" s="1832">
        <f>'Revenues 9-14'!E5</f>
        <v>1804680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1804680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15134</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15134</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1819814</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1819814</v>
      </c>
      <c r="C5552" s="2" t="s">
        <v>569</v>
      </c>
      <c r="D5552" s="2" t="str">
        <f t="shared" si="85"/>
        <v>Error?</v>
      </c>
    </row>
    <row r="5553" spans="1:4" x14ac:dyDescent="0.2">
      <c r="A5553" s="5">
        <v>5492</v>
      </c>
      <c r="B5553" s="1832">
        <f>'Revenues 9-14'!F5</f>
        <v>798412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798412</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153285</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153285</v>
      </c>
      <c r="C5562" s="2" t="s">
        <v>569</v>
      </c>
      <c r="D5562" s="2" t="str">
        <f t="shared" si="85"/>
        <v>Error?</v>
      </c>
    </row>
    <row r="5563" spans="1:4" x14ac:dyDescent="0.2">
      <c r="A5563" s="5">
        <v>5502</v>
      </c>
      <c r="B5563" s="1832">
        <f>'Revenues 9-14'!F42</f>
        <v>3948</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3948</v>
      </c>
      <c r="C5579" s="2" t="s">
        <v>569</v>
      </c>
      <c r="D5579" s="2" t="str">
        <f t="shared" si="86"/>
        <v>Error?</v>
      </c>
    </row>
    <row r="5580" spans="1:4" x14ac:dyDescent="0.2">
      <c r="A5580" s="5">
        <v>5519</v>
      </c>
      <c r="B5580" s="1832">
        <f>'Revenues 9-14'!F65</f>
        <v>8162</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8162</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963807</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578944</v>
      </c>
      <c r="D5615" s="2" t="str">
        <f t="shared" si="86"/>
        <v>Error?</v>
      </c>
    </row>
    <row r="5616" spans="1:4" x14ac:dyDescent="0.2">
      <c r="A5616" s="10">
        <v>5555</v>
      </c>
      <c r="B5616" s="1832"/>
      <c r="D5616" s="2" t="str">
        <f t="shared" si="86"/>
        <v>OK</v>
      </c>
    </row>
    <row r="5617" spans="1:5" x14ac:dyDescent="0.2">
      <c r="A5617" s="5">
        <v>5556</v>
      </c>
      <c r="B5617" s="1832">
        <f>'Revenues 9-14'!F153</f>
        <v>336351</v>
      </c>
      <c r="D5617" s="2" t="str">
        <f t="shared" si="86"/>
        <v>Error?</v>
      </c>
    </row>
    <row r="5618" spans="1:5" x14ac:dyDescent="0.2">
      <c r="A5618" s="5">
        <v>5557</v>
      </c>
      <c r="B5618" s="1832">
        <f>'Revenues 9-14'!F155</f>
        <v>915295</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915295</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915295</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1879102</v>
      </c>
      <c r="C5720" s="2" t="s">
        <v>569</v>
      </c>
      <c r="D5720" s="2" t="str">
        <f t="shared" si="88"/>
        <v>Error?</v>
      </c>
    </row>
    <row r="5721" spans="1:4" x14ac:dyDescent="0.2">
      <c r="A5721" s="5">
        <v>5660</v>
      </c>
      <c r="B5721" s="1832">
        <f>'Revenues 9-14'!G5</f>
        <v>401547</v>
      </c>
      <c r="D5721" s="2" t="str">
        <f t="shared" si="88"/>
        <v>Error?</v>
      </c>
    </row>
    <row r="5722" spans="1:4" x14ac:dyDescent="0.2">
      <c r="A5722" s="5">
        <v>5661</v>
      </c>
      <c r="B5722" s="1832">
        <f>'Revenues 9-14'!G7</f>
        <v>0</v>
      </c>
      <c r="D5722" s="2" t="str">
        <f t="shared" si="88"/>
        <v>Error?</v>
      </c>
    </row>
    <row r="5723" spans="1:4" x14ac:dyDescent="0.2">
      <c r="A5723" s="5">
        <v>5662</v>
      </c>
      <c r="B5723" s="1832">
        <f>'Revenues 9-14'!G8</f>
        <v>397427</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798974</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31792</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31792</v>
      </c>
      <c r="C5730" s="2" t="s">
        <v>569</v>
      </c>
      <c r="D5730" s="2" t="str">
        <f t="shared" si="88"/>
        <v>Error?</v>
      </c>
    </row>
    <row r="5731" spans="1:4" x14ac:dyDescent="0.2">
      <c r="A5731" s="5">
        <v>5670</v>
      </c>
      <c r="B5731" s="1832">
        <f>'Revenues 9-14'!G65</f>
        <v>1382</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1382</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832148</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28114</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28114</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28114</v>
      </c>
      <c r="C5915" s="2" t="s">
        <v>569</v>
      </c>
      <c r="D5915" s="2" t="str">
        <f t="shared" si="91"/>
        <v>Error?</v>
      </c>
    </row>
    <row r="5916" spans="1:4" x14ac:dyDescent="0.2">
      <c r="A5916" s="5">
        <v>5855</v>
      </c>
      <c r="B5916" s="1832">
        <f>'Revenues 9-14'!I5</f>
        <v>993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993</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53215</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53215</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54208</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994</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994</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93</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93</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1087</v>
      </c>
      <c r="C6023" s="2" t="s">
        <v>569</v>
      </c>
      <c r="D6023" s="2" t="str">
        <f t="shared" si="93"/>
        <v>Error?</v>
      </c>
    </row>
    <row r="6024" spans="1:5" x14ac:dyDescent="0.2">
      <c r="A6024" s="5">
        <v>5963</v>
      </c>
      <c r="B6024" s="1832">
        <f>'Revenues 9-14'!G109</f>
        <v>832148</v>
      </c>
      <c r="C6024" s="2" t="s">
        <v>569</v>
      </c>
      <c r="D6024" s="2" t="str">
        <f t="shared" si="93"/>
        <v>Error?</v>
      </c>
    </row>
    <row r="6025" spans="1:5" x14ac:dyDescent="0.2">
      <c r="A6025" s="5">
        <v>5964</v>
      </c>
      <c r="B6025" s="1832">
        <f>'Revenues 9-14'!H109</f>
        <v>28114</v>
      </c>
      <c r="C6025" s="2" t="s">
        <v>569</v>
      </c>
      <c r="D6025" s="2" t="str">
        <f t="shared" si="93"/>
        <v>Error?</v>
      </c>
    </row>
    <row r="6026" spans="1:5" x14ac:dyDescent="0.2">
      <c r="A6026" s="5">
        <v>5965</v>
      </c>
      <c r="B6026" s="1832">
        <f>'Revenues 9-14'!I109</f>
        <v>54208</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1087</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188500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17989</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1957.9</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454485</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228944</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8</v>
      </c>
      <c r="D6123" s="2" t="str">
        <f t="shared" si="94"/>
        <v>Error?</v>
      </c>
      <c r="E6123" s="2" t="s">
        <v>189</v>
      </c>
    </row>
    <row r="6124" spans="1:5" x14ac:dyDescent="0.2">
      <c r="A6124">
        <v>6063</v>
      </c>
      <c r="B6124" s="1832">
        <f>'Assets-Liab 5-6'!J13</f>
        <v>4524</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237162</v>
      </c>
      <c r="D6142" s="2" t="str">
        <f t="shared" si="94"/>
        <v>Error?</v>
      </c>
      <c r="E6142" s="2" t="s">
        <v>189</v>
      </c>
    </row>
    <row r="6143" spans="1:5" x14ac:dyDescent="0.2">
      <c r="A6143">
        <v>6082</v>
      </c>
      <c r="B6143" s="1832">
        <f>'Assets-Liab 5-6'!D27</f>
        <v>2577</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74943</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76522</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4524</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4524</v>
      </c>
      <c r="D6216" s="2" t="str">
        <f t="shared" si="96"/>
        <v>Error?</v>
      </c>
      <c r="E6216" s="2" t="s">
        <v>189</v>
      </c>
    </row>
    <row r="6217" spans="1:5" x14ac:dyDescent="0.2">
      <c r="A6217">
        <v>6156</v>
      </c>
      <c r="B6217" s="1832">
        <f>'Assets-Liab 5-6'!J4</f>
        <v>4516</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1054</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1054</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1054</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1054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102302</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1054</v>
      </c>
      <c r="D6263" s="2" t="str">
        <f t="shared" si="96"/>
        <v>Error?</v>
      </c>
      <c r="E6263" s="2" t="s">
        <v>189</v>
      </c>
    </row>
    <row r="6264" spans="1:5" x14ac:dyDescent="0.2">
      <c r="A6264">
        <v>6203</v>
      </c>
      <c r="B6264" s="1832">
        <f>'Acct Summary 7-8'!J79</f>
        <v>3470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4524</v>
      </c>
      <c r="D6266" s="2" t="str">
        <f t="shared" si="96"/>
        <v>Error?</v>
      </c>
      <c r="E6266" s="2" t="s">
        <v>189</v>
      </c>
    </row>
    <row r="6267" spans="1:5" x14ac:dyDescent="0.2">
      <c r="A6267">
        <v>6206</v>
      </c>
      <c r="B6267" s="1832">
        <f>'Acct Summary 7-8'!C82</f>
        <v>-1096446</v>
      </c>
      <c r="D6267" s="2" t="str">
        <f t="shared" si="96"/>
        <v>Error?</v>
      </c>
      <c r="E6267" s="2" t="s">
        <v>189</v>
      </c>
    </row>
    <row r="6268" spans="1:5" x14ac:dyDescent="0.2">
      <c r="A6268">
        <v>6207</v>
      </c>
      <c r="B6268" s="1832">
        <f>'Acct Summary 7-8'!D82</f>
        <v>54388</v>
      </c>
      <c r="D6268" s="2" t="str">
        <f t="shared" si="96"/>
        <v>Error?</v>
      </c>
      <c r="E6268" s="2" t="s">
        <v>189</v>
      </c>
    </row>
    <row r="6269" spans="1:5" x14ac:dyDescent="0.2">
      <c r="A6269">
        <v>6208</v>
      </c>
      <c r="B6269" s="1832">
        <f>'Acct Summary 7-8'!E82</f>
        <v>-19722</v>
      </c>
      <c r="D6269" s="2" t="str">
        <f t="shared" si="96"/>
        <v>Error?</v>
      </c>
      <c r="E6269" s="2" t="s">
        <v>189</v>
      </c>
    </row>
    <row r="6270" spans="1:5" x14ac:dyDescent="0.2">
      <c r="A6270">
        <v>6209</v>
      </c>
      <c r="B6270" s="1832">
        <f>'Acct Summary 7-8'!F82</f>
        <v>102192</v>
      </c>
      <c r="D6270" s="2" t="str">
        <f t="shared" si="96"/>
        <v>Error?</v>
      </c>
      <c r="E6270" s="2" t="s">
        <v>189</v>
      </c>
    </row>
    <row r="6271" spans="1:5" x14ac:dyDescent="0.2">
      <c r="A6271">
        <v>6210</v>
      </c>
      <c r="B6271" s="1832">
        <f>'Acct Summary 7-8'!G82</f>
        <v>9079</v>
      </c>
      <c r="D6271" s="2" t="str">
        <f t="shared" ref="D6271:D6334" si="97">IF(ISBLANK(B6271),"OK",IF(A6271-B6271=0,"OK","Error?"))</f>
        <v>Error?</v>
      </c>
      <c r="E6271" s="2" t="s">
        <v>189</v>
      </c>
    </row>
    <row r="6272" spans="1:5" x14ac:dyDescent="0.2">
      <c r="A6272">
        <v>6211</v>
      </c>
      <c r="B6272" s="1832">
        <f>'Acct Summary 7-8'!H82</f>
        <v>4621075</v>
      </c>
      <c r="D6272" s="2" t="str">
        <f t="shared" si="97"/>
        <v>Error?</v>
      </c>
      <c r="E6272" s="2" t="s">
        <v>189</v>
      </c>
    </row>
    <row r="6273" spans="1:5" x14ac:dyDescent="0.2">
      <c r="A6273">
        <v>6212</v>
      </c>
      <c r="B6273" s="1832">
        <f>'Acct Summary 7-8'!I82</f>
        <v>2146436</v>
      </c>
      <c r="D6273" s="2" t="str">
        <f t="shared" si="97"/>
        <v>Error?</v>
      </c>
      <c r="E6273" s="2" t="s">
        <v>189</v>
      </c>
    </row>
    <row r="6274" spans="1:5" x14ac:dyDescent="0.2">
      <c r="A6274">
        <v>6213</v>
      </c>
      <c r="B6274" s="1832">
        <f>'Acct Summary 7-8'!J82</f>
        <v>1054</v>
      </c>
      <c r="D6274" s="2" t="str">
        <f t="shared" si="97"/>
        <v>Error?</v>
      </c>
      <c r="E6274" s="2" t="s">
        <v>189</v>
      </c>
    </row>
    <row r="6275" spans="1:5" x14ac:dyDescent="0.2">
      <c r="A6275">
        <v>6214</v>
      </c>
      <c r="B6275" s="1832">
        <f>'Acct Summary 7-8'!K82</f>
        <v>1087</v>
      </c>
      <c r="D6275" s="2" t="str">
        <f t="shared" si="97"/>
        <v>Error?</v>
      </c>
      <c r="E6275" s="2" t="s">
        <v>189</v>
      </c>
    </row>
    <row r="6276" spans="1:5" x14ac:dyDescent="0.2">
      <c r="A6276">
        <v>6215</v>
      </c>
      <c r="B6276" s="1832">
        <f>'Acct Summary 7-8'!C83</f>
        <v>-0.11164408982675222</v>
      </c>
      <c r="D6276" s="2" t="str">
        <f t="shared" si="97"/>
        <v>Error?</v>
      </c>
      <c r="E6276" s="2" t="s">
        <v>189</v>
      </c>
    </row>
    <row r="6277" spans="1:5" x14ac:dyDescent="0.2">
      <c r="A6277">
        <v>6216</v>
      </c>
      <c r="B6277" s="1832">
        <f>'Acct Summary 7-8'!D83</f>
        <v>2.6957835878783913E-2</v>
      </c>
      <c r="D6277" s="2" t="str">
        <f t="shared" si="97"/>
        <v>Error?</v>
      </c>
      <c r="E6277" s="2" t="s">
        <v>189</v>
      </c>
    </row>
    <row r="6278" spans="1:5" x14ac:dyDescent="0.2">
      <c r="A6278">
        <v>6217</v>
      </c>
      <c r="B6278" s="1832">
        <f>'Acct Summary 7-8'!E83</f>
        <v>-1.5092635816121157E-2</v>
      </c>
      <c r="D6278" s="2" t="str">
        <f t="shared" si="97"/>
        <v>Error?</v>
      </c>
      <c r="E6278" s="2" t="s">
        <v>189</v>
      </c>
    </row>
    <row r="6279" spans="1:5" x14ac:dyDescent="0.2">
      <c r="A6279">
        <v>6218</v>
      </c>
      <c r="B6279" s="1832">
        <f>'Acct Summary 7-8'!F83</f>
        <v>9.7065394142946154E-2</v>
      </c>
      <c r="D6279" s="2" t="str">
        <f t="shared" si="97"/>
        <v>Error?</v>
      </c>
      <c r="E6279" s="2" t="s">
        <v>189</v>
      </c>
    </row>
    <row r="6280" spans="1:5" x14ac:dyDescent="0.2">
      <c r="A6280">
        <v>6219</v>
      </c>
      <c r="B6280" s="1832">
        <f>'Acct Summary 7-8'!G83</f>
        <v>2.6153562519084409E-2</v>
      </c>
      <c r="D6280" s="2" t="str">
        <f t="shared" si="97"/>
        <v>Error?</v>
      </c>
      <c r="E6280" s="2" t="s">
        <v>189</v>
      </c>
    </row>
    <row r="6281" spans="1:5" x14ac:dyDescent="0.2">
      <c r="A6281">
        <v>6220</v>
      </c>
      <c r="B6281" s="1832">
        <f>'Acct Summary 7-8'!H83</f>
        <v>0.89394875576578881</v>
      </c>
      <c r="D6281" s="2" t="str">
        <f t="shared" si="97"/>
        <v>Error?</v>
      </c>
      <c r="E6281" s="2" t="s">
        <v>189</v>
      </c>
    </row>
    <row r="6282" spans="1:5" x14ac:dyDescent="0.2">
      <c r="A6282">
        <v>6221</v>
      </c>
      <c r="B6282" s="1832">
        <f>'Acct Summary 7-8'!I83</f>
        <v>0.50406031338386381</v>
      </c>
      <c r="D6282" s="2" t="str">
        <f t="shared" si="97"/>
        <v>Error?</v>
      </c>
      <c r="E6282" s="2" t="s">
        <v>189</v>
      </c>
    </row>
    <row r="6283" spans="1:5" x14ac:dyDescent="0.2">
      <c r="A6283">
        <v>6222</v>
      </c>
      <c r="B6283" s="1832">
        <f>'Acct Summary 7-8'!J83</f>
        <v>0.23297966401414677</v>
      </c>
      <c r="D6283" s="2" t="str">
        <f t="shared" si="97"/>
        <v>Error?</v>
      </c>
      <c r="E6283" s="2" t="s">
        <v>189</v>
      </c>
    </row>
    <row r="6284" spans="1:5" x14ac:dyDescent="0.2">
      <c r="A6284">
        <v>6223</v>
      </c>
      <c r="B6284" s="1832">
        <f>'Acct Summary 7-8'!K83</f>
        <v>0.1566733929086192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993</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993</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61</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61</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2546</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1054</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253331</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9299</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329888</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87006</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650142</v>
      </c>
      <c r="D6880" s="2" t="str">
        <f t="shared" si="106"/>
        <v>Error?</v>
      </c>
    </row>
    <row r="6881" spans="1:4" x14ac:dyDescent="0.2">
      <c r="A6881">
        <v>6820</v>
      </c>
      <c r="B6881" s="1832">
        <f>'Expenditures 15-22'!K22</f>
        <v>650142</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9299</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298</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298</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67860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67860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68158</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77457</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40890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40890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40890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40890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1054</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2287</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2287</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2287</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43439</v>
      </c>
      <c r="D7073" s="2" t="str">
        <f t="shared" si="109"/>
        <v>Error?</v>
      </c>
    </row>
    <row r="7074" spans="1:4" x14ac:dyDescent="0.2">
      <c r="A7074">
        <v>7013</v>
      </c>
      <c r="B7074" s="1832">
        <f>'Expenditures 15-22'!K216</f>
        <v>43439</v>
      </c>
      <c r="D7074" s="2" t="str">
        <f t="shared" si="109"/>
        <v>Error?</v>
      </c>
    </row>
    <row r="7075" spans="1:4" x14ac:dyDescent="0.2">
      <c r="A7075">
        <v>7014</v>
      </c>
      <c r="B7075" s="1832">
        <f>'Expenditures 15-22'!D218</f>
        <v>1149</v>
      </c>
      <c r="D7075" s="2" t="str">
        <f t="shared" si="109"/>
        <v>Error?</v>
      </c>
    </row>
    <row r="7076" spans="1:4" x14ac:dyDescent="0.2">
      <c r="A7076">
        <v>7015</v>
      </c>
      <c r="B7076" s="1832">
        <f>'Expenditures 15-22'!K218</f>
        <v>1149</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1054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76557</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79243</v>
      </c>
      <c r="D7251" s="2" t="str">
        <f t="shared" si="112"/>
        <v>Error?</v>
      </c>
    </row>
    <row r="7252" spans="1:4" x14ac:dyDescent="0.2">
      <c r="A7252">
        <f t="shared" si="113"/>
        <v>7191</v>
      </c>
      <c r="B7252" s="1832">
        <f>'Expenditures 15-22'!D9</f>
        <v>1653</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6110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120634</v>
      </c>
      <c r="D7624" s="2" t="str">
        <f t="shared" si="124"/>
        <v>Error?</v>
      </c>
      <c r="E7624" s="2" t="s">
        <v>19</v>
      </c>
    </row>
    <row r="7625" spans="1:5" x14ac:dyDescent="0.2">
      <c r="A7625">
        <f t="shared" si="123"/>
        <v>7564</v>
      </c>
      <c r="B7625" s="1832">
        <f>'Cap Outlay Deprec 26'!I17</f>
        <v>12063.4</v>
      </c>
      <c r="D7625" s="2" t="str">
        <f t="shared" si="124"/>
        <v>Error?</v>
      </c>
      <c r="E7625" s="2" t="s">
        <v>19</v>
      </c>
    </row>
    <row r="7626" spans="1:5" x14ac:dyDescent="0.2">
      <c r="A7626" s="126">
        <f t="shared" si="123"/>
        <v>7565</v>
      </c>
      <c r="B7626" s="1832"/>
      <c r="D7626" s="2" t="str">
        <f t="shared" si="124"/>
        <v>OK</v>
      </c>
      <c r="E7626" s="4" t="s">
        <v>1325</v>
      </c>
    </row>
    <row r="7627" spans="1:5" x14ac:dyDescent="0.2">
      <c r="A7627" s="126">
        <f t="shared" si="123"/>
        <v>7566</v>
      </c>
      <c r="B7627" s="1832"/>
      <c r="D7627" s="2" t="str">
        <f t="shared" si="124"/>
        <v>OK</v>
      </c>
      <c r="E7627" s="4" t="s">
        <v>1325</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1325</v>
      </c>
    </row>
    <row r="7630" spans="1:5" x14ac:dyDescent="0.2">
      <c r="A7630" s="126">
        <f t="shared" ref="A7630:A7650" si="125">A7629+1</f>
        <v>7569</v>
      </c>
      <c r="B7630" s="1832"/>
      <c r="D7630" s="2" t="str">
        <f t="shared" si="124"/>
        <v>OK</v>
      </c>
      <c r="E7630" s="4" t="s">
        <v>1325</v>
      </c>
    </row>
    <row r="7631" spans="1:5" x14ac:dyDescent="0.2">
      <c r="A7631">
        <f t="shared" si="125"/>
        <v>7570</v>
      </c>
      <c r="B7631" s="1832">
        <f>'Cap Outlay Deprec 26'!I18</f>
        <v>1609201.4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1325</v>
      </c>
    </row>
    <row r="7634" spans="1:6" x14ac:dyDescent="0.2">
      <c r="A7634" s="126">
        <f t="shared" si="125"/>
        <v>7573</v>
      </c>
      <c r="B7634" s="1832"/>
      <c r="D7634" s="2" t="str">
        <f t="shared" si="124"/>
        <v>OK</v>
      </c>
      <c r="E7634" s="4" t="s">
        <v>1325</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1247840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1325</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1324</v>
      </c>
    </row>
    <row r="7749" spans="1:6" x14ac:dyDescent="0.2">
      <c r="A7749">
        <v>7688</v>
      </c>
      <c r="B7749" s="1832">
        <f>'Acct Summary 7-8'!D25</f>
        <v>0</v>
      </c>
      <c r="D7749" s="2" t="str">
        <f t="shared" si="127"/>
        <v>Error?</v>
      </c>
      <c r="E7749" s="4" t="s">
        <v>1324</v>
      </c>
    </row>
    <row r="7750" spans="1:6" x14ac:dyDescent="0.2">
      <c r="A7750">
        <v>7689</v>
      </c>
      <c r="B7750" s="1832">
        <f>'Acct Summary 7-8'!E25</f>
        <v>0</v>
      </c>
      <c r="D7750" s="2" t="str">
        <f t="shared" si="127"/>
        <v>Error?</v>
      </c>
      <c r="E7750" s="4" t="s">
        <v>1324</v>
      </c>
    </row>
    <row r="7751" spans="1:6" x14ac:dyDescent="0.2">
      <c r="A7751">
        <v>7690</v>
      </c>
      <c r="B7751" s="1832">
        <f>'Acct Summary 7-8'!F25</f>
        <v>0</v>
      </c>
      <c r="D7751" s="2" t="str">
        <f t="shared" si="127"/>
        <v>Error?</v>
      </c>
      <c r="E7751" s="4" t="s">
        <v>1324</v>
      </c>
    </row>
    <row r="7752" spans="1:6" x14ac:dyDescent="0.2">
      <c r="A7752">
        <v>7691</v>
      </c>
      <c r="B7752" s="1832">
        <f>'Acct Summary 7-8'!G25</f>
        <v>0</v>
      </c>
      <c r="D7752" s="2" t="str">
        <f t="shared" si="127"/>
        <v>Error?</v>
      </c>
      <c r="E7752" s="4" t="s">
        <v>1324</v>
      </c>
    </row>
    <row r="7753" spans="1:6" x14ac:dyDescent="0.2">
      <c r="A7753">
        <v>7692</v>
      </c>
      <c r="B7753" s="1832">
        <f>'Acct Summary 7-8'!H25</f>
        <v>4876967</v>
      </c>
      <c r="D7753" s="2" t="str">
        <f t="shared" si="127"/>
        <v>Error?</v>
      </c>
      <c r="E7753" s="4" t="s">
        <v>1324</v>
      </c>
    </row>
    <row r="7754" spans="1:6" x14ac:dyDescent="0.2">
      <c r="A7754">
        <v>7693</v>
      </c>
      <c r="B7754" s="1832">
        <f>'Acct Summary 7-8'!J25</f>
        <v>0</v>
      </c>
      <c r="D7754" s="2" t="str">
        <f t="shared" si="127"/>
        <v>Error?</v>
      </c>
      <c r="E7754" s="4" t="s">
        <v>1324</v>
      </c>
    </row>
    <row r="7755" spans="1:6" x14ac:dyDescent="0.2">
      <c r="A7755">
        <v>7694</v>
      </c>
      <c r="B7755" s="1832">
        <f>'Acct Summary 7-8'!K25</f>
        <v>0</v>
      </c>
      <c r="D7755" s="2" t="str">
        <f t="shared" si="127"/>
        <v>Error?</v>
      </c>
      <c r="E7755" s="4" t="s">
        <v>1324</v>
      </c>
    </row>
    <row r="7756" spans="1:6" x14ac:dyDescent="0.2">
      <c r="A7756" s="126">
        <v>7695</v>
      </c>
      <c r="B7756" s="1832"/>
      <c r="D7756" s="2" t="str">
        <f t="shared" si="127"/>
        <v>OK</v>
      </c>
      <c r="E7756" s="4" t="s">
        <v>1324</v>
      </c>
      <c r="F7756" t="s">
        <v>1431</v>
      </c>
    </row>
    <row r="7757" spans="1:6" x14ac:dyDescent="0.2">
      <c r="A7757" s="126">
        <v>7696</v>
      </c>
      <c r="B7757" s="1832"/>
      <c r="D7757" s="2" t="str">
        <f t="shared" si="127"/>
        <v>OK</v>
      </c>
      <c r="E7757" s="4" t="s">
        <v>1324</v>
      </c>
      <c r="F7757" t="s">
        <v>1431</v>
      </c>
    </row>
    <row r="7758" spans="1:6" x14ac:dyDescent="0.2">
      <c r="A7758">
        <v>7697</v>
      </c>
      <c r="B7758" s="1832">
        <f>'Aud Quest 2'!J85</f>
        <v>334579</v>
      </c>
      <c r="D7758" s="2" t="str">
        <f t="shared" si="127"/>
        <v>Error?</v>
      </c>
      <c r="E7758" s="4" t="s">
        <v>1324</v>
      </c>
    </row>
    <row r="7759" spans="1:6" x14ac:dyDescent="0.2">
      <c r="A7759">
        <v>7698</v>
      </c>
      <c r="B7759" s="1832">
        <f>'Aud Quest 2'!J88</f>
        <v>1231746</v>
      </c>
      <c r="D7759" s="2" t="str">
        <f t="shared" si="127"/>
        <v>Error?</v>
      </c>
      <c r="E7759" s="4" t="s">
        <v>1324</v>
      </c>
    </row>
    <row r="7760" spans="1:6" x14ac:dyDescent="0.2">
      <c r="A7760">
        <v>7699</v>
      </c>
      <c r="B7760" s="1832">
        <f>'Aud Quest 2'!J90</f>
        <v>1566325</v>
      </c>
      <c r="D7760" s="2" t="str">
        <f t="shared" si="127"/>
        <v>Error?</v>
      </c>
      <c r="E7760" s="4" t="s">
        <v>1324</v>
      </c>
    </row>
    <row r="7761" spans="1:5" x14ac:dyDescent="0.2">
      <c r="A7761">
        <v>7700</v>
      </c>
      <c r="B7761" s="1832">
        <f>'Revenues 9-14'!C253</f>
        <v>0</v>
      </c>
      <c r="D7761" s="2" t="str">
        <f t="shared" si="127"/>
        <v>Error?</v>
      </c>
      <c r="E7761" s="4" t="s">
        <v>1408</v>
      </c>
    </row>
    <row r="7762" spans="1:5" x14ac:dyDescent="0.2">
      <c r="A7762">
        <v>7701</v>
      </c>
      <c r="B7762" s="1832">
        <f>'Expenditures 15-22'!E6</f>
        <v>0</v>
      </c>
      <c r="D7762" s="2" t="str">
        <f t="shared" si="127"/>
        <v>Error?</v>
      </c>
      <c r="E7762" s="4" t="s">
        <v>1418</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1446</v>
      </c>
    </row>
    <row r="7765" spans="1:5" x14ac:dyDescent="0.2">
      <c r="A7765">
        <v>7704</v>
      </c>
      <c r="B7765" s="1832">
        <f>'Revenues 9-14'!C254</f>
        <v>0</v>
      </c>
      <c r="D7765" s="2" t="str">
        <f t="shared" si="127"/>
        <v>Error?</v>
      </c>
      <c r="E7765" s="4" t="s">
        <v>1450</v>
      </c>
    </row>
    <row r="7766" spans="1:5" x14ac:dyDescent="0.2">
      <c r="A7766">
        <v>7705</v>
      </c>
      <c r="B7766" s="1832">
        <f>'Revenues 9-14'!D254</f>
        <v>0</v>
      </c>
      <c r="D7766" s="2" t="str">
        <f t="shared" si="127"/>
        <v>Error?</v>
      </c>
      <c r="E7766" s="4" t="s">
        <v>1450</v>
      </c>
    </row>
    <row r="7767" spans="1:5" x14ac:dyDescent="0.2">
      <c r="A7767" s="126">
        <v>7706</v>
      </c>
      <c r="B7767" s="1832"/>
      <c r="D7767" s="4" t="s">
        <v>1994</v>
      </c>
      <c r="E7767" s="4"/>
    </row>
    <row r="7768" spans="1:5" x14ac:dyDescent="0.2">
      <c r="A7768">
        <v>7707</v>
      </c>
      <c r="B7768" s="1832">
        <f>'Revenues 9-14'!F254</f>
        <v>0</v>
      </c>
      <c r="D7768" s="2" t="str">
        <f t="shared" si="127"/>
        <v>Error?</v>
      </c>
      <c r="E7768" s="4" t="s">
        <v>1450</v>
      </c>
    </row>
    <row r="7769" spans="1:5" x14ac:dyDescent="0.2">
      <c r="A7769">
        <v>7708</v>
      </c>
      <c r="B7769" s="1832">
        <f>'Revenues 9-14'!G254</f>
        <v>0</v>
      </c>
      <c r="D7769" s="2" t="str">
        <f t="shared" si="127"/>
        <v>Error?</v>
      </c>
      <c r="E7769" s="4" t="s">
        <v>1450</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1451</v>
      </c>
    </row>
    <row r="7773" spans="1:5" x14ac:dyDescent="0.2">
      <c r="A7773">
        <v>7712</v>
      </c>
      <c r="B7773" s="1832">
        <f>'Rest Tax Levies-Tort Im 25'!J22</f>
        <v>0</v>
      </c>
      <c r="D7773" s="2" t="str">
        <f t="shared" si="127"/>
        <v>Error?</v>
      </c>
      <c r="E7773" s="4" t="s">
        <v>1539</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0</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12710000</v>
      </c>
      <c r="D7817" s="2" t="str">
        <f t="shared" si="128"/>
        <v>Error?</v>
      </c>
      <c r="E7817" s="4" t="s">
        <v>1963</v>
      </c>
    </row>
    <row r="7818" spans="1:5" x14ac:dyDescent="0.2">
      <c r="A7818">
        <v>7757</v>
      </c>
      <c r="B7818" s="1832">
        <f>'PCTC-OEPP 27-28'!F172</f>
        <v>699942</v>
      </c>
      <c r="D7818" s="2" t="str">
        <f t="shared" si="128"/>
        <v>Error?</v>
      </c>
      <c r="E7818" s="4" t="s">
        <v>1977</v>
      </c>
    </row>
    <row r="7819" spans="1:5" x14ac:dyDescent="0.2">
      <c r="A7819">
        <v>7758</v>
      </c>
      <c r="B7819" s="1832">
        <f>'PCTC-OEPP 27-28'!F173</f>
        <v>25728</v>
      </c>
      <c r="D7819" s="2" t="str">
        <f t="shared" si="128"/>
        <v>Error?</v>
      </c>
      <c r="E7819" s="4" t="s">
        <v>1977</v>
      </c>
    </row>
    <row r="7820" spans="1:5" x14ac:dyDescent="0.2">
      <c r="A7820">
        <v>7759</v>
      </c>
      <c r="B7820" s="1832">
        <f>'ICR Computation 30'!E40</f>
        <v>-907550</v>
      </c>
      <c r="D7820" s="2" t="str">
        <f t="shared" si="128"/>
        <v>Error?</v>
      </c>
    </row>
    <row r="7821" spans="1:5" x14ac:dyDescent="0.2">
      <c r="A7821">
        <v>7760</v>
      </c>
      <c r="B7821" s="1832">
        <f>'ICR Computation 30'!G40</f>
        <v>-907550</v>
      </c>
      <c r="D7821" s="2" t="str">
        <f t="shared" si="128"/>
        <v>Error?</v>
      </c>
    </row>
    <row r="7822" spans="1:5" x14ac:dyDescent="0.2">
      <c r="A7822" s="1">
        <v>7761</v>
      </c>
      <c r="B7822" s="1832">
        <f>'PCTC-OEPP 27-28'!F14</f>
        <v>29776993</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329888</v>
      </c>
      <c r="D7826" s="2" t="str">
        <f t="shared" si="129"/>
        <v>Error?</v>
      </c>
      <c r="E7826" s="4" t="s">
        <v>1995</v>
      </c>
    </row>
    <row r="7827" spans="1:5" x14ac:dyDescent="0.2">
      <c r="A7827">
        <v>7766</v>
      </c>
      <c r="B7827" s="1832">
        <f>'PCTC-OEPP 27-28'!F35</f>
        <v>87006</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40635</v>
      </c>
      <c r="D7830" s="2" t="str">
        <f t="shared" si="129"/>
        <v>Error?</v>
      </c>
      <c r="E7830" s="4" t="s">
        <v>1995</v>
      </c>
    </row>
    <row r="7831" spans="1:5" x14ac:dyDescent="0.2">
      <c r="A7831">
        <v>7770</v>
      </c>
      <c r="B7831" s="1832">
        <f>'PCTC-OEPP 27-28'!F52</f>
        <v>31295</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3641230</v>
      </c>
      <c r="D7834" s="2" t="str">
        <f t="shared" si="129"/>
        <v>Error?</v>
      </c>
      <c r="E7834" s="4" t="s">
        <v>1995</v>
      </c>
    </row>
    <row r="7835" spans="1:5" x14ac:dyDescent="0.2">
      <c r="A7835">
        <v>7774</v>
      </c>
      <c r="B7835" s="1832">
        <f>'PCTC-OEPP 27-28'!F78</f>
        <v>26135763</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f>'PCTC-OEPP 27-28'!F80</f>
        <v>13348.875325603964</v>
      </c>
      <c r="D7837" s="2" t="str">
        <f t="shared" si="129"/>
        <v>Error?</v>
      </c>
      <c r="E7837" s="4" t="s">
        <v>1995</v>
      </c>
    </row>
    <row r="7838" spans="1:5" x14ac:dyDescent="0.2">
      <c r="A7838">
        <v>7777</v>
      </c>
      <c r="B7838" s="1832">
        <f>'PCTC-OEPP 27-28'!F96</f>
        <v>0</v>
      </c>
      <c r="D7838" s="2" t="str">
        <f t="shared" si="129"/>
        <v>Error?</v>
      </c>
      <c r="E7838" s="4" t="s">
        <v>1995</v>
      </c>
    </row>
    <row r="7839" spans="1:5" x14ac:dyDescent="0.2">
      <c r="A7839">
        <v>7778</v>
      </c>
      <c r="B7839" s="1832">
        <f>'PCTC-OEPP 27-28'!F102</f>
        <v>102526</v>
      </c>
      <c r="D7839" s="2" t="str">
        <f t="shared" si="129"/>
        <v>Error?</v>
      </c>
      <c r="E7839" s="4" t="s">
        <v>1995</v>
      </c>
    </row>
    <row r="7840" spans="1:5" x14ac:dyDescent="0.2">
      <c r="A7840">
        <v>7779</v>
      </c>
      <c r="B7840" s="1832">
        <f>'PCTC-OEPP 27-28'!F103</f>
        <v>0</v>
      </c>
      <c r="D7840" s="2" t="str">
        <f t="shared" si="129"/>
        <v>Error?</v>
      </c>
      <c r="E7840" s="4" t="s">
        <v>1995</v>
      </c>
    </row>
    <row r="7841" spans="1:5" x14ac:dyDescent="0.2">
      <c r="A7841">
        <v>7780</v>
      </c>
      <c r="B7841" s="1832">
        <f>'PCTC-OEPP 27-28'!F104</f>
        <v>0</v>
      </c>
      <c r="D7841" s="2" t="str">
        <f t="shared" si="129"/>
        <v>Error?</v>
      </c>
      <c r="E7841" s="4" t="s">
        <v>1995</v>
      </c>
    </row>
    <row r="7842" spans="1:5" x14ac:dyDescent="0.2">
      <c r="A7842">
        <v>7781</v>
      </c>
      <c r="B7842" s="1832">
        <f>'PCTC-OEPP 27-28'!F106</f>
        <v>316451</v>
      </c>
      <c r="D7842" s="2" t="str">
        <f t="shared" si="129"/>
        <v>Error?</v>
      </c>
      <c r="E7842" s="4" t="s">
        <v>1995</v>
      </c>
    </row>
    <row r="7843" spans="1:5" x14ac:dyDescent="0.2">
      <c r="A7843">
        <v>7782</v>
      </c>
      <c r="B7843" s="1832">
        <f>'PCTC-OEPP 27-28'!F107</f>
        <v>1910</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0</v>
      </c>
      <c r="D7846" s="2" t="str">
        <f t="shared" si="129"/>
        <v>Error?</v>
      </c>
      <c r="E7846" s="4" t="s">
        <v>1995</v>
      </c>
    </row>
    <row r="7847" spans="1:5" x14ac:dyDescent="0.2">
      <c r="A7847">
        <v>7786</v>
      </c>
      <c r="B7847" s="1832">
        <f>'PCTC-OEPP 27-28'!F112</f>
        <v>915295</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0</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110518</v>
      </c>
      <c r="D7858" s="2" t="str">
        <f t="shared" si="129"/>
        <v>Error?</v>
      </c>
      <c r="E7858" s="4" t="s">
        <v>1995</v>
      </c>
    </row>
    <row r="7859" spans="1:5" x14ac:dyDescent="0.2">
      <c r="A7859">
        <v>7798</v>
      </c>
      <c r="B7859" s="1832">
        <f>'PCTC-OEPP 27-28'!F127</f>
        <v>240979</v>
      </c>
      <c r="D7859" s="2" t="str">
        <f t="shared" si="129"/>
        <v>Error?</v>
      </c>
      <c r="E7859" s="4" t="s">
        <v>1995</v>
      </c>
    </row>
    <row r="7860" spans="1:5" x14ac:dyDescent="0.2">
      <c r="A7860">
        <v>7799</v>
      </c>
      <c r="B7860" s="1832">
        <f>'PCTC-OEPP 27-28'!F128</f>
        <v>7160</v>
      </c>
      <c r="D7860" s="2" t="str">
        <f t="shared" si="129"/>
        <v>Error?</v>
      </c>
      <c r="E7860" s="4" t="s">
        <v>1995</v>
      </c>
    </row>
    <row r="7861" spans="1:5" x14ac:dyDescent="0.2">
      <c r="A7861">
        <v>7800</v>
      </c>
      <c r="B7861" s="1832">
        <f>'PCTC-OEPP 27-28'!F129</f>
        <v>583199</v>
      </c>
      <c r="D7861" s="2" t="str">
        <f t="shared" si="129"/>
        <v>Error?</v>
      </c>
      <c r="E7861" s="4" t="s">
        <v>1995</v>
      </c>
    </row>
    <row r="7862" spans="1:5" x14ac:dyDescent="0.2">
      <c r="A7862">
        <v>7801</v>
      </c>
      <c r="B7862" s="1832">
        <f>'PCTC-OEPP 27-28'!F130</f>
        <v>0</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174</v>
      </c>
      <c r="D7868" s="2" t="str">
        <f t="shared" si="129"/>
        <v>Error?</v>
      </c>
      <c r="E7868" s="4" t="s">
        <v>1995</v>
      </c>
    </row>
    <row r="7869" spans="1:5" x14ac:dyDescent="0.2">
      <c r="A7869">
        <v>7808</v>
      </c>
      <c r="B7869" s="1832">
        <f>'PCTC-OEPP 27-28'!F162</f>
        <v>19839</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51851</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33623</v>
      </c>
      <c r="D7874" s="2" t="str">
        <f t="shared" si="129"/>
        <v>Error?</v>
      </c>
      <c r="E7874" s="4" t="s">
        <v>1995</v>
      </c>
    </row>
    <row r="7875" spans="1:5" x14ac:dyDescent="0.2">
      <c r="A7875">
        <v>7814</v>
      </c>
      <c r="B7875" s="1832">
        <f>'PCTC-OEPP 27-28'!F170</f>
        <v>128357</v>
      </c>
      <c r="D7875" s="2" t="str">
        <f t="shared" si="129"/>
        <v>Error?</v>
      </c>
      <c r="E7875" s="4" t="s">
        <v>1995</v>
      </c>
    </row>
    <row r="7876" spans="1:5" x14ac:dyDescent="0.2">
      <c r="A7876">
        <v>7815</v>
      </c>
      <c r="B7876" s="1832">
        <f>'PCTC-OEPP 27-28'!F171</f>
        <v>0</v>
      </c>
      <c r="D7876" s="2" t="str">
        <f t="shared" si="129"/>
        <v>Error?</v>
      </c>
      <c r="E7876" s="4" t="s">
        <v>1995</v>
      </c>
    </row>
    <row r="7877" spans="1:5" x14ac:dyDescent="0.2">
      <c r="A7877">
        <v>7816</v>
      </c>
      <c r="B7877" s="1832">
        <f>'PCTC-OEPP 27-28'!F175</f>
        <v>3786538</v>
      </c>
      <c r="D7877" s="2" t="str">
        <f t="shared" si="129"/>
        <v>Error?</v>
      </c>
      <c r="E7877" s="4" t="s">
        <v>1995</v>
      </c>
    </row>
    <row r="7878" spans="1:5" x14ac:dyDescent="0.2">
      <c r="A7878">
        <v>7817</v>
      </c>
      <c r="B7878" s="1832">
        <f>'PCTC-OEPP 27-28'!F176</f>
        <v>22349225</v>
      </c>
      <c r="D7878" s="2" t="str">
        <f t="shared" si="129"/>
        <v>Error?</v>
      </c>
      <c r="E7878" s="4" t="s">
        <v>1995</v>
      </c>
    </row>
    <row r="7879" spans="1:5" x14ac:dyDescent="0.2">
      <c r="A7879">
        <v>7818</v>
      </c>
      <c r="B7879" s="1832">
        <f>'PCTC-OEPP 27-28'!F178</f>
        <v>23958426.399999999</v>
      </c>
      <c r="D7879" s="2" t="str">
        <f t="shared" si="129"/>
        <v>Error?</v>
      </c>
      <c r="E7879" s="4" t="s">
        <v>1995</v>
      </c>
    </row>
    <row r="7880" spans="1:5" x14ac:dyDescent="0.2">
      <c r="A7880">
        <v>7819</v>
      </c>
      <c r="B7880" s="1832">
        <f>'PCTC-OEPP 27-28'!F180</f>
        <v>12236.797793554317</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4" zoomScale="110" zoomScaleNormal="110" workbookViewId="0">
      <selection activeCell="B49" sqref="B49"/>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5" t="s">
        <v>1183</v>
      </c>
      <c r="B2" s="2515"/>
      <c r="C2" s="2515"/>
      <c r="D2" s="2515"/>
      <c r="E2" s="2515"/>
      <c r="F2" s="2515"/>
      <c r="G2" s="2515"/>
      <c r="H2" s="2515"/>
      <c r="I2" s="2515"/>
      <c r="J2" s="2515"/>
      <c r="K2" s="2515"/>
      <c r="L2" s="2515"/>
    </row>
    <row r="3" spans="1:29" ht="13.5" customHeight="1" x14ac:dyDescent="0.2">
      <c r="A3" s="2547" t="s">
        <v>1182</v>
      </c>
      <c r="B3" s="2547"/>
      <c r="C3" s="2547"/>
      <c r="D3" s="2547"/>
      <c r="E3" s="2547"/>
      <c r="F3" s="2547"/>
      <c r="G3" s="2547"/>
      <c r="H3" s="2547"/>
      <c r="I3" s="2547"/>
      <c r="J3" s="2547"/>
      <c r="K3" s="2547"/>
      <c r="L3" s="2547"/>
    </row>
    <row r="4" spans="1:29" ht="13.5" customHeight="1" x14ac:dyDescent="0.2">
      <c r="A4" s="2536" t="str">
        <f>"Year Ending June 30, "&amp;'AFR20'!E2</f>
        <v>Year Ending June 30, 2020</v>
      </c>
      <c r="B4" s="2537"/>
      <c r="C4" s="2537"/>
      <c r="D4" s="2537"/>
      <c r="E4" s="2537"/>
      <c r="F4" s="2537"/>
      <c r="G4" s="2537"/>
      <c r="H4" s="2537"/>
      <c r="I4" s="2537"/>
      <c r="J4" s="2537"/>
      <c r="K4" s="2537"/>
      <c r="L4" s="253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38" t="str">
        <f>COVER!A17</f>
        <v xml:space="preserve">  Palos CCSD 118</v>
      </c>
      <c r="B7" s="2539"/>
      <c r="C7" s="2539"/>
      <c r="D7" s="2540"/>
      <c r="E7" s="2541">
        <f>COVER!A13</f>
        <v>7016118004</v>
      </c>
      <c r="F7" s="2542"/>
      <c r="G7" s="2548" t="str">
        <f>COVER!T23</f>
        <v>066-003328</v>
      </c>
      <c r="H7" s="2549"/>
      <c r="I7" s="2549"/>
      <c r="J7" s="2549"/>
      <c r="K7" s="2549"/>
      <c r="L7" s="2550"/>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51"/>
      <c r="B9" s="2552"/>
      <c r="C9" s="2552"/>
      <c r="D9" s="2552"/>
      <c r="E9" s="2552"/>
      <c r="F9" s="2553"/>
      <c r="G9" s="2521" t="str">
        <f>COVER!T13</f>
        <v>Mueller &amp; Co., LLP</v>
      </c>
      <c r="H9" s="2554"/>
      <c r="I9" s="2554"/>
      <c r="J9" s="2554"/>
      <c r="K9" s="2554"/>
      <c r="L9" s="2555"/>
    </row>
    <row r="10" spans="1:29" ht="13.5" customHeight="1" x14ac:dyDescent="0.2">
      <c r="A10" s="2527" t="str">
        <f>COVER!A38</f>
        <v>Anthony M. Scarsella</v>
      </c>
      <c r="B10" s="2528"/>
      <c r="C10" s="2528"/>
      <c r="D10" s="2528"/>
      <c r="E10" s="2528"/>
      <c r="F10" s="2529"/>
      <c r="G10" s="2521" t="str">
        <f>COVER!T17</f>
        <v>14300 South Ravinia Avenue, Suite 200</v>
      </c>
      <c r="H10" s="2522"/>
      <c r="I10" s="2522"/>
      <c r="J10" s="2522"/>
      <c r="K10" s="2522"/>
      <c r="L10" s="2523"/>
    </row>
    <row r="11" spans="1:29" ht="13.5" customHeight="1" x14ac:dyDescent="0.2">
      <c r="A11" s="963" t="s">
        <v>1505</v>
      </c>
      <c r="B11" s="964"/>
      <c r="C11" s="965"/>
      <c r="D11" s="970"/>
      <c r="E11" s="965"/>
      <c r="F11" s="969"/>
      <c r="G11" s="2521" t="str">
        <f>COVER!T19</f>
        <v>Orland Park</v>
      </c>
      <c r="H11" s="2522"/>
      <c r="I11" s="2522"/>
      <c r="J11" s="2522"/>
      <c r="K11" s="2522"/>
      <c r="L11" s="2523"/>
    </row>
    <row r="12" spans="1:29" ht="13.5" customHeight="1" x14ac:dyDescent="0.2">
      <c r="A12" s="2530" t="s">
        <v>1504</v>
      </c>
      <c r="B12" s="2531"/>
      <c r="C12" s="2531"/>
      <c r="D12" s="2531"/>
      <c r="E12" s="2531"/>
      <c r="F12" s="2532"/>
      <c r="G12" s="2524"/>
      <c r="H12" s="2525"/>
      <c r="I12" s="2525"/>
      <c r="J12" s="2525"/>
      <c r="K12" s="2525"/>
      <c r="L12" s="2526"/>
    </row>
    <row r="13" spans="1:29" ht="13.5" customHeight="1" x14ac:dyDescent="0.2">
      <c r="A13" s="2521"/>
      <c r="B13" s="2522"/>
      <c r="C13" s="2522"/>
      <c r="D13" s="2522"/>
      <c r="E13" s="2522"/>
      <c r="F13" s="2523"/>
      <c r="G13" s="2516" t="s">
        <v>1506</v>
      </c>
      <c r="H13" s="2517"/>
      <c r="I13" s="2533" t="str">
        <f>COVER!T25</f>
        <v>kbissell@muellercpa.com</v>
      </c>
      <c r="J13" s="2534"/>
      <c r="K13" s="2534"/>
      <c r="L13" s="2535"/>
    </row>
    <row r="14" spans="1:29" ht="13.5" customHeight="1" x14ac:dyDescent="0.2">
      <c r="A14" s="2521" t="str">
        <f>COVER!A19</f>
        <v>8800 West 119th Street</v>
      </c>
      <c r="B14" s="2522"/>
      <c r="C14" s="2522"/>
      <c r="D14" s="2522"/>
      <c r="E14" s="2522"/>
      <c r="F14" s="2523"/>
      <c r="G14" s="974" t="s">
        <v>1177</v>
      </c>
      <c r="H14" s="972"/>
      <c r="I14" s="972"/>
      <c r="J14" s="972"/>
      <c r="K14" s="972"/>
      <c r="L14" s="973"/>
    </row>
    <row r="15" spans="1:29" ht="13.5" customHeight="1" x14ac:dyDescent="0.2">
      <c r="A15" s="2521" t="str">
        <f>COVER!A21</f>
        <v>Palos Park</v>
      </c>
      <c r="B15" s="2522"/>
      <c r="C15" s="2522"/>
      <c r="D15" s="2522"/>
      <c r="E15" s="2522"/>
      <c r="F15" s="2523"/>
      <c r="G15" s="2518" t="str">
        <f>COVER!T15</f>
        <v>Kevin Bissell</v>
      </c>
      <c r="H15" s="2519"/>
      <c r="I15" s="2519"/>
      <c r="J15" s="2519"/>
      <c r="K15" s="2519"/>
      <c r="L15" s="2520"/>
    </row>
    <row r="16" spans="1:29" ht="12.2" customHeight="1" x14ac:dyDescent="0.2">
      <c r="A16" s="2544">
        <f>COVER!A25</f>
        <v>60464</v>
      </c>
      <c r="B16" s="2545"/>
      <c r="C16" s="2545"/>
      <c r="D16" s="2545"/>
      <c r="E16" s="2545"/>
      <c r="F16" s="2546"/>
      <c r="G16" s="2556"/>
      <c r="H16" s="2557"/>
      <c r="I16" s="2557"/>
      <c r="J16" s="2557"/>
      <c r="K16" s="2557"/>
      <c r="L16" s="2558"/>
    </row>
    <row r="17" spans="1:13" ht="12.2" customHeight="1" x14ac:dyDescent="0.2">
      <c r="A17" s="2559"/>
      <c r="B17" s="2545"/>
      <c r="C17" s="2545"/>
      <c r="D17" s="2545"/>
      <c r="E17" s="2545"/>
      <c r="F17" s="2546"/>
      <c r="G17" s="974" t="s">
        <v>1176</v>
      </c>
      <c r="H17" s="972"/>
      <c r="I17" s="972"/>
      <c r="J17" s="972"/>
      <c r="K17" s="976" t="s">
        <v>1175</v>
      </c>
      <c r="L17" s="969"/>
      <c r="M17" s="962"/>
    </row>
    <row r="18" spans="1:13" ht="12.2" customHeight="1" x14ac:dyDescent="0.2">
      <c r="A18" s="2527"/>
      <c r="B18" s="2528"/>
      <c r="C18" s="2528"/>
      <c r="D18" s="2528"/>
      <c r="E18" s="2528"/>
      <c r="F18" s="2529"/>
      <c r="G18" s="2538" t="str">
        <f>COVER!T21</f>
        <v>708-349-6999</v>
      </c>
      <c r="H18" s="2539"/>
      <c r="I18" s="2539"/>
      <c r="J18" s="2539"/>
      <c r="K18" s="2538" t="str">
        <f>COVER!X21</f>
        <v>708-349-6639</v>
      </c>
      <c r="L18" s="254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t="s">
        <v>2132</v>
      </c>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t="s">
        <v>2132</v>
      </c>
      <c r="C26" s="981" t="s">
        <v>1680</v>
      </c>
    </row>
    <row r="27" spans="1:13" s="977" customFormat="1" ht="9" customHeight="1" x14ac:dyDescent="0.2">
      <c r="B27" s="982"/>
      <c r="C27" s="981"/>
    </row>
    <row r="28" spans="1:13" s="977" customFormat="1" ht="12.2" customHeight="1" x14ac:dyDescent="0.2">
      <c r="A28" s="984"/>
      <c r="B28" s="980" t="s">
        <v>2132</v>
      </c>
      <c r="C28" s="981" t="s">
        <v>1681</v>
      </c>
    </row>
    <row r="29" spans="1:13" s="977" customFormat="1" ht="9" customHeight="1" x14ac:dyDescent="0.2">
      <c r="A29" s="984"/>
      <c r="B29" s="982"/>
      <c r="C29" s="981"/>
    </row>
    <row r="30" spans="1:13" s="977" customFormat="1" ht="12.2" customHeight="1" x14ac:dyDescent="0.2">
      <c r="B30" s="980" t="s">
        <v>2132</v>
      </c>
      <c r="C30" s="981" t="s">
        <v>1548</v>
      </c>
      <c r="D30" s="975"/>
      <c r="E30" s="975"/>
    </row>
    <row r="31" spans="1:13" s="977" customFormat="1" ht="9" customHeight="1" x14ac:dyDescent="0.2">
      <c r="B31" s="982"/>
      <c r="C31" s="981"/>
      <c r="D31" s="975"/>
      <c r="E31" s="975"/>
    </row>
    <row r="32" spans="1:13" s="977" customFormat="1" ht="12.2" customHeight="1" x14ac:dyDescent="0.2">
      <c r="B32" s="980" t="s">
        <v>2132</v>
      </c>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t="s">
        <v>2132</v>
      </c>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t="s">
        <v>2132</v>
      </c>
      <c r="C38" s="981" t="s">
        <v>1552</v>
      </c>
    </row>
    <row r="39" spans="1:8" ht="9" customHeight="1" x14ac:dyDescent="0.2">
      <c r="B39" s="982"/>
      <c r="C39" s="985"/>
    </row>
    <row r="40" spans="1:8" s="977" customFormat="1" ht="13.5" customHeight="1" x14ac:dyDescent="0.2">
      <c r="B40" s="980" t="s">
        <v>2132</v>
      </c>
      <c r="C40" s="981" t="s">
        <v>1553</v>
      </c>
    </row>
    <row r="41" spans="1:8" ht="9" customHeight="1" x14ac:dyDescent="0.2">
      <c r="A41" s="986"/>
      <c r="B41" s="982"/>
      <c r="C41" s="985"/>
    </row>
    <row r="42" spans="1:8" s="977" customFormat="1" ht="13.5" customHeight="1" x14ac:dyDescent="0.2">
      <c r="B42" s="980" t="s">
        <v>2132</v>
      </c>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t="s">
        <v>2132</v>
      </c>
      <c r="C46" s="988" t="s">
        <v>1554</v>
      </c>
      <c r="D46" s="975"/>
      <c r="E46" s="975"/>
      <c r="F46" s="975"/>
      <c r="G46" s="975"/>
      <c r="H46" s="975"/>
    </row>
    <row r="47" spans="1:8" ht="9" customHeight="1" x14ac:dyDescent="0.2"/>
    <row r="48" spans="1:8" ht="12.2" customHeight="1" x14ac:dyDescent="0.2">
      <c r="B48" s="1541" t="s">
        <v>2132</v>
      </c>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84" zoomScale="125" zoomScaleNormal="125" workbookViewId="0">
      <selection activeCell="C85" sqref="C85"/>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0" t="str">
        <f>'Single Audit Cover'!A7</f>
        <v xml:space="preserve">  Palos CCSD 118</v>
      </c>
      <c r="B1" s="2561"/>
      <c r="C1" s="2561"/>
      <c r="D1" s="2561"/>
    </row>
    <row r="2" spans="1:11" s="991" customFormat="1" ht="12.75" x14ac:dyDescent="0.2">
      <c r="A2" s="2562">
        <f>'Single Audit Cover'!E7</f>
        <v>7016118004</v>
      </c>
      <c r="B2" s="2563"/>
      <c r="C2" s="2563"/>
      <c r="D2" s="2563"/>
    </row>
    <row r="3" spans="1:11" s="991" customFormat="1" ht="12.75" x14ac:dyDescent="0.2">
      <c r="A3" s="2560" t="s">
        <v>1499</v>
      </c>
      <c r="B3" s="2561"/>
      <c r="C3" s="2561"/>
      <c r="D3" s="2561"/>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t="s">
        <v>2132</v>
      </c>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2132</v>
      </c>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2132</v>
      </c>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2132</v>
      </c>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2132</v>
      </c>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2132</v>
      </c>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t="s">
        <v>2132</v>
      </c>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t="s">
        <v>2132</v>
      </c>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t="s">
        <v>2132</v>
      </c>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t="s">
        <v>2178</v>
      </c>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t="s">
        <v>2178</v>
      </c>
      <c r="C42" s="1008">
        <v>11</v>
      </c>
      <c r="D42" s="1019" t="s">
        <v>1560</v>
      </c>
      <c r="E42" s="290"/>
    </row>
    <row r="43" spans="1:5" ht="3" customHeight="1" x14ac:dyDescent="0.2">
      <c r="A43" s="998"/>
      <c r="B43" s="1015"/>
      <c r="C43" s="1016"/>
      <c r="D43" s="997"/>
    </row>
    <row r="44" spans="1:5" x14ac:dyDescent="0.2">
      <c r="A44" s="998"/>
      <c r="B44" s="1001" t="s">
        <v>2132</v>
      </c>
      <c r="C44" s="1002">
        <f>C42+1</f>
        <v>12</v>
      </c>
      <c r="D44" s="1013" t="s">
        <v>1206</v>
      </c>
    </row>
    <row r="45" spans="1:5" ht="10.5" customHeight="1" x14ac:dyDescent="0.2">
      <c r="A45" s="998"/>
      <c r="B45" s="1014"/>
      <c r="C45" s="1002"/>
      <c r="D45" s="1013" t="s">
        <v>1966</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t="s">
        <v>2132</v>
      </c>
      <c r="C48" s="1002">
        <f>C44+1</f>
        <v>13</v>
      </c>
      <c r="D48" s="1013" t="s">
        <v>1561</v>
      </c>
    </row>
    <row r="49" spans="1:4" ht="3" customHeight="1" x14ac:dyDescent="0.2">
      <c r="A49" s="998"/>
      <c r="B49" s="1005"/>
      <c r="C49" s="1002"/>
      <c r="D49" s="1013"/>
    </row>
    <row r="50" spans="1:4" x14ac:dyDescent="0.2">
      <c r="A50" s="998"/>
      <c r="B50" s="1001" t="s">
        <v>2132</v>
      </c>
      <c r="C50" s="1002">
        <f>C48+1</f>
        <v>14</v>
      </c>
      <c r="D50" s="1013" t="s">
        <v>1204</v>
      </c>
    </row>
    <row r="51" spans="1:4" ht="3" customHeight="1" x14ac:dyDescent="0.2">
      <c r="A51" s="998"/>
      <c r="B51" s="1005"/>
      <c r="C51" s="1002"/>
      <c r="D51" s="1013"/>
    </row>
    <row r="52" spans="1:4" x14ac:dyDescent="0.2">
      <c r="A52" s="998"/>
      <c r="B52" s="1001" t="s">
        <v>2132</v>
      </c>
      <c r="C52" s="1002">
        <f>C50+1</f>
        <v>15</v>
      </c>
      <c r="D52" s="1013" t="s">
        <v>1203</v>
      </c>
    </row>
    <row r="53" spans="1:4" ht="3" customHeight="1" x14ac:dyDescent="0.2">
      <c r="A53" s="998"/>
      <c r="B53" s="1005"/>
      <c r="C53" s="1002"/>
      <c r="D53" s="1013"/>
    </row>
    <row r="54" spans="1:4" x14ac:dyDescent="0.2">
      <c r="A54" s="998"/>
      <c r="B54" s="1001" t="s">
        <v>2178</v>
      </c>
      <c r="C54" s="1002">
        <f>C52+1</f>
        <v>16</v>
      </c>
      <c r="D54" s="1013" t="s">
        <v>1202</v>
      </c>
    </row>
    <row r="55" spans="1:4" ht="3" customHeight="1" x14ac:dyDescent="0.2">
      <c r="A55" s="998"/>
      <c r="B55" s="1005"/>
      <c r="C55" s="1002"/>
      <c r="D55" s="1013"/>
    </row>
    <row r="56" spans="1:4" x14ac:dyDescent="0.2">
      <c r="A56" s="998"/>
      <c r="B56" s="1001" t="s">
        <v>2132</v>
      </c>
      <c r="C56" s="1002">
        <f>C54+1</f>
        <v>17</v>
      </c>
      <c r="D56" s="997" t="s">
        <v>1689</v>
      </c>
    </row>
    <row r="57" spans="1:4" ht="10.5" customHeight="1" x14ac:dyDescent="0.2">
      <c r="A57" s="998"/>
      <c r="D57" s="1013" t="s">
        <v>1690</v>
      </c>
    </row>
    <row r="58" spans="1:4" x14ac:dyDescent="0.2">
      <c r="A58" s="998"/>
      <c r="C58" s="1020" t="s">
        <v>2132</v>
      </c>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t="s">
        <v>2132</v>
      </c>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t="s">
        <v>2132</v>
      </c>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t="s">
        <v>2178</v>
      </c>
      <c r="D69" s="1013" t="s">
        <v>1694</v>
      </c>
    </row>
    <row r="70" spans="1:4" x14ac:dyDescent="0.2">
      <c r="A70" s="998"/>
      <c r="D70" s="1022" t="s">
        <v>1198</v>
      </c>
    </row>
    <row r="71" spans="1:4" ht="3" customHeight="1" x14ac:dyDescent="0.2">
      <c r="A71" s="998"/>
      <c r="D71" s="997"/>
    </row>
    <row r="72" spans="1:4" x14ac:dyDescent="0.2">
      <c r="A72" s="998"/>
      <c r="B72" s="1001" t="s">
        <v>2132</v>
      </c>
      <c r="C72" s="1002">
        <f>C56+1</f>
        <v>18</v>
      </c>
      <c r="D72" s="1023" t="s">
        <v>1695</v>
      </c>
    </row>
    <row r="73" spans="1:4" ht="3" customHeight="1" x14ac:dyDescent="0.2">
      <c r="A73" s="998"/>
      <c r="B73" s="1005"/>
      <c r="C73" s="1002"/>
      <c r="D73" s="1023"/>
    </row>
    <row r="74" spans="1:4" x14ac:dyDescent="0.2">
      <c r="A74" s="998"/>
      <c r="B74" s="1001" t="s">
        <v>2132</v>
      </c>
      <c r="C74" s="1002">
        <f>C72+1</f>
        <v>19</v>
      </c>
      <c r="D74" s="1013" t="s">
        <v>1197</v>
      </c>
    </row>
    <row r="75" spans="1:4" ht="3" customHeight="1" x14ac:dyDescent="0.2">
      <c r="A75" s="998"/>
      <c r="B75" s="1005"/>
      <c r="C75" s="1002"/>
      <c r="D75" s="1013"/>
    </row>
    <row r="76" spans="1:4" x14ac:dyDescent="0.2">
      <c r="A76" s="998"/>
      <c r="B76" s="1001" t="s">
        <v>2132</v>
      </c>
      <c r="C76" s="1002">
        <f>C74+1</f>
        <v>20</v>
      </c>
      <c r="D76" s="1024" t="s">
        <v>1696</v>
      </c>
    </row>
    <row r="77" spans="1:4" ht="3" customHeight="1" x14ac:dyDescent="0.2">
      <c r="A77" s="998"/>
      <c r="B77" s="1005"/>
      <c r="C77" s="1002"/>
      <c r="D77" s="1024"/>
    </row>
    <row r="78" spans="1:4" x14ac:dyDescent="0.2">
      <c r="A78" s="998"/>
      <c r="B78" s="1001" t="s">
        <v>2132</v>
      </c>
      <c r="C78" s="1002">
        <f>C76+1</f>
        <v>21</v>
      </c>
      <c r="D78" s="997" t="s">
        <v>1697</v>
      </c>
    </row>
    <row r="79" spans="1:4" ht="3" customHeight="1" x14ac:dyDescent="0.2">
      <c r="A79" s="998"/>
      <c r="B79" s="1005"/>
      <c r="C79" s="1002"/>
      <c r="D79" s="997"/>
    </row>
    <row r="80" spans="1:4" x14ac:dyDescent="0.2">
      <c r="A80" s="998"/>
      <c r="B80" s="1001" t="s">
        <v>2132</v>
      </c>
      <c r="C80" s="1002">
        <f>C78+1</f>
        <v>22</v>
      </c>
      <c r="D80" s="1025" t="s">
        <v>1698</v>
      </c>
    </row>
    <row r="81" spans="1:4" ht="3" customHeight="1" x14ac:dyDescent="0.2">
      <c r="A81" s="998"/>
      <c r="B81" s="1005"/>
      <c r="C81" s="1002"/>
      <c r="D81" s="1025"/>
    </row>
    <row r="82" spans="1:4" x14ac:dyDescent="0.2">
      <c r="A82" s="998"/>
      <c r="B82" s="1001" t="s">
        <v>2132</v>
      </c>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t="s">
        <v>2132</v>
      </c>
      <c r="C85" s="1002">
        <f>C82+1</f>
        <v>24</v>
      </c>
      <c r="D85" s="1013" t="s">
        <v>1195</v>
      </c>
    </row>
    <row r="86" spans="1:4" ht="3" customHeight="1" x14ac:dyDescent="0.2">
      <c r="A86" s="998"/>
      <c r="B86" s="1005"/>
      <c r="C86" s="1002"/>
      <c r="D86" s="1013"/>
    </row>
    <row r="87" spans="1:4" x14ac:dyDescent="0.2">
      <c r="A87" s="998"/>
      <c r="B87" s="1001" t="s">
        <v>2132</v>
      </c>
      <c r="C87" s="1002">
        <f>C85+1</f>
        <v>25</v>
      </c>
      <c r="D87" s="1013" t="s">
        <v>1194</v>
      </c>
    </row>
    <row r="88" spans="1:4" ht="3" customHeight="1" x14ac:dyDescent="0.2">
      <c r="A88" s="998"/>
      <c r="B88" s="1005"/>
      <c r="C88" s="1002"/>
      <c r="D88" s="1013"/>
    </row>
    <row r="89" spans="1:4" x14ac:dyDescent="0.2">
      <c r="A89" s="998"/>
      <c r="B89" s="1001" t="s">
        <v>2132</v>
      </c>
      <c r="C89" s="1002">
        <f>C87+1</f>
        <v>26</v>
      </c>
      <c r="D89" s="1013" t="s">
        <v>1193</v>
      </c>
    </row>
    <row r="90" spans="1:4" ht="3" customHeight="1" x14ac:dyDescent="0.2">
      <c r="A90" s="998"/>
      <c r="B90" s="1005"/>
      <c r="C90" s="1002"/>
      <c r="D90" s="1013"/>
    </row>
    <row r="91" spans="1:4" x14ac:dyDescent="0.2">
      <c r="A91" s="998"/>
      <c r="B91" s="1001" t="s">
        <v>2178</v>
      </c>
      <c r="C91" s="1002">
        <f>C89+1</f>
        <v>27</v>
      </c>
      <c r="D91" s="1013" t="s">
        <v>1700</v>
      </c>
    </row>
    <row r="92" spans="1:4" x14ac:dyDescent="0.2">
      <c r="A92" s="998"/>
      <c r="B92" s="1026"/>
      <c r="C92" s="1020" t="s">
        <v>2178</v>
      </c>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t="s">
        <v>2132</v>
      </c>
      <c r="C96" s="1002">
        <f>C91+1</f>
        <v>28</v>
      </c>
      <c r="D96" s="1013" t="s">
        <v>1701</v>
      </c>
    </row>
    <row r="97" spans="1:4" ht="3" customHeight="1" x14ac:dyDescent="0.2">
      <c r="A97" s="998"/>
      <c r="B97" s="1005"/>
      <c r="C97" s="1002"/>
      <c r="D97" s="1013"/>
    </row>
    <row r="98" spans="1:4" x14ac:dyDescent="0.2">
      <c r="A98" s="998"/>
      <c r="B98" s="1001" t="s">
        <v>2132</v>
      </c>
      <c r="C98" s="1002">
        <f>C96+1</f>
        <v>29</v>
      </c>
      <c r="D98" s="1027" t="s">
        <v>1702</v>
      </c>
    </row>
    <row r="99" spans="1:4" ht="3" customHeight="1" x14ac:dyDescent="0.2">
      <c r="A99" s="998"/>
      <c r="B99" s="1005"/>
      <c r="C99" s="1002"/>
      <c r="D99" s="1027"/>
    </row>
    <row r="100" spans="1:4" x14ac:dyDescent="0.2">
      <c r="A100" s="998"/>
      <c r="B100" s="1001" t="s">
        <v>2132</v>
      </c>
      <c r="C100" s="1002">
        <f>C98+1</f>
        <v>30</v>
      </c>
      <c r="D100" s="1013" t="s">
        <v>1703</v>
      </c>
    </row>
    <row r="101" spans="1:4" ht="3" customHeight="1" x14ac:dyDescent="0.2">
      <c r="A101" s="998"/>
      <c r="B101" s="1005"/>
      <c r="C101" s="1002"/>
      <c r="D101" s="1028"/>
    </row>
    <row r="102" spans="1:4" x14ac:dyDescent="0.2">
      <c r="A102" s="998"/>
      <c r="B102" s="1001" t="s">
        <v>2132</v>
      </c>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t="s">
        <v>2132</v>
      </c>
      <c r="C106" s="1002">
        <f>C102+1</f>
        <v>32</v>
      </c>
      <c r="D106" s="997" t="s">
        <v>1566</v>
      </c>
    </row>
    <row r="107" spans="1:4" ht="3" customHeight="1" x14ac:dyDescent="0.2">
      <c r="A107" s="998"/>
      <c r="B107" s="1005"/>
      <c r="C107" s="1002"/>
      <c r="D107" s="997"/>
    </row>
    <row r="108" spans="1:4" x14ac:dyDescent="0.2">
      <c r="A108" s="998"/>
      <c r="B108" s="1001" t="s">
        <v>2132</v>
      </c>
      <c r="C108" s="1002">
        <v>33</v>
      </c>
      <c r="D108" s="997" t="s">
        <v>1704</v>
      </c>
    </row>
    <row r="109" spans="1:4" ht="3" customHeight="1" x14ac:dyDescent="0.2">
      <c r="A109" s="998"/>
      <c r="B109" s="1005"/>
      <c r="C109" s="1002"/>
      <c r="D109" s="997"/>
    </row>
    <row r="110" spans="1:4" x14ac:dyDescent="0.2">
      <c r="A110" s="998"/>
      <c r="B110" s="1001" t="s">
        <v>2178</v>
      </c>
      <c r="C110" s="1002">
        <f>C108+1</f>
        <v>34</v>
      </c>
      <c r="D110" s="997" t="s">
        <v>1190</v>
      </c>
    </row>
    <row r="111" spans="1:4" ht="3" customHeight="1" x14ac:dyDescent="0.2">
      <c r="A111" s="998"/>
      <c r="B111" s="1005"/>
      <c r="C111" s="1002"/>
      <c r="D111" s="997"/>
    </row>
    <row r="112" spans="1:4" x14ac:dyDescent="0.2">
      <c r="A112" s="998"/>
      <c r="B112" s="1001" t="s">
        <v>2178</v>
      </c>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t="s">
        <v>2178</v>
      </c>
      <c r="C115" s="1002">
        <f>C112+1</f>
        <v>36</v>
      </c>
      <c r="D115" s="1013" t="s">
        <v>1187</v>
      </c>
    </row>
    <row r="116" spans="1:4" ht="3" customHeight="1" x14ac:dyDescent="0.2">
      <c r="A116" s="998"/>
      <c r="B116" s="1005"/>
      <c r="C116" s="1002"/>
      <c r="D116" s="1013"/>
    </row>
    <row r="117" spans="1:4" x14ac:dyDescent="0.2">
      <c r="A117" s="998"/>
      <c r="B117" s="1001" t="s">
        <v>2178</v>
      </c>
      <c r="C117" s="1002">
        <f>C115+1</f>
        <v>37</v>
      </c>
      <c r="D117" s="1013" t="s">
        <v>1705</v>
      </c>
    </row>
    <row r="118" spans="1:4" ht="3" customHeight="1" x14ac:dyDescent="0.2">
      <c r="A118" s="998"/>
      <c r="B118" s="1005"/>
      <c r="C118" s="1002"/>
      <c r="D118" s="1013"/>
    </row>
    <row r="119" spans="1:4" x14ac:dyDescent="0.2">
      <c r="A119" s="998"/>
      <c r="B119" s="1001" t="s">
        <v>2178</v>
      </c>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t="s">
        <v>2132</v>
      </c>
      <c r="C123" s="1002">
        <f>C119+1</f>
        <v>39</v>
      </c>
      <c r="D123" s="1023" t="s">
        <v>1807</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E44" sqref="E44"/>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5" t="str">
        <f>'Single Audit Cover'!A7</f>
        <v xml:space="preserve">  Palos CCSD 118</v>
      </c>
      <c r="B1" s="2565"/>
      <c r="C1" s="2565"/>
      <c r="D1" s="2565"/>
      <c r="E1" s="2565"/>
    </row>
    <row r="2" spans="1:5" x14ac:dyDescent="0.2">
      <c r="A2" s="2566">
        <f>'Single Audit Cover'!E7</f>
        <v>7016118004</v>
      </c>
      <c r="B2" s="2566"/>
      <c r="C2" s="2566"/>
      <c r="D2" s="2566"/>
      <c r="E2" s="2566"/>
    </row>
    <row r="3" spans="1:5" ht="4.5" customHeight="1" x14ac:dyDescent="0.2"/>
    <row r="4" spans="1:5" x14ac:dyDescent="0.2">
      <c r="A4" s="2565" t="s">
        <v>1236</v>
      </c>
      <c r="B4" s="2565"/>
      <c r="C4" s="2565"/>
      <c r="D4" s="2565"/>
      <c r="E4" s="2565"/>
    </row>
    <row r="5" spans="1:5" x14ac:dyDescent="0.2">
      <c r="A5" s="2568" t="str">
        <f>'Single Audit Cover'!A4</f>
        <v>Year Ending June 30, 2020</v>
      </c>
      <c r="B5" s="2568"/>
      <c r="C5" s="2568"/>
      <c r="D5" s="2568"/>
      <c r="E5" s="2568"/>
    </row>
    <row r="6" spans="1:5" x14ac:dyDescent="0.2">
      <c r="A6" s="2565" t="s">
        <v>1235</v>
      </c>
      <c r="B6" s="2565"/>
      <c r="C6" s="2565"/>
      <c r="D6" s="2565"/>
      <c r="E6" s="2565"/>
    </row>
    <row r="8" spans="1:5" x14ac:dyDescent="0.2">
      <c r="A8" s="1036" t="s">
        <v>1234</v>
      </c>
    </row>
    <row r="10" spans="1:5" x14ac:dyDescent="0.2">
      <c r="A10" s="1037" t="s">
        <v>1233</v>
      </c>
      <c r="B10" s="1038" t="s">
        <v>1232</v>
      </c>
      <c r="C10" s="1038"/>
      <c r="D10" s="1039">
        <f>SUM('Acct Summary 7-8'!C7:K7)</f>
        <v>1175700</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2001</v>
      </c>
      <c r="B14" s="1038"/>
      <c r="C14" s="1038"/>
      <c r="D14" s="1040">
        <f>'ICR Computation 30'!E11</f>
        <v>17989</v>
      </c>
    </row>
    <row r="15" spans="1:5" x14ac:dyDescent="0.2">
      <c r="A15" s="1037"/>
      <c r="B15" s="1038"/>
      <c r="C15" s="1038"/>
    </row>
    <row r="16" spans="1:5" x14ac:dyDescent="0.2">
      <c r="A16" s="1037" t="s">
        <v>1812</v>
      </c>
      <c r="B16" s="1038"/>
      <c r="C16" s="1038"/>
    </row>
    <row r="17" spans="1:4" x14ac:dyDescent="0.2">
      <c r="A17" s="1037" t="s">
        <v>1961</v>
      </c>
      <c r="B17" s="1038" t="s">
        <v>1227</v>
      </c>
      <c r="C17" s="1038"/>
      <c r="D17" s="1040">
        <f>-SUM('Revenues 9-14'!C264:D264,'Revenues 9-14'!F264:G264)</f>
        <v>-128357</v>
      </c>
    </row>
    <row r="19" spans="1:4" ht="13.5" thickBot="1" x14ac:dyDescent="0.25">
      <c r="A19" s="1041" t="s">
        <v>1226</v>
      </c>
      <c r="D19" s="1042">
        <f>SUM(D10:D17)</f>
        <v>1065332</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67"/>
      <c r="B24" s="2567"/>
      <c r="D24" s="1044"/>
    </row>
    <row r="25" spans="1:4" x14ac:dyDescent="0.2">
      <c r="A25" s="2564"/>
      <c r="B25" s="2564"/>
      <c r="D25" s="1044"/>
    </row>
    <row r="26" spans="1:4" x14ac:dyDescent="0.2">
      <c r="A26" s="2564"/>
      <c r="B26" s="2564"/>
      <c r="D26" s="1044"/>
    </row>
    <row r="27" spans="1:4" x14ac:dyDescent="0.2">
      <c r="A27" s="2564"/>
      <c r="B27" s="2564"/>
      <c r="D27" s="1044"/>
    </row>
    <row r="28" spans="1:4" x14ac:dyDescent="0.2">
      <c r="A28" s="2564"/>
      <c r="B28" s="2564"/>
      <c r="D28" s="1044"/>
    </row>
    <row r="29" spans="1:4" x14ac:dyDescent="0.2">
      <c r="A29" s="2564"/>
      <c r="B29" s="2564"/>
      <c r="D29" s="1044"/>
    </row>
    <row r="30" spans="1:4" x14ac:dyDescent="0.2">
      <c r="A30" s="2564"/>
      <c r="B30" s="2564"/>
      <c r="D30" s="1044"/>
    </row>
    <row r="32" spans="1:4" x14ac:dyDescent="0.2">
      <c r="A32" s="1036" t="s">
        <v>1224</v>
      </c>
      <c r="D32" s="1039">
        <f>SUM(D19:D30)</f>
        <v>1065332</v>
      </c>
    </row>
    <row r="33" spans="1:4" x14ac:dyDescent="0.2">
      <c r="D33" s="1045"/>
    </row>
    <row r="34" spans="1:4" x14ac:dyDescent="0.2">
      <c r="A34" s="295" t="s">
        <v>1223</v>
      </c>
    </row>
    <row r="35" spans="1:4" x14ac:dyDescent="0.2">
      <c r="A35" s="295" t="s">
        <v>1222</v>
      </c>
      <c r="B35" s="1034" t="s">
        <v>1221</v>
      </c>
      <c r="D35" s="1046">
        <f>+' SEFA (3)'!F27</f>
        <v>1065332</v>
      </c>
    </row>
    <row r="37" spans="1:4" x14ac:dyDescent="0.2">
      <c r="A37" s="1036" t="s">
        <v>1220</v>
      </c>
    </row>
    <row r="39" spans="1:4" ht="13.35" customHeight="1" x14ac:dyDescent="0.2">
      <c r="A39" s="1043" t="s">
        <v>1219</v>
      </c>
    </row>
    <row r="40" spans="1:4" x14ac:dyDescent="0.2">
      <c r="A40" s="2564"/>
      <c r="B40" s="2564"/>
      <c r="D40" s="1044"/>
    </row>
    <row r="41" spans="1:4" x14ac:dyDescent="0.2">
      <c r="A41" s="2564"/>
      <c r="B41" s="2564"/>
      <c r="D41" s="1047"/>
    </row>
    <row r="42" spans="1:4" x14ac:dyDescent="0.2">
      <c r="A42" s="2564"/>
      <c r="B42" s="2564"/>
      <c r="D42" s="1047"/>
    </row>
    <row r="43" spans="1:4" x14ac:dyDescent="0.2">
      <c r="A43" s="2564"/>
      <c r="B43" s="2564"/>
      <c r="D43" s="1047"/>
    </row>
    <row r="44" spans="1:4" x14ac:dyDescent="0.2">
      <c r="A44" s="2564"/>
      <c r="B44" s="2564"/>
      <c r="D44" s="1047"/>
    </row>
    <row r="45" spans="1:4" x14ac:dyDescent="0.2">
      <c r="A45" s="2564"/>
      <c r="B45" s="2564"/>
      <c r="D45" s="1047"/>
    </row>
    <row r="47" spans="1:4" x14ac:dyDescent="0.2">
      <c r="B47" s="1048" t="s">
        <v>1218</v>
      </c>
      <c r="C47" s="1048"/>
      <c r="D47" s="1049">
        <f>SUM(D35:D45)</f>
        <v>1065332</v>
      </c>
    </row>
    <row r="49" spans="2:4" x14ac:dyDescent="0.2">
      <c r="B49" s="1048" t="s">
        <v>1217</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2" zoomScale="120" zoomScaleNormal="120" workbookViewId="0">
      <selection activeCell="G28" sqref="G2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7" t="str">
        <f>'Single Audit Cover'!A7</f>
        <v xml:space="preserve">  Palos CCSD 118</v>
      </c>
      <c r="C1" s="2569"/>
      <c r="D1" s="2569"/>
      <c r="E1" s="2569"/>
      <c r="F1" s="2569"/>
      <c r="G1" s="2569"/>
      <c r="H1" s="2569"/>
      <c r="I1" s="2569"/>
      <c r="J1" s="2569"/>
      <c r="K1" s="2569"/>
      <c r="L1" s="2569"/>
      <c r="M1" s="2569"/>
    </row>
    <row r="2" spans="2:14" ht="15" x14ac:dyDescent="0.2">
      <c r="B2" s="2570">
        <f>'Single Audit Cover'!E7</f>
        <v>7016118004</v>
      </c>
      <c r="C2" s="2570"/>
      <c r="D2" s="2570"/>
      <c r="E2" s="2570"/>
      <c r="F2" s="2570"/>
      <c r="G2" s="2570"/>
      <c r="H2" s="2570"/>
      <c r="I2" s="2570"/>
      <c r="J2" s="2570"/>
      <c r="K2" s="2570"/>
      <c r="L2" s="2570"/>
      <c r="M2" s="2570"/>
      <c r="N2" s="1078"/>
    </row>
    <row r="3" spans="2:14" ht="15" x14ac:dyDescent="0.2">
      <c r="B3" s="2571" t="s">
        <v>1210</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5"/>
      <c r="J5" s="1915"/>
    </row>
    <row r="6" spans="2:14" x14ac:dyDescent="0.2">
      <c r="B6" s="1079"/>
      <c r="C6" s="1080"/>
      <c r="D6" s="1081" t="s">
        <v>1256</v>
      </c>
      <c r="E6" s="1082" t="s">
        <v>524</v>
      </c>
      <c r="F6" s="1083"/>
      <c r="G6" s="1084" t="s">
        <v>1711</v>
      </c>
      <c r="H6" s="1082"/>
      <c r="I6" s="1082"/>
      <c r="J6" s="1916"/>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1568</v>
      </c>
      <c r="I9" s="1914"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t="s">
        <v>2079</v>
      </c>
      <c r="C11" s="1821"/>
      <c r="D11" s="1822"/>
      <c r="E11" s="1823"/>
      <c r="F11" s="1823"/>
      <c r="G11" s="1823"/>
      <c r="H11" s="1823"/>
      <c r="I11" s="1823"/>
      <c r="J11" s="1823"/>
      <c r="K11" s="1823"/>
      <c r="L11" s="1823"/>
      <c r="M11" s="1823"/>
    </row>
    <row r="12" spans="2:14" ht="20.100000000000001" customHeight="1" x14ac:dyDescent="0.2">
      <c r="B12" s="1113" t="s">
        <v>2080</v>
      </c>
      <c r="C12" s="1824"/>
      <c r="D12" s="1825"/>
      <c r="E12" s="1826"/>
      <c r="F12" s="1826"/>
      <c r="G12" s="1826"/>
      <c r="H12" s="1826"/>
      <c r="I12" s="1826"/>
      <c r="J12" s="1826"/>
      <c r="K12" s="1826"/>
      <c r="L12" s="1823"/>
      <c r="M12" s="1826"/>
    </row>
    <row r="13" spans="2:14" ht="20.100000000000001" customHeight="1" x14ac:dyDescent="0.2">
      <c r="B13" s="1113" t="s">
        <v>2081</v>
      </c>
      <c r="C13" s="1824">
        <v>84.01</v>
      </c>
      <c r="D13" s="1825" t="s">
        <v>2082</v>
      </c>
      <c r="E13" s="1826">
        <v>225140</v>
      </c>
      <c r="F13" s="1826"/>
      <c r="G13" s="1826">
        <v>225140</v>
      </c>
      <c r="H13" s="1826"/>
      <c r="I13" s="1826"/>
      <c r="J13" s="1826"/>
      <c r="K13" s="1826"/>
      <c r="L13" s="1823">
        <f t="shared" ref="L13:L25" si="0">+G13+I13+K13</f>
        <v>225140</v>
      </c>
      <c r="M13" s="1826">
        <v>279166</v>
      </c>
    </row>
    <row r="14" spans="2:14" ht="20.100000000000001" customHeight="1" x14ac:dyDescent="0.2">
      <c r="B14" s="1113" t="s">
        <v>2081</v>
      </c>
      <c r="C14" s="1824">
        <v>84.01</v>
      </c>
      <c r="D14" s="1825" t="s">
        <v>2083</v>
      </c>
      <c r="E14" s="1826"/>
      <c r="F14" s="1826">
        <v>240979</v>
      </c>
      <c r="G14" s="1826"/>
      <c r="H14" s="1826"/>
      <c r="I14" s="1826">
        <v>240979</v>
      </c>
      <c r="J14" s="1826"/>
      <c r="K14" s="1826"/>
      <c r="L14" s="1823">
        <f t="shared" si="0"/>
        <v>240979</v>
      </c>
      <c r="M14" s="1826">
        <v>258677</v>
      </c>
    </row>
    <row r="15" spans="2:14" ht="20.100000000000001" customHeight="1" x14ac:dyDescent="0.2">
      <c r="B15" s="1113" t="s">
        <v>2084</v>
      </c>
      <c r="C15" s="1824">
        <v>84.367000000000004</v>
      </c>
      <c r="D15" s="1825" t="s">
        <v>2085</v>
      </c>
      <c r="E15" s="1826">
        <v>60343</v>
      </c>
      <c r="F15" s="1826"/>
      <c r="G15" s="1826">
        <v>60343</v>
      </c>
      <c r="H15" s="1826"/>
      <c r="I15" s="1826"/>
      <c r="J15" s="1826"/>
      <c r="K15" s="1826"/>
      <c r="L15" s="1823">
        <f t="shared" si="0"/>
        <v>60343</v>
      </c>
      <c r="M15" s="1826">
        <v>69329</v>
      </c>
    </row>
    <row r="16" spans="2:14" ht="20.100000000000001" customHeight="1" x14ac:dyDescent="0.2">
      <c r="B16" s="1113" t="s">
        <v>2084</v>
      </c>
      <c r="C16" s="1824">
        <v>84.367000000000004</v>
      </c>
      <c r="D16" s="1825" t="s">
        <v>2086</v>
      </c>
      <c r="E16" s="1826"/>
      <c r="F16" s="1826">
        <v>51851</v>
      </c>
      <c r="G16" s="1826"/>
      <c r="H16" s="1826"/>
      <c r="I16" s="1826">
        <v>51851</v>
      </c>
      <c r="J16" s="1826"/>
      <c r="K16" s="1826"/>
      <c r="L16" s="1823">
        <f t="shared" si="0"/>
        <v>51851</v>
      </c>
      <c r="M16" s="1826">
        <v>51851</v>
      </c>
    </row>
    <row r="17" spans="2:14" ht="20.100000000000001" customHeight="1" x14ac:dyDescent="0.2">
      <c r="B17" s="1113" t="s">
        <v>2087</v>
      </c>
      <c r="C17" s="1824">
        <v>84.364999999999995</v>
      </c>
      <c r="D17" s="1825" t="s">
        <v>2088</v>
      </c>
      <c r="E17" s="1826"/>
      <c r="F17" s="1826">
        <v>174</v>
      </c>
      <c r="G17" s="1826"/>
      <c r="H17" s="1826"/>
      <c r="I17" s="1826">
        <v>174</v>
      </c>
      <c r="J17" s="1826"/>
      <c r="K17" s="1826"/>
      <c r="L17" s="1823">
        <f t="shared" si="0"/>
        <v>174</v>
      </c>
      <c r="M17" s="1826">
        <v>184</v>
      </c>
    </row>
    <row r="18" spans="2:14" ht="20.100000000000001" customHeight="1" x14ac:dyDescent="0.2">
      <c r="B18" s="1113" t="s">
        <v>2089</v>
      </c>
      <c r="C18" s="1824">
        <v>84.364999999999995</v>
      </c>
      <c r="D18" s="1825" t="s">
        <v>2090</v>
      </c>
      <c r="E18" s="1826">
        <v>30369</v>
      </c>
      <c r="F18" s="1826"/>
      <c r="G18" s="1826">
        <v>30369</v>
      </c>
      <c r="H18" s="1826"/>
      <c r="I18" s="1826"/>
      <c r="J18" s="1826"/>
      <c r="K18" s="1826"/>
      <c r="L18" s="1823">
        <f t="shared" si="0"/>
        <v>30369</v>
      </c>
      <c r="M18" s="1826">
        <v>42722</v>
      </c>
    </row>
    <row r="19" spans="2:14" ht="20.100000000000001" customHeight="1" x14ac:dyDescent="0.2">
      <c r="B19" s="1113" t="s">
        <v>2089</v>
      </c>
      <c r="C19" s="1824">
        <v>84.364999999999995</v>
      </c>
      <c r="D19" s="1825" t="s">
        <v>2091</v>
      </c>
      <c r="E19" s="1826"/>
      <c r="F19" s="1826">
        <v>19839</v>
      </c>
      <c r="G19" s="1826"/>
      <c r="H19" s="1826"/>
      <c r="I19" s="1826">
        <v>19839</v>
      </c>
      <c r="J19" s="1826"/>
      <c r="K19" s="1826"/>
      <c r="L19" s="1823">
        <f t="shared" si="0"/>
        <v>19839</v>
      </c>
      <c r="M19" s="1826">
        <v>40953</v>
      </c>
    </row>
    <row r="20" spans="2:14" ht="20.100000000000001" customHeight="1" x14ac:dyDescent="0.2">
      <c r="B20" s="1113" t="s">
        <v>2092</v>
      </c>
      <c r="C20" s="1824">
        <v>84.042000000000002</v>
      </c>
      <c r="D20" s="1825" t="s">
        <v>2093</v>
      </c>
      <c r="E20" s="1826">
        <v>9151</v>
      </c>
      <c r="F20" s="1826"/>
      <c r="G20" s="1826">
        <v>9151</v>
      </c>
      <c r="H20" s="1826"/>
      <c r="I20" s="1826"/>
      <c r="J20" s="1826"/>
      <c r="K20" s="1826"/>
      <c r="L20" s="1823">
        <f t="shared" si="0"/>
        <v>9151</v>
      </c>
      <c r="M20" s="1826">
        <v>22609</v>
      </c>
    </row>
    <row r="21" spans="2:14" ht="20.100000000000001" customHeight="1" x14ac:dyDescent="0.2">
      <c r="B21" s="1113" t="s">
        <v>2092</v>
      </c>
      <c r="C21" s="1824">
        <v>84.042000000000002</v>
      </c>
      <c r="D21" s="1825" t="s">
        <v>2094</v>
      </c>
      <c r="E21" s="1826"/>
      <c r="F21" s="1826">
        <v>7160</v>
      </c>
      <c r="G21" s="1826"/>
      <c r="H21" s="1826"/>
      <c r="I21" s="1826">
        <v>6473</v>
      </c>
      <c r="J21" s="1826"/>
      <c r="K21" s="1826"/>
      <c r="L21" s="1823">
        <f t="shared" si="0"/>
        <v>6473</v>
      </c>
      <c r="M21" s="1826">
        <v>28942</v>
      </c>
    </row>
    <row r="22" spans="2:14" ht="20.100000000000001" customHeight="1" x14ac:dyDescent="0.2">
      <c r="B22" s="1113" t="s">
        <v>2095</v>
      </c>
      <c r="C22" s="1824" t="s">
        <v>2096</v>
      </c>
      <c r="D22" s="1825" t="s">
        <v>2097</v>
      </c>
      <c r="E22" s="1826"/>
      <c r="F22" s="1826"/>
      <c r="G22" s="1826"/>
      <c r="H22" s="1826"/>
      <c r="I22" s="1826">
        <v>153223</v>
      </c>
      <c r="J22" s="1826"/>
      <c r="K22" s="1826"/>
      <c r="L22" s="1823">
        <f t="shared" si="0"/>
        <v>153223</v>
      </c>
      <c r="M22" s="1826">
        <v>170563</v>
      </c>
    </row>
    <row r="23" spans="2:14" ht="20.100000000000001" customHeight="1" x14ac:dyDescent="0.2">
      <c r="B23" s="1113" t="s">
        <v>2098</v>
      </c>
      <c r="C23" s="1824">
        <v>84.027000000000001</v>
      </c>
      <c r="D23" s="1825" t="s">
        <v>2099</v>
      </c>
      <c r="E23" s="1826"/>
      <c r="F23" s="1826">
        <v>501280</v>
      </c>
      <c r="G23" s="1826"/>
      <c r="H23" s="1826"/>
      <c r="I23" s="1826">
        <v>501279</v>
      </c>
      <c r="J23" s="1826"/>
      <c r="K23" s="1826">
        <v>315</v>
      </c>
      <c r="L23" s="1823">
        <f t="shared" si="0"/>
        <v>501594</v>
      </c>
      <c r="M23" s="1826">
        <v>506688</v>
      </c>
    </row>
    <row r="24" spans="2:14" ht="20.100000000000001" customHeight="1" x14ac:dyDescent="0.2">
      <c r="B24" s="1113" t="s">
        <v>2098</v>
      </c>
      <c r="C24" s="1824">
        <v>84.027000000000001</v>
      </c>
      <c r="D24" s="1825" t="s">
        <v>2100</v>
      </c>
      <c r="E24" s="1826"/>
      <c r="F24" s="1826">
        <v>50984</v>
      </c>
      <c r="G24" s="1826"/>
      <c r="H24" s="1826"/>
      <c r="I24" s="1826">
        <v>50984</v>
      </c>
      <c r="J24" s="1826"/>
      <c r="K24" s="1826"/>
      <c r="L24" s="1823">
        <f t="shared" si="0"/>
        <v>50984</v>
      </c>
      <c r="M24" s="1826">
        <v>55000</v>
      </c>
    </row>
    <row r="25" spans="2:14" ht="20.100000000000001" customHeight="1" x14ac:dyDescent="0.2">
      <c r="B25" s="1113" t="s">
        <v>2101</v>
      </c>
      <c r="C25" s="1824">
        <v>84.173000000000002</v>
      </c>
      <c r="D25" s="1825" t="s">
        <v>2102</v>
      </c>
      <c r="E25" s="1826"/>
      <c r="F25" s="1826">
        <v>30935</v>
      </c>
      <c r="G25" s="1826"/>
      <c r="H25" s="1826"/>
      <c r="I25" s="1826">
        <v>30935</v>
      </c>
      <c r="J25" s="1826"/>
      <c r="K25" s="1826"/>
      <c r="L25" s="1823">
        <f t="shared" si="0"/>
        <v>30935</v>
      </c>
      <c r="M25" s="1826">
        <v>35828</v>
      </c>
    </row>
    <row r="26" spans="2:14" ht="20.100000000000001" customHeight="1" x14ac:dyDescent="0.2">
      <c r="B26" s="1113"/>
      <c r="C26" s="1824"/>
      <c r="D26" s="1825"/>
      <c r="E26" s="1826"/>
      <c r="F26" s="1826"/>
      <c r="G26" s="1826"/>
      <c r="H26" s="1826"/>
      <c r="I26" s="1826"/>
      <c r="J26" s="1826"/>
      <c r="K26" s="1826"/>
      <c r="L26" s="1823"/>
      <c r="M26" s="1826"/>
    </row>
    <row r="27" spans="2:14" ht="20.100000000000001" customHeight="1" x14ac:dyDescent="0.2">
      <c r="B27" s="1113" t="s">
        <v>2103</v>
      </c>
      <c r="C27" s="1824"/>
      <c r="D27" s="1825"/>
      <c r="E27" s="1826">
        <f>SUM(E13:E26)</f>
        <v>325003</v>
      </c>
      <c r="F27" s="1826">
        <f t="shared" ref="F27:L27" si="1">SUM(F13:F26)</f>
        <v>903202</v>
      </c>
      <c r="G27" s="1826">
        <f t="shared" si="1"/>
        <v>325003</v>
      </c>
      <c r="H27" s="1826">
        <f t="shared" si="1"/>
        <v>0</v>
      </c>
      <c r="I27" s="1826">
        <f t="shared" si="1"/>
        <v>1055737</v>
      </c>
      <c r="J27" s="1826">
        <f t="shared" si="1"/>
        <v>0</v>
      </c>
      <c r="K27" s="1826">
        <f t="shared" si="1"/>
        <v>315</v>
      </c>
      <c r="L27" s="1826">
        <f t="shared" si="1"/>
        <v>1381055</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topLeftCell="A9" zoomScale="120" zoomScaleNormal="120" workbookViewId="0">
      <selection activeCell="L9" sqref="L9"/>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7" t="str">
        <f>'Single Audit Cover'!A7</f>
        <v xml:space="preserve">  Palos CCSD 118</v>
      </c>
      <c r="C1" s="2569"/>
      <c r="D1" s="2569"/>
      <c r="E1" s="2569"/>
      <c r="F1" s="2569"/>
      <c r="G1" s="2569"/>
      <c r="H1" s="2569"/>
      <c r="I1" s="2569"/>
      <c r="J1" s="2569"/>
      <c r="K1" s="2569"/>
      <c r="L1" s="2569"/>
      <c r="M1" s="2569"/>
    </row>
    <row r="2" spans="2:14" ht="15" x14ac:dyDescent="0.2">
      <c r="B2" s="2570">
        <f>'Single Audit Cover'!E7</f>
        <v>7016118004</v>
      </c>
      <c r="C2" s="2570"/>
      <c r="D2" s="2570"/>
      <c r="E2" s="2570"/>
      <c r="F2" s="2570"/>
      <c r="G2" s="2570"/>
      <c r="H2" s="2570"/>
      <c r="I2" s="2570"/>
      <c r="J2" s="2570"/>
      <c r="K2" s="2570"/>
      <c r="L2" s="2570"/>
      <c r="M2" s="2570"/>
      <c r="N2" s="1078"/>
    </row>
    <row r="3" spans="2:14" ht="15" x14ac:dyDescent="0.2">
      <c r="B3" s="2571" t="s">
        <v>1210</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5"/>
      <c r="J5" s="1915"/>
    </row>
    <row r="6" spans="2:14" x14ac:dyDescent="0.2">
      <c r="B6" s="1079"/>
      <c r="C6" s="1080"/>
      <c r="D6" s="1081" t="s">
        <v>1256</v>
      </c>
      <c r="E6" s="1082" t="s">
        <v>524</v>
      </c>
      <c r="F6" s="1083"/>
      <c r="G6" s="1084" t="s">
        <v>1711</v>
      </c>
      <c r="H6" s="1082"/>
      <c r="I6" s="1082"/>
      <c r="J6" s="1916"/>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1568</v>
      </c>
      <c r="I9" s="1914"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t="s">
        <v>2079</v>
      </c>
      <c r="C11" s="1821"/>
      <c r="D11" s="1822"/>
      <c r="E11" s="1823"/>
      <c r="F11" s="1823"/>
      <c r="G11" s="1823"/>
      <c r="H11" s="1823"/>
      <c r="I11" s="1823"/>
      <c r="J11" s="1823"/>
      <c r="K11" s="1823"/>
      <c r="L11" s="1823"/>
      <c r="M11" s="1823"/>
    </row>
    <row r="12" spans="2:14" ht="20.100000000000001" customHeight="1" x14ac:dyDescent="0.2">
      <c r="B12" s="1113" t="s">
        <v>2104</v>
      </c>
      <c r="C12" s="1824"/>
      <c r="D12" s="1825"/>
      <c r="E12" s="1826"/>
      <c r="F12" s="1826"/>
      <c r="G12" s="1826"/>
      <c r="H12" s="1826"/>
      <c r="I12" s="1826"/>
      <c r="J12" s="1826"/>
      <c r="K12" s="1826"/>
      <c r="L12" s="1823"/>
      <c r="M12" s="1826"/>
    </row>
    <row r="13" spans="2:14" ht="20.100000000000001" customHeight="1" x14ac:dyDescent="0.2">
      <c r="B13" s="1113" t="s">
        <v>2105</v>
      </c>
      <c r="C13" s="1824">
        <v>84.027000000000001</v>
      </c>
      <c r="D13" s="1825" t="s">
        <v>2106</v>
      </c>
      <c r="E13" s="1826">
        <v>479833</v>
      </c>
      <c r="F13" s="1826"/>
      <c r="G13" s="1826">
        <v>479833</v>
      </c>
      <c r="H13" s="1826"/>
      <c r="I13" s="1826"/>
      <c r="J13" s="1826"/>
      <c r="K13" s="1826"/>
      <c r="L13" s="1823">
        <f t="shared" ref="L13:L22" si="0">+G13+I13+K13</f>
        <v>479833</v>
      </c>
      <c r="M13" s="1826">
        <v>509543</v>
      </c>
    </row>
    <row r="14" spans="2:14" ht="20.100000000000001" customHeight="1" x14ac:dyDescent="0.2">
      <c r="B14" s="1113" t="s">
        <v>2107</v>
      </c>
      <c r="C14" s="1824">
        <v>84.173000000000002</v>
      </c>
      <c r="D14" s="1825" t="s">
        <v>2108</v>
      </c>
      <c r="E14" s="1826">
        <v>23144</v>
      </c>
      <c r="F14" s="1826"/>
      <c r="G14" s="1826">
        <v>23144</v>
      </c>
      <c r="H14" s="1826"/>
      <c r="I14" s="1826"/>
      <c r="J14" s="1826"/>
      <c r="K14" s="1826"/>
      <c r="L14" s="1823">
        <f t="shared" si="0"/>
        <v>23144</v>
      </c>
      <c r="M14" s="1826">
        <v>31048</v>
      </c>
    </row>
    <row r="15" spans="2:14" ht="20.100000000000001" customHeight="1" x14ac:dyDescent="0.2">
      <c r="B15" s="1113" t="s">
        <v>2109</v>
      </c>
      <c r="C15" s="1824"/>
      <c r="D15" s="1825"/>
      <c r="E15" s="1826">
        <f>SUM(E13:E14)</f>
        <v>502977</v>
      </c>
      <c r="F15" s="1826">
        <f t="shared" ref="F15:L15" si="1">SUM(F13:F14)</f>
        <v>0</v>
      </c>
      <c r="G15" s="1826">
        <f t="shared" si="1"/>
        <v>502977</v>
      </c>
      <c r="H15" s="1826">
        <f t="shared" si="1"/>
        <v>0</v>
      </c>
      <c r="I15" s="1826">
        <f t="shared" si="1"/>
        <v>0</v>
      </c>
      <c r="J15" s="1826">
        <f t="shared" si="1"/>
        <v>0</v>
      </c>
      <c r="K15" s="1826">
        <f t="shared" si="1"/>
        <v>0</v>
      </c>
      <c r="L15" s="1826">
        <f t="shared" si="1"/>
        <v>502977</v>
      </c>
      <c r="M15" s="1826"/>
    </row>
    <row r="16" spans="2:14" ht="20.100000000000001" customHeight="1" x14ac:dyDescent="0.2">
      <c r="B16" s="1113" t="s">
        <v>2110</v>
      </c>
      <c r="C16" s="1824"/>
      <c r="D16" s="1825"/>
      <c r="E16" s="1826">
        <f>+' SEFA'!E27</f>
        <v>325003</v>
      </c>
      <c r="F16" s="1826">
        <f>+' SEFA'!F27</f>
        <v>903202</v>
      </c>
      <c r="G16" s="1826">
        <f>+' SEFA'!G27</f>
        <v>325003</v>
      </c>
      <c r="H16" s="1826">
        <f>+' SEFA'!H27</f>
        <v>0</v>
      </c>
      <c r="I16" s="1826">
        <f>+' SEFA'!I27</f>
        <v>1055737</v>
      </c>
      <c r="J16" s="1826">
        <f>+' SEFA'!J27</f>
        <v>0</v>
      </c>
      <c r="K16" s="1826">
        <f>+' SEFA'!K27</f>
        <v>315</v>
      </c>
      <c r="L16" s="1826">
        <f>+' SEFA'!L27</f>
        <v>1381055</v>
      </c>
      <c r="M16" s="1826"/>
    </row>
    <row r="17" spans="2:14" ht="20.100000000000001" customHeight="1" x14ac:dyDescent="0.2">
      <c r="B17" s="1113" t="s">
        <v>2111</v>
      </c>
      <c r="C17" s="1824"/>
      <c r="D17" s="1825"/>
      <c r="E17" s="1826">
        <f>SUM(E15:E16)</f>
        <v>827980</v>
      </c>
      <c r="F17" s="1826">
        <f t="shared" ref="F17:L17" si="2">SUM(F15:F16)</f>
        <v>903202</v>
      </c>
      <c r="G17" s="1826">
        <f t="shared" si="2"/>
        <v>827980</v>
      </c>
      <c r="H17" s="1826">
        <f t="shared" si="2"/>
        <v>0</v>
      </c>
      <c r="I17" s="1826">
        <f t="shared" si="2"/>
        <v>1055737</v>
      </c>
      <c r="J17" s="1826">
        <f t="shared" si="2"/>
        <v>0</v>
      </c>
      <c r="K17" s="1826">
        <f t="shared" si="2"/>
        <v>315</v>
      </c>
      <c r="L17" s="1826">
        <f t="shared" si="2"/>
        <v>1884032</v>
      </c>
      <c r="M17" s="1826"/>
    </row>
    <row r="18" spans="2:14" ht="20.100000000000001" customHeight="1" x14ac:dyDescent="0.2">
      <c r="B18" s="1113"/>
      <c r="C18" s="1824"/>
      <c r="D18" s="1825"/>
      <c r="E18" s="1826"/>
      <c r="F18" s="1826"/>
      <c r="G18" s="1826"/>
      <c r="H18" s="1826"/>
      <c r="I18" s="1826"/>
      <c r="J18" s="1826"/>
      <c r="K18" s="1826"/>
      <c r="L18" s="1823"/>
      <c r="M18" s="1826"/>
    </row>
    <row r="19" spans="2:14" ht="20.100000000000001" customHeight="1" x14ac:dyDescent="0.2">
      <c r="B19" s="1113" t="s">
        <v>2112</v>
      </c>
      <c r="C19" s="1824"/>
      <c r="D19" s="1825"/>
      <c r="E19" s="1826"/>
      <c r="F19" s="1826"/>
      <c r="G19" s="1826"/>
      <c r="H19" s="1826"/>
      <c r="I19" s="1826"/>
      <c r="J19" s="1826"/>
      <c r="K19" s="1826"/>
      <c r="L19" s="1823"/>
      <c r="M19" s="1826"/>
    </row>
    <row r="20" spans="2:14" ht="20.100000000000001" customHeight="1" x14ac:dyDescent="0.2">
      <c r="B20" s="1113" t="s">
        <v>2113</v>
      </c>
      <c r="C20" s="1824"/>
      <c r="D20" s="1825"/>
      <c r="E20" s="1826"/>
      <c r="F20" s="1826"/>
      <c r="G20" s="1826"/>
      <c r="H20" s="1826"/>
      <c r="I20" s="1826"/>
      <c r="J20" s="1826"/>
      <c r="K20" s="1826"/>
      <c r="L20" s="1823"/>
      <c r="M20" s="1826"/>
    </row>
    <row r="21" spans="2:14" ht="20.100000000000001" customHeight="1" x14ac:dyDescent="0.2">
      <c r="B21" s="1113" t="s">
        <v>2114</v>
      </c>
      <c r="C21" s="1824">
        <v>93.778000000000006</v>
      </c>
      <c r="D21" s="1825">
        <v>2019</v>
      </c>
      <c r="E21" s="1826">
        <v>28353</v>
      </c>
      <c r="F21" s="1826"/>
      <c r="G21" s="1826">
        <v>28353</v>
      </c>
      <c r="H21" s="1826"/>
      <c r="I21" s="1826"/>
      <c r="J21" s="1826"/>
      <c r="K21" s="1826"/>
      <c r="L21" s="1823">
        <f t="shared" si="0"/>
        <v>28353</v>
      </c>
      <c r="M21" s="1826" t="s">
        <v>2115</v>
      </c>
    </row>
    <row r="22" spans="2:14" ht="20.100000000000001" customHeight="1" x14ac:dyDescent="0.2">
      <c r="B22" s="1113" t="s">
        <v>2114</v>
      </c>
      <c r="C22" s="1824">
        <v>93.778000000000006</v>
      </c>
      <c r="D22" s="1825">
        <v>2020</v>
      </c>
      <c r="E22" s="1826"/>
      <c r="F22" s="1826">
        <v>33623</v>
      </c>
      <c r="G22" s="1826"/>
      <c r="H22" s="1826"/>
      <c r="I22" s="1826">
        <v>33623</v>
      </c>
      <c r="J22" s="1826"/>
      <c r="K22" s="1826"/>
      <c r="L22" s="1823">
        <f t="shared" si="0"/>
        <v>33623</v>
      </c>
      <c r="M22" s="1826" t="s">
        <v>2115</v>
      </c>
    </row>
    <row r="23" spans="2:14" ht="20.100000000000001" customHeight="1" x14ac:dyDescent="0.2">
      <c r="B23" s="1113" t="s">
        <v>2116</v>
      </c>
      <c r="C23" s="1824"/>
      <c r="D23" s="1825"/>
      <c r="E23" s="1826">
        <f>SUM(E21:E22)</f>
        <v>28353</v>
      </c>
      <c r="F23" s="1826">
        <f t="shared" ref="F23:L23" si="3">SUM(F21:F22)</f>
        <v>33623</v>
      </c>
      <c r="G23" s="1826">
        <f t="shared" si="3"/>
        <v>28353</v>
      </c>
      <c r="H23" s="1826">
        <f t="shared" si="3"/>
        <v>0</v>
      </c>
      <c r="I23" s="1826">
        <f t="shared" si="3"/>
        <v>33623</v>
      </c>
      <c r="J23" s="1826">
        <f t="shared" si="3"/>
        <v>0</v>
      </c>
      <c r="K23" s="1826">
        <f t="shared" si="3"/>
        <v>0</v>
      </c>
      <c r="L23" s="1826">
        <f t="shared" si="3"/>
        <v>61976</v>
      </c>
      <c r="M23" s="1826"/>
    </row>
    <row r="24" spans="2:14" ht="20.100000000000001" customHeight="1" x14ac:dyDescent="0.2">
      <c r="B24" s="1113"/>
      <c r="C24" s="1824"/>
      <c r="D24" s="1825"/>
      <c r="E24" s="1826"/>
      <c r="F24" s="1826"/>
      <c r="G24" s="1826"/>
      <c r="H24" s="1826"/>
      <c r="I24" s="1826"/>
      <c r="J24" s="1826"/>
      <c r="K24" s="1826"/>
      <c r="L24" s="1823"/>
      <c r="M24" s="1826"/>
    </row>
    <row r="25" spans="2:14" ht="20.100000000000001" customHeight="1" x14ac:dyDescent="0.2">
      <c r="B25" s="1113"/>
      <c r="C25" s="1824"/>
      <c r="D25" s="1825"/>
      <c r="E25" s="1826"/>
      <c r="F25" s="1826"/>
      <c r="G25" s="1826"/>
      <c r="H25" s="1826"/>
      <c r="I25" s="1826"/>
      <c r="J25" s="1826"/>
      <c r="K25" s="1826"/>
      <c r="L25" s="1823"/>
      <c r="M25" s="1826"/>
    </row>
    <row r="26" spans="2:14" ht="20.100000000000001" customHeight="1" x14ac:dyDescent="0.2">
      <c r="B26" s="1113"/>
      <c r="C26" s="1824"/>
      <c r="D26" s="1825"/>
      <c r="E26" s="1826"/>
      <c r="F26" s="1826"/>
      <c r="G26" s="1826"/>
      <c r="H26" s="1826"/>
      <c r="I26" s="1826"/>
      <c r="J26" s="1826"/>
      <c r="K26" s="1826"/>
      <c r="L26" s="1823"/>
      <c r="M26" s="1826"/>
    </row>
    <row r="27" spans="2:14" ht="20.100000000000001" customHeight="1" x14ac:dyDescent="0.2">
      <c r="B27" s="1113" t="s">
        <v>2117</v>
      </c>
      <c r="C27" s="1824"/>
      <c r="D27" s="1825"/>
      <c r="E27" s="1826">
        <f>+E17+E23</f>
        <v>856333</v>
      </c>
      <c r="F27" s="1826">
        <f t="shared" ref="F27:L27" si="4">+F17+F23</f>
        <v>936825</v>
      </c>
      <c r="G27" s="1826">
        <f t="shared" si="4"/>
        <v>856333</v>
      </c>
      <c r="H27" s="1826">
        <f t="shared" si="4"/>
        <v>0</v>
      </c>
      <c r="I27" s="1826">
        <f t="shared" si="4"/>
        <v>1089360</v>
      </c>
      <c r="J27" s="1826">
        <f t="shared" si="4"/>
        <v>0</v>
      </c>
      <c r="K27" s="1826">
        <f t="shared" si="4"/>
        <v>315</v>
      </c>
      <c r="L27" s="1826">
        <f t="shared" si="4"/>
        <v>1946008</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4" colorId="8" zoomScaleNormal="100" workbookViewId="0">
      <selection activeCell="B57" sqref="B57:J6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7" t="s">
        <v>1160</v>
      </c>
      <c r="B2" s="2157"/>
      <c r="C2" s="2157"/>
      <c r="D2" s="2157"/>
      <c r="E2" s="2157"/>
      <c r="F2" s="2157"/>
      <c r="G2" s="2157"/>
      <c r="H2" s="2157"/>
      <c r="I2" s="2157"/>
      <c r="J2" s="2157"/>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71" t="s">
        <v>1619</v>
      </c>
      <c r="B35" s="2172"/>
      <c r="C35" s="2172"/>
      <c r="D35" s="2172"/>
      <c r="E35" s="2173"/>
      <c r="F35" s="2173"/>
      <c r="G35" s="2173"/>
      <c r="H35" s="2173"/>
      <c r="I35" s="217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1" t="s">
        <v>310</v>
      </c>
      <c r="B47" s="2174"/>
      <c r="C47" s="2174"/>
      <c r="D47" s="2174"/>
      <c r="E47" s="2175"/>
      <c r="F47" s="2175"/>
      <c r="G47" s="2175"/>
      <c r="H47" s="2175"/>
      <c r="I47" s="217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2045</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2045</v>
      </c>
      <c r="C53" s="174">
        <v>22</v>
      </c>
      <c r="D53" s="242" t="s">
        <v>1448</v>
      </c>
      <c r="E53" s="243"/>
      <c r="F53" s="244"/>
      <c r="G53" s="244" t="s">
        <v>1447</v>
      </c>
      <c r="H53" s="245">
        <v>33239</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8" t="s">
        <v>2177</v>
      </c>
      <c r="C57" s="2179"/>
      <c r="D57" s="2179"/>
      <c r="E57" s="2179"/>
      <c r="F57" s="2179"/>
      <c r="G57" s="2179"/>
      <c r="H57" s="2179"/>
      <c r="I57" s="2179"/>
      <c r="J57" s="2180"/>
    </row>
    <row r="58" spans="1:10" s="176" customFormat="1" x14ac:dyDescent="0.2">
      <c r="A58" s="248"/>
      <c r="B58" s="2181"/>
      <c r="C58" s="2182"/>
      <c r="D58" s="2182"/>
      <c r="E58" s="2182"/>
      <c r="F58" s="2182"/>
      <c r="G58" s="2182"/>
      <c r="H58" s="2182"/>
      <c r="I58" s="2182"/>
      <c r="J58" s="2183"/>
    </row>
    <row r="59" spans="1:10" s="176" customFormat="1" x14ac:dyDescent="0.2">
      <c r="A59" s="248"/>
      <c r="B59" s="2181"/>
      <c r="C59" s="2182"/>
      <c r="D59" s="2182"/>
      <c r="E59" s="2182"/>
      <c r="F59" s="2182"/>
      <c r="G59" s="2182"/>
      <c r="H59" s="2182"/>
      <c r="I59" s="2182"/>
      <c r="J59" s="2183"/>
    </row>
    <row r="60" spans="1:10" s="176" customFormat="1" x14ac:dyDescent="0.2">
      <c r="A60" s="248"/>
      <c r="B60" s="2181"/>
      <c r="C60" s="2182"/>
      <c r="D60" s="2182"/>
      <c r="E60" s="2182"/>
      <c r="F60" s="2182"/>
      <c r="G60" s="2182"/>
      <c r="H60" s="2182"/>
      <c r="I60" s="2182"/>
      <c r="J60" s="2183"/>
    </row>
    <row r="61" spans="1:10" s="176" customFormat="1" x14ac:dyDescent="0.2">
      <c r="A61" s="248"/>
      <c r="B61" s="2181"/>
      <c r="C61" s="2182"/>
      <c r="D61" s="2182"/>
      <c r="E61" s="2182"/>
      <c r="F61" s="2182"/>
      <c r="G61" s="2182"/>
      <c r="H61" s="2182"/>
      <c r="I61" s="2182"/>
      <c r="J61" s="2183"/>
    </row>
    <row r="62" spans="1:10" s="176" customFormat="1" x14ac:dyDescent="0.2">
      <c r="A62" s="248"/>
      <c r="B62" s="2181"/>
      <c r="C62" s="2182"/>
      <c r="D62" s="2182"/>
      <c r="E62" s="2182"/>
      <c r="F62" s="2182"/>
      <c r="G62" s="2182"/>
      <c r="H62" s="2182"/>
      <c r="I62" s="2182"/>
      <c r="J62" s="2183"/>
    </row>
    <row r="63" spans="1:10" s="176" customFormat="1" x14ac:dyDescent="0.2">
      <c r="A63" s="248"/>
      <c r="B63" s="2181"/>
      <c r="C63" s="2182"/>
      <c r="D63" s="2182"/>
      <c r="E63" s="2182"/>
      <c r="F63" s="2182"/>
      <c r="G63" s="2182"/>
      <c r="H63" s="2182"/>
      <c r="I63" s="2182"/>
      <c r="J63" s="2183"/>
    </row>
    <row r="64" spans="1:10" s="176" customFormat="1" x14ac:dyDescent="0.2">
      <c r="A64" s="248"/>
      <c r="B64" s="2181"/>
      <c r="C64" s="2182"/>
      <c r="D64" s="2182"/>
      <c r="E64" s="2182"/>
      <c r="F64" s="2182"/>
      <c r="G64" s="2182"/>
      <c r="H64" s="2182"/>
      <c r="I64" s="2182"/>
      <c r="J64" s="2183"/>
    </row>
    <row r="65" spans="1:11" s="176" customFormat="1" x14ac:dyDescent="0.2">
      <c r="A65" s="248"/>
      <c r="B65" s="2181"/>
      <c r="C65" s="2182"/>
      <c r="D65" s="2182"/>
      <c r="E65" s="2182"/>
      <c r="F65" s="2182"/>
      <c r="G65" s="2182"/>
      <c r="H65" s="2182"/>
      <c r="I65" s="2182"/>
      <c r="J65" s="2183"/>
    </row>
    <row r="66" spans="1:11" s="176" customFormat="1" x14ac:dyDescent="0.2">
      <c r="A66" s="248"/>
      <c r="B66" s="2181"/>
      <c r="C66" s="2182"/>
      <c r="D66" s="2182"/>
      <c r="E66" s="2182"/>
      <c r="F66" s="2182"/>
      <c r="G66" s="2182"/>
      <c r="H66" s="2182"/>
      <c r="I66" s="2182"/>
      <c r="J66" s="2183"/>
    </row>
    <row r="67" spans="1:11" s="176" customFormat="1" ht="9" customHeight="1" x14ac:dyDescent="0.2">
      <c r="A67" s="249"/>
      <c r="B67" s="2184"/>
      <c r="C67" s="2185"/>
      <c r="D67" s="2185"/>
      <c r="E67" s="2185"/>
      <c r="F67" s="2185"/>
      <c r="G67" s="2185"/>
      <c r="H67" s="2185"/>
      <c r="I67" s="2185"/>
      <c r="J67" s="21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1" t="s">
        <v>1314</v>
      </c>
      <c r="B70" s="2174"/>
      <c r="C70" s="2174"/>
      <c r="D70" s="2174"/>
      <c r="E70" s="2175"/>
      <c r="F70" s="2175"/>
      <c r="G70" s="2175"/>
      <c r="H70" s="2175"/>
      <c r="I70" s="2175"/>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1869</v>
      </c>
      <c r="I77" s="1471"/>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6" t="s">
        <v>1311</v>
      </c>
      <c r="B83" s="2176"/>
      <c r="C83" s="2176"/>
      <c r="D83" s="2177"/>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7" t="s">
        <v>1986</v>
      </c>
      <c r="B85" s="2187"/>
      <c r="C85" s="2187"/>
      <c r="D85" s="2188"/>
      <c r="E85" s="1544"/>
      <c r="F85" s="1544">
        <v>145792</v>
      </c>
      <c r="G85" s="1544">
        <v>83152</v>
      </c>
      <c r="H85" s="1544">
        <v>105635</v>
      </c>
      <c r="I85" s="1904"/>
      <c r="J85" s="1727">
        <f>SUM(E85:I85)</f>
        <v>334579</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1312</v>
      </c>
      <c r="B87" s="271"/>
      <c r="C87" s="272"/>
      <c r="D87" s="269"/>
      <c r="E87" s="264"/>
      <c r="F87" s="264"/>
      <c r="G87" s="264"/>
      <c r="H87" s="264"/>
      <c r="I87" s="265"/>
      <c r="J87" s="1728"/>
    </row>
    <row r="88" spans="1:10" s="176" customFormat="1" ht="13.5" customHeight="1" x14ac:dyDescent="0.2">
      <c r="A88" s="2189" t="s">
        <v>1986</v>
      </c>
      <c r="B88" s="2190"/>
      <c r="C88" s="2190"/>
      <c r="D88" s="2191"/>
      <c r="E88" s="1544"/>
      <c r="F88" s="1544">
        <v>578944</v>
      </c>
      <c r="G88" s="1544">
        <v>336351</v>
      </c>
      <c r="H88" s="1544">
        <v>316451</v>
      </c>
      <c r="I88" s="1904"/>
      <c r="J88" s="1727">
        <f>SUM(E88:I88)</f>
        <v>1231746</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1566325</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8"/>
      <c r="C102" s="2159"/>
      <c r="D102" s="2159"/>
      <c r="E102" s="2159"/>
      <c r="F102" s="2159"/>
      <c r="G102" s="2159"/>
      <c r="H102" s="2159"/>
      <c r="I102" s="2160"/>
    </row>
    <row r="103" spans="1:9" s="176" customFormat="1" ht="11.25" customHeight="1" x14ac:dyDescent="0.2">
      <c r="A103" s="294"/>
      <c r="B103" s="2161"/>
      <c r="C103" s="2162"/>
      <c r="D103" s="2162"/>
      <c r="E103" s="2162"/>
      <c r="F103" s="2162"/>
      <c r="G103" s="2162"/>
      <c r="H103" s="2162"/>
      <c r="I103" s="2163"/>
    </row>
    <row r="104" spans="1:9" s="176" customFormat="1" ht="11.25" customHeight="1" x14ac:dyDescent="0.2">
      <c r="A104" s="294"/>
      <c r="B104" s="2161"/>
      <c r="C104" s="2162"/>
      <c r="D104" s="2162"/>
      <c r="E104" s="2162"/>
      <c r="F104" s="2162"/>
      <c r="G104" s="2162"/>
      <c r="H104" s="2162"/>
      <c r="I104" s="2163"/>
    </row>
    <row r="105" spans="1:9" s="176" customFormat="1" x14ac:dyDescent="0.2">
      <c r="A105" s="294"/>
      <c r="B105" s="2161"/>
      <c r="C105" s="2162"/>
      <c r="D105" s="2162"/>
      <c r="E105" s="2162"/>
      <c r="F105" s="2162"/>
      <c r="G105" s="2162"/>
      <c r="H105" s="2162"/>
      <c r="I105" s="2163"/>
    </row>
    <row r="106" spans="1:9" s="176" customFormat="1" ht="11.25" customHeight="1" x14ac:dyDescent="0.2">
      <c r="A106" s="294"/>
      <c r="B106" s="2161"/>
      <c r="C106" s="2162"/>
      <c r="D106" s="2162"/>
      <c r="E106" s="2162"/>
      <c r="F106" s="2162"/>
      <c r="G106" s="2162"/>
      <c r="H106" s="2162"/>
      <c r="I106" s="2163"/>
    </row>
    <row r="107" spans="1:9" s="176" customFormat="1" ht="11.25" customHeight="1" x14ac:dyDescent="0.2">
      <c r="A107" s="294"/>
      <c r="B107" s="2161"/>
      <c r="C107" s="2162"/>
      <c r="D107" s="2162"/>
      <c r="E107" s="2162"/>
      <c r="F107" s="2162"/>
      <c r="G107" s="2162"/>
      <c r="H107" s="2162"/>
      <c r="I107" s="2163"/>
    </row>
    <row r="108" spans="1:9" s="176" customFormat="1" ht="11.25" customHeight="1" x14ac:dyDescent="0.2">
      <c r="A108" s="294"/>
      <c r="B108" s="2161"/>
      <c r="C108" s="2162"/>
      <c r="D108" s="2162"/>
      <c r="E108" s="2162"/>
      <c r="F108" s="2162"/>
      <c r="G108" s="2162"/>
      <c r="H108" s="2162"/>
      <c r="I108" s="2163"/>
    </row>
    <row r="109" spans="1:9" s="176" customFormat="1" ht="11.25" customHeight="1" x14ac:dyDescent="0.2">
      <c r="A109" s="294"/>
      <c r="B109" s="2161"/>
      <c r="C109" s="2162"/>
      <c r="D109" s="2162"/>
      <c r="E109" s="2162"/>
      <c r="F109" s="2162"/>
      <c r="G109" s="2162"/>
      <c r="H109" s="2162"/>
      <c r="I109" s="2163"/>
    </row>
    <row r="110" spans="1:9" s="176" customFormat="1" ht="11.25" customHeight="1" x14ac:dyDescent="0.2">
      <c r="A110" s="294"/>
      <c r="B110" s="2161"/>
      <c r="C110" s="2162"/>
      <c r="D110" s="2162"/>
      <c r="E110" s="2162"/>
      <c r="F110" s="2162"/>
      <c r="G110" s="2162"/>
      <c r="H110" s="2162"/>
      <c r="I110" s="2163"/>
    </row>
    <row r="111" spans="1:9" s="176" customFormat="1" ht="11.25" customHeight="1" x14ac:dyDescent="0.2">
      <c r="A111" s="294"/>
      <c r="B111" s="2161"/>
      <c r="C111" s="2162"/>
      <c r="D111" s="2162"/>
      <c r="E111" s="2162"/>
      <c r="F111" s="2162"/>
      <c r="G111" s="2162"/>
      <c r="H111" s="2162"/>
      <c r="I111" s="2163"/>
    </row>
    <row r="112" spans="1:9" s="176" customFormat="1" ht="11.25" customHeight="1" x14ac:dyDescent="0.2">
      <c r="A112" s="294"/>
      <c r="B112" s="2164"/>
      <c r="C112" s="2165"/>
      <c r="D112" s="2165"/>
      <c r="E112" s="2165"/>
      <c r="F112" s="2165"/>
      <c r="G112" s="2165"/>
      <c r="H112" s="2165"/>
      <c r="I112" s="21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7" t="s">
        <v>2054</v>
      </c>
      <c r="D114" s="2167"/>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8" t="s">
        <v>1321</v>
      </c>
      <c r="D117" s="2169"/>
      <c r="E117" s="2170"/>
      <c r="F117" s="2170"/>
      <c r="G117" s="2170"/>
      <c r="H117" s="217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zoomScale="120" zoomScaleNormal="120" workbookViewId="0">
      <selection activeCell="G16" sqref="G16"/>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7" t="str">
        <f>'Single Audit Cover'!A7</f>
        <v xml:space="preserve">  Palos CCSD 118</v>
      </c>
      <c r="C1" s="2569"/>
      <c r="D1" s="2569"/>
      <c r="E1" s="2569"/>
      <c r="F1" s="2569"/>
      <c r="G1" s="2569"/>
      <c r="H1" s="2569"/>
      <c r="I1" s="2569"/>
      <c r="J1" s="2569"/>
      <c r="K1" s="2569"/>
      <c r="L1" s="2569"/>
      <c r="M1" s="2569"/>
    </row>
    <row r="2" spans="2:14" ht="15" x14ac:dyDescent="0.2">
      <c r="B2" s="2570">
        <f>'Single Audit Cover'!E7</f>
        <v>7016118004</v>
      </c>
      <c r="C2" s="2570"/>
      <c r="D2" s="2570"/>
      <c r="E2" s="2570"/>
      <c r="F2" s="2570"/>
      <c r="G2" s="2570"/>
      <c r="H2" s="2570"/>
      <c r="I2" s="2570"/>
      <c r="J2" s="2570"/>
      <c r="K2" s="2570"/>
      <c r="L2" s="2570"/>
      <c r="M2" s="2570"/>
      <c r="N2" s="1078"/>
    </row>
    <row r="3" spans="2:14" ht="15" x14ac:dyDescent="0.2">
      <c r="B3" s="2571" t="s">
        <v>1210</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5"/>
      <c r="J5" s="1915"/>
    </row>
    <row r="6" spans="2:14" x14ac:dyDescent="0.2">
      <c r="B6" s="1079"/>
      <c r="C6" s="1080"/>
      <c r="D6" s="1081" t="s">
        <v>1256</v>
      </c>
      <c r="E6" s="1082" t="s">
        <v>524</v>
      </c>
      <c r="F6" s="1083"/>
      <c r="G6" s="1084" t="s">
        <v>1711</v>
      </c>
      <c r="H6" s="1082"/>
      <c r="I6" s="1082"/>
      <c r="J6" s="1916"/>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1568</v>
      </c>
      <c r="I9" s="1914"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t="s">
        <v>2118</v>
      </c>
      <c r="C11" s="1821"/>
      <c r="D11" s="1822"/>
      <c r="E11" s="1823">
        <f>+' SEFA (2)'!E27</f>
        <v>856333</v>
      </c>
      <c r="F11" s="1823">
        <f>+' SEFA (2)'!F27</f>
        <v>936825</v>
      </c>
      <c r="G11" s="1823">
        <f>+' SEFA (2)'!G27</f>
        <v>856333</v>
      </c>
      <c r="H11" s="1823">
        <f>+' SEFA (2)'!H27</f>
        <v>0</v>
      </c>
      <c r="I11" s="1823">
        <f>+' SEFA (2)'!I27</f>
        <v>1089360</v>
      </c>
      <c r="J11" s="1823">
        <f>+' SEFA (2)'!J27</f>
        <v>0</v>
      </c>
      <c r="K11" s="1823">
        <f>+' SEFA (2)'!K27</f>
        <v>315</v>
      </c>
      <c r="L11" s="1823">
        <f>+' SEFA (2)'!L27</f>
        <v>1946008</v>
      </c>
      <c r="M11" s="1823"/>
    </row>
    <row r="12" spans="2:14" ht="20.100000000000001" customHeight="1" x14ac:dyDescent="0.2">
      <c r="B12" s="1113"/>
      <c r="C12" s="1824"/>
      <c r="D12" s="1825"/>
      <c r="E12" s="1826"/>
      <c r="F12" s="1826"/>
      <c r="G12" s="1826"/>
      <c r="H12" s="1826"/>
      <c r="I12" s="1826"/>
      <c r="J12" s="1826"/>
      <c r="K12" s="1826"/>
      <c r="L12" s="1823"/>
      <c r="M12" s="1826"/>
    </row>
    <row r="13" spans="2:14" ht="20.100000000000001" customHeight="1" x14ac:dyDescent="0.2">
      <c r="B13" s="1113" t="s">
        <v>2119</v>
      </c>
      <c r="C13" s="1824"/>
      <c r="D13" s="1825"/>
      <c r="E13" s="1826"/>
      <c r="F13" s="1826"/>
      <c r="G13" s="1826"/>
      <c r="H13" s="1826"/>
      <c r="I13" s="1826"/>
      <c r="J13" s="1826"/>
      <c r="K13" s="1826"/>
      <c r="L13" s="1823"/>
      <c r="M13" s="1826"/>
    </row>
    <row r="14" spans="2:14" ht="20.100000000000001" customHeight="1" x14ac:dyDescent="0.2">
      <c r="B14" s="1113" t="s">
        <v>2080</v>
      </c>
      <c r="C14" s="1824"/>
      <c r="D14" s="1825"/>
      <c r="E14" s="1826"/>
      <c r="F14" s="1826"/>
      <c r="G14" s="1826"/>
      <c r="H14" s="1826"/>
      <c r="I14" s="1826"/>
      <c r="J14" s="1826"/>
      <c r="K14" s="1826"/>
      <c r="L14" s="1823"/>
      <c r="M14" s="1826"/>
    </row>
    <row r="15" spans="2:14" ht="20.100000000000001" customHeight="1" x14ac:dyDescent="0.2">
      <c r="B15" s="1113" t="s">
        <v>2120</v>
      </c>
      <c r="C15" s="1824">
        <v>10.555</v>
      </c>
      <c r="D15" s="1825" t="s">
        <v>2121</v>
      </c>
      <c r="E15" s="1826">
        <v>21511</v>
      </c>
      <c r="F15" s="1826"/>
      <c r="G15" s="1826">
        <v>21511</v>
      </c>
      <c r="H15" s="1826"/>
      <c r="I15" s="1826"/>
      <c r="J15" s="1826"/>
      <c r="K15" s="1826"/>
      <c r="L15" s="1823">
        <f t="shared" ref="L15:L24" si="0">+G15+I15+K15</f>
        <v>21511</v>
      </c>
      <c r="M15" s="1826" t="s">
        <v>2115</v>
      </c>
    </row>
    <row r="16" spans="2:14" ht="20.100000000000001" customHeight="1" x14ac:dyDescent="0.2">
      <c r="B16" s="1113" t="s">
        <v>2120</v>
      </c>
      <c r="C16" s="1824">
        <v>10.555</v>
      </c>
      <c r="D16" s="1825" t="s">
        <v>2122</v>
      </c>
      <c r="E16" s="1826">
        <v>116398</v>
      </c>
      <c r="F16" s="1826">
        <v>24562</v>
      </c>
      <c r="G16" s="1826">
        <v>116398</v>
      </c>
      <c r="H16" s="1826"/>
      <c r="I16" s="1826">
        <v>24562</v>
      </c>
      <c r="J16" s="1826"/>
      <c r="K16" s="1826"/>
      <c r="L16" s="1823">
        <f t="shared" si="0"/>
        <v>140960</v>
      </c>
      <c r="M16" s="1826" t="s">
        <v>2115</v>
      </c>
    </row>
    <row r="17" spans="2:14" ht="20.100000000000001" customHeight="1" x14ac:dyDescent="0.2">
      <c r="B17" s="1113" t="s">
        <v>2120</v>
      </c>
      <c r="C17" s="1824">
        <v>10.555</v>
      </c>
      <c r="D17" s="1825" t="s">
        <v>2123</v>
      </c>
      <c r="E17" s="1826"/>
      <c r="F17" s="1826">
        <v>84986</v>
      </c>
      <c r="G17" s="1826"/>
      <c r="H17" s="1826"/>
      <c r="I17" s="1826">
        <v>84986</v>
      </c>
      <c r="J17" s="1826"/>
      <c r="K17" s="1826"/>
      <c r="L17" s="1823">
        <f t="shared" si="0"/>
        <v>84986</v>
      </c>
      <c r="M17" s="1826" t="s">
        <v>2115</v>
      </c>
    </row>
    <row r="18" spans="2:14" ht="20.100000000000001" customHeight="1" x14ac:dyDescent="0.2">
      <c r="B18" s="1113" t="s">
        <v>2124</v>
      </c>
      <c r="C18" s="1824">
        <v>10.555999999999999</v>
      </c>
      <c r="D18" s="1825" t="s">
        <v>2125</v>
      </c>
      <c r="E18" s="1826">
        <v>1263</v>
      </c>
      <c r="F18" s="1826"/>
      <c r="G18" s="1826">
        <v>1263</v>
      </c>
      <c r="H18" s="1826"/>
      <c r="I18" s="1826"/>
      <c r="J18" s="1826"/>
      <c r="K18" s="1826"/>
      <c r="L18" s="1823">
        <f t="shared" si="0"/>
        <v>1263</v>
      </c>
      <c r="M18" s="1826" t="s">
        <v>2115</v>
      </c>
    </row>
    <row r="19" spans="2:14" ht="20.100000000000001" customHeight="1" x14ac:dyDescent="0.2">
      <c r="B19" s="1113" t="s">
        <v>2124</v>
      </c>
      <c r="C19" s="1824">
        <v>10.555999999999999</v>
      </c>
      <c r="D19" s="1825" t="s">
        <v>2126</v>
      </c>
      <c r="E19" s="1826">
        <v>6402</v>
      </c>
      <c r="F19" s="1826">
        <v>160</v>
      </c>
      <c r="G19" s="1826">
        <v>6402</v>
      </c>
      <c r="H19" s="1826"/>
      <c r="I19" s="1826">
        <v>160</v>
      </c>
      <c r="J19" s="1826"/>
      <c r="K19" s="1826"/>
      <c r="L19" s="1823">
        <f t="shared" si="0"/>
        <v>6562</v>
      </c>
      <c r="M19" s="1826" t="s">
        <v>2115</v>
      </c>
    </row>
    <row r="20" spans="2:14" ht="20.100000000000001" customHeight="1" x14ac:dyDescent="0.2">
      <c r="B20" s="1113" t="s">
        <v>2124</v>
      </c>
      <c r="C20" s="1824">
        <v>10.555999999999999</v>
      </c>
      <c r="D20" s="1825" t="s">
        <v>2127</v>
      </c>
      <c r="E20" s="1826"/>
      <c r="F20" s="1826">
        <v>810</v>
      </c>
      <c r="G20" s="1826"/>
      <c r="H20" s="1826"/>
      <c r="I20" s="1826">
        <v>810</v>
      </c>
      <c r="J20" s="1826"/>
      <c r="K20" s="1826"/>
      <c r="L20" s="1823">
        <f t="shared" si="0"/>
        <v>810</v>
      </c>
      <c r="M20" s="1826" t="s">
        <v>2115</v>
      </c>
    </row>
    <row r="21" spans="2:14" ht="20.100000000000001" customHeight="1" x14ac:dyDescent="0.2">
      <c r="B21" s="1113" t="s">
        <v>2128</v>
      </c>
      <c r="C21" s="1824">
        <v>10.555</v>
      </c>
      <c r="D21" s="1825">
        <v>2019</v>
      </c>
      <c r="E21" s="1826">
        <v>14693</v>
      </c>
      <c r="F21" s="1826"/>
      <c r="G21" s="1826">
        <v>14693</v>
      </c>
      <c r="H21" s="1826"/>
      <c r="I21" s="1826"/>
      <c r="J21" s="1826"/>
      <c r="K21" s="1826"/>
      <c r="L21" s="1823">
        <f t="shared" si="0"/>
        <v>14693</v>
      </c>
      <c r="M21" s="1826" t="s">
        <v>2115</v>
      </c>
    </row>
    <row r="22" spans="2:14" ht="20.100000000000001" customHeight="1" x14ac:dyDescent="0.2">
      <c r="B22" s="1113" t="s">
        <v>2128</v>
      </c>
      <c r="C22" s="1824">
        <v>10.555</v>
      </c>
      <c r="D22" s="1825">
        <v>2020</v>
      </c>
      <c r="E22" s="1826"/>
      <c r="F22" s="1826">
        <v>13820</v>
      </c>
      <c r="G22" s="1826"/>
      <c r="H22" s="1826"/>
      <c r="I22" s="1826">
        <v>13820</v>
      </c>
      <c r="J22" s="1826"/>
      <c r="K22" s="1826"/>
      <c r="L22" s="1823">
        <f t="shared" si="0"/>
        <v>13820</v>
      </c>
      <c r="M22" s="1826" t="s">
        <v>2115</v>
      </c>
    </row>
    <row r="23" spans="2:14" ht="20.100000000000001" customHeight="1" x14ac:dyDescent="0.2">
      <c r="B23" s="1113" t="s">
        <v>2129</v>
      </c>
      <c r="C23" s="1824">
        <v>10.555</v>
      </c>
      <c r="D23" s="1825">
        <v>2019</v>
      </c>
      <c r="E23" s="1826">
        <v>2726</v>
      </c>
      <c r="F23" s="1826"/>
      <c r="G23" s="1826">
        <v>2726</v>
      </c>
      <c r="H23" s="1826"/>
      <c r="I23" s="1826"/>
      <c r="J23" s="1826"/>
      <c r="K23" s="1826"/>
      <c r="L23" s="1823">
        <f t="shared" si="0"/>
        <v>2726</v>
      </c>
      <c r="M23" s="1826" t="s">
        <v>2115</v>
      </c>
    </row>
    <row r="24" spans="2:14" ht="20.100000000000001" customHeight="1" x14ac:dyDescent="0.2">
      <c r="B24" s="1113" t="s">
        <v>2129</v>
      </c>
      <c r="C24" s="1824">
        <v>10.555</v>
      </c>
      <c r="D24" s="1825">
        <v>2020</v>
      </c>
      <c r="E24" s="1826"/>
      <c r="F24" s="1826">
        <v>4169</v>
      </c>
      <c r="G24" s="1826"/>
      <c r="H24" s="1826"/>
      <c r="I24" s="1826">
        <v>4169</v>
      </c>
      <c r="J24" s="1826"/>
      <c r="K24" s="1826"/>
      <c r="L24" s="1823">
        <f t="shared" si="0"/>
        <v>4169</v>
      </c>
      <c r="M24" s="1826" t="s">
        <v>2115</v>
      </c>
    </row>
    <row r="25" spans="2:14" ht="20.100000000000001" customHeight="1" x14ac:dyDescent="0.2">
      <c r="B25" s="1113" t="s">
        <v>2130</v>
      </c>
      <c r="C25" s="1824"/>
      <c r="D25" s="1825"/>
      <c r="E25" s="1826">
        <f>SUM(E15:E24)</f>
        <v>162993</v>
      </c>
      <c r="F25" s="1826">
        <f t="shared" ref="F25:L25" si="1">SUM(F15:F24)</f>
        <v>128507</v>
      </c>
      <c r="G25" s="1826">
        <f t="shared" si="1"/>
        <v>162993</v>
      </c>
      <c r="H25" s="1826">
        <f t="shared" si="1"/>
        <v>0</v>
      </c>
      <c r="I25" s="1826">
        <f t="shared" si="1"/>
        <v>128507</v>
      </c>
      <c r="J25" s="1826">
        <f t="shared" si="1"/>
        <v>0</v>
      </c>
      <c r="K25" s="1826">
        <f t="shared" si="1"/>
        <v>0</v>
      </c>
      <c r="L25" s="1826">
        <f t="shared" si="1"/>
        <v>291500</v>
      </c>
      <c r="M25" s="1826"/>
    </row>
    <row r="26" spans="2:14" ht="20.100000000000001" customHeight="1" x14ac:dyDescent="0.2">
      <c r="B26" s="1113"/>
      <c r="C26" s="1824"/>
      <c r="D26" s="1825"/>
      <c r="E26" s="1826"/>
      <c r="F26" s="1826"/>
      <c r="G26" s="1826"/>
      <c r="H26" s="1826"/>
      <c r="I26" s="1826"/>
      <c r="J26" s="1826"/>
      <c r="K26" s="1826"/>
      <c r="L26" s="1823"/>
      <c r="M26" s="1826"/>
    </row>
    <row r="27" spans="2:14" ht="20.100000000000001" customHeight="1" x14ac:dyDescent="0.2">
      <c r="B27" s="1113" t="s">
        <v>2131</v>
      </c>
      <c r="C27" s="1824"/>
      <c r="D27" s="1825"/>
      <c r="E27" s="1826">
        <f>+E11+E25</f>
        <v>1019326</v>
      </c>
      <c r="F27" s="1826">
        <f t="shared" ref="F27:L27" si="2">+F11+F25</f>
        <v>1065332</v>
      </c>
      <c r="G27" s="1826">
        <f t="shared" si="2"/>
        <v>1019326</v>
      </c>
      <c r="H27" s="1826">
        <f t="shared" si="2"/>
        <v>0</v>
      </c>
      <c r="I27" s="1826">
        <f t="shared" si="2"/>
        <v>1217867</v>
      </c>
      <c r="J27" s="1826">
        <f t="shared" si="2"/>
        <v>0</v>
      </c>
      <c r="K27" s="1826">
        <f t="shared" si="2"/>
        <v>315</v>
      </c>
      <c r="L27" s="1826">
        <f t="shared" si="2"/>
        <v>2237508</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topLeftCell="A23" zoomScale="120" zoomScaleNormal="120" workbookViewId="0">
      <selection activeCell="G23" sqref="G2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2" t="str">
        <f>'Single Audit Cover'!A7</f>
        <v xml:space="preserve">  Palos CCSD 118</v>
      </c>
      <c r="B1" s="2582"/>
      <c r="C1" s="2582"/>
      <c r="D1" s="2582"/>
      <c r="E1" s="2582"/>
      <c r="F1" s="2582"/>
    </row>
    <row r="2" spans="1:7" ht="13.5" customHeight="1" x14ac:dyDescent="0.2">
      <c r="A2" s="2570">
        <f>'Single Audit Cover'!E7</f>
        <v>7016118004</v>
      </c>
      <c r="B2" s="2570"/>
      <c r="C2" s="2570"/>
      <c r="D2" s="2570"/>
      <c r="E2" s="2570"/>
      <c r="F2" s="2570"/>
      <c r="G2" s="1051"/>
    </row>
    <row r="3" spans="1:7" ht="15.75" customHeight="1" x14ac:dyDescent="0.2">
      <c r="A3" s="2583" t="s">
        <v>1262</v>
      </c>
      <c r="B3" s="2583"/>
      <c r="C3" s="2583"/>
      <c r="D3" s="2583"/>
      <c r="E3" s="2583"/>
      <c r="F3" s="2583"/>
    </row>
    <row r="4" spans="1:7" ht="13.5" customHeight="1" x14ac:dyDescent="0.2">
      <c r="A4" s="2584" t="str">
        <f>'Single Audit Cover'!A4</f>
        <v>Year Ending June 30, 2020</v>
      </c>
      <c r="B4" s="2584"/>
      <c r="C4" s="2584"/>
      <c r="D4" s="2584"/>
      <c r="E4" s="2584"/>
      <c r="F4" s="2584"/>
    </row>
    <row r="5" spans="1:7" ht="8.25" customHeight="1" x14ac:dyDescent="0.2">
      <c r="C5" s="295"/>
      <c r="D5" s="295"/>
    </row>
    <row r="6" spans="1:7" ht="13.5" customHeight="1" x14ac:dyDescent="0.2">
      <c r="A6" s="1052" t="s">
        <v>1708</v>
      </c>
      <c r="C6" s="295"/>
      <c r="D6" s="295"/>
    </row>
    <row r="7" spans="1:7" ht="60.95" customHeight="1" x14ac:dyDescent="0.2">
      <c r="A7" s="2581" t="s">
        <v>2153</v>
      </c>
      <c r="B7" s="2581"/>
      <c r="C7" s="2581"/>
      <c r="D7" s="2581"/>
      <c r="E7" s="2581"/>
      <c r="F7" s="2581"/>
    </row>
    <row r="8" spans="1:7" ht="12" customHeight="1" x14ac:dyDescent="0.2">
      <c r="A8" s="1052"/>
      <c r="B8" s="1058"/>
      <c r="C8" s="1058"/>
      <c r="D8" s="1058"/>
    </row>
    <row r="9" spans="1:7" ht="15" customHeight="1" x14ac:dyDescent="0.2">
      <c r="A9" s="1053" t="s">
        <v>1709</v>
      </c>
      <c r="B9" s="1056"/>
      <c r="C9" s="1056"/>
      <c r="D9" s="1056"/>
      <c r="E9" s="1054"/>
      <c r="F9" s="1054"/>
      <c r="G9" s="1054"/>
    </row>
    <row r="10" spans="1:7" ht="15" customHeight="1" x14ac:dyDescent="0.2">
      <c r="A10" s="1055" t="s">
        <v>1533</v>
      </c>
      <c r="B10" s="1056"/>
      <c r="C10" s="1057"/>
      <c r="D10" s="1056" t="s">
        <v>1534</v>
      </c>
      <c r="E10" s="1057" t="s">
        <v>2132</v>
      </c>
      <c r="F10" s="1056" t="s">
        <v>99</v>
      </c>
      <c r="G10" s="1054"/>
    </row>
    <row r="11" spans="1:7" ht="12" customHeight="1" x14ac:dyDescent="0.2">
      <c r="A11" s="1055"/>
      <c r="B11" s="1056"/>
      <c r="C11" s="1525"/>
      <c r="D11" s="1056"/>
      <c r="E11" s="1525"/>
      <c r="F11" s="1056"/>
      <c r="G11" s="1054"/>
    </row>
    <row r="12" spans="1:7" x14ac:dyDescent="0.2">
      <c r="A12" s="1052" t="s">
        <v>1573</v>
      </c>
      <c r="C12" s="1036"/>
      <c r="D12" s="1036"/>
    </row>
    <row r="13" spans="1:7" ht="15" customHeight="1" x14ac:dyDescent="0.2">
      <c r="A13" s="2581" t="s">
        <v>2133</v>
      </c>
      <c r="B13" s="2581"/>
      <c r="C13" s="2581"/>
      <c r="D13" s="2581"/>
      <c r="E13" s="2581"/>
      <c r="F13" s="2581"/>
    </row>
    <row r="14" spans="1:7" ht="9.75" customHeight="1" x14ac:dyDescent="0.2">
      <c r="C14" s="1036"/>
      <c r="D14" s="1036"/>
    </row>
    <row r="15" spans="1:7" ht="13.5" customHeight="1" x14ac:dyDescent="0.2">
      <c r="C15" s="1476" t="s">
        <v>1261</v>
      </c>
      <c r="D15" s="2579" t="s">
        <v>1260</v>
      </c>
      <c r="E15" s="2579"/>
      <c r="F15" s="2579"/>
    </row>
    <row r="16" spans="1:7" ht="13.5" customHeight="1" x14ac:dyDescent="0.2">
      <c r="A16" s="1058"/>
      <c r="B16" s="1052" t="s">
        <v>1259</v>
      </c>
      <c r="C16" s="1476" t="s">
        <v>1258</v>
      </c>
      <c r="D16" s="2580" t="s">
        <v>1574</v>
      </c>
      <c r="E16" s="2580"/>
      <c r="F16" s="2580"/>
    </row>
    <row r="17" spans="1:6" ht="20.45" customHeight="1" x14ac:dyDescent="0.2">
      <c r="A17" s="1059"/>
      <c r="B17" s="1060" t="s">
        <v>2134</v>
      </c>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1535</v>
      </c>
      <c r="B31" s="306"/>
      <c r="C31" s="1233"/>
      <c r="D31" s="1526"/>
      <c r="E31" s="1062"/>
    </row>
    <row r="32" spans="1:6" ht="30" customHeight="1" x14ac:dyDescent="0.2">
      <c r="A32" s="2575" t="s">
        <v>2135</v>
      </c>
      <c r="B32" s="2575"/>
      <c r="C32" s="2575"/>
      <c r="D32" s="2575"/>
      <c r="E32" s="2575"/>
      <c r="F32" s="2575"/>
    </row>
    <row r="33" spans="1:6" ht="13.5" customHeight="1" x14ac:dyDescent="0.2">
      <c r="A33" s="306" t="s">
        <v>1420</v>
      </c>
      <c r="B33" s="306"/>
      <c r="C33" s="1064">
        <v>13820</v>
      </c>
      <c r="D33" s="1526"/>
      <c r="E33" s="1062"/>
    </row>
    <row r="34" spans="1:6" ht="13.5" customHeight="1" x14ac:dyDescent="0.2">
      <c r="A34" s="306" t="s">
        <v>1808</v>
      </c>
      <c r="B34" s="306"/>
      <c r="C34" s="1065">
        <v>4169</v>
      </c>
      <c r="D34" s="1526" t="s">
        <v>1575</v>
      </c>
      <c r="E34" s="2576">
        <f>+C33+C34</f>
        <v>17989</v>
      </c>
      <c r="F34" s="2577"/>
    </row>
    <row r="35" spans="1:6" ht="12" customHeight="1" x14ac:dyDescent="0.2">
      <c r="A35" s="306"/>
      <c r="B35" s="306"/>
      <c r="C35" s="1527"/>
      <c r="D35" s="1526"/>
      <c r="E35" s="1066"/>
      <c r="F35" s="1067"/>
    </row>
    <row r="36" spans="1:6" ht="13.5" customHeight="1" x14ac:dyDescent="0.2">
      <c r="A36" s="1063" t="s">
        <v>1536</v>
      </c>
      <c r="B36" s="306"/>
      <c r="C36" s="1233"/>
      <c r="D36" s="1526"/>
      <c r="E36" s="1062"/>
    </row>
    <row r="37" spans="1:6" ht="14.25" customHeight="1" x14ac:dyDescent="0.2">
      <c r="A37" s="306" t="s">
        <v>1470</v>
      </c>
      <c r="B37" s="306"/>
      <c r="C37" s="1528"/>
      <c r="D37" s="1526"/>
      <c r="E37" s="1062"/>
    </row>
    <row r="38" spans="1:6" ht="14.25" customHeight="1" x14ac:dyDescent="0.2">
      <c r="A38" s="306"/>
      <c r="B38" s="306" t="s">
        <v>1421</v>
      </c>
      <c r="C38" s="1068">
        <v>0</v>
      </c>
      <c r="D38" s="1526"/>
      <c r="E38" s="1062"/>
    </row>
    <row r="39" spans="1:6" ht="14.25" customHeight="1" x14ac:dyDescent="0.2">
      <c r="A39" s="306"/>
      <c r="B39" s="306" t="s">
        <v>1422</v>
      </c>
      <c r="C39" s="1068">
        <v>0</v>
      </c>
      <c r="D39" s="1526"/>
      <c r="E39" s="1062"/>
    </row>
    <row r="40" spans="1:6" ht="14.25" customHeight="1" x14ac:dyDescent="0.2">
      <c r="A40" s="306"/>
      <c r="B40" s="306" t="s">
        <v>1423</v>
      </c>
      <c r="C40" s="1068">
        <v>0</v>
      </c>
      <c r="D40" s="1526"/>
      <c r="E40" s="1062"/>
    </row>
    <row r="41" spans="1:6" ht="14.25" customHeight="1" x14ac:dyDescent="0.2">
      <c r="A41" s="306"/>
      <c r="B41" s="306" t="s">
        <v>1424</v>
      </c>
      <c r="C41" s="1068">
        <v>0</v>
      </c>
      <c r="D41" s="1526"/>
      <c r="E41" s="1062"/>
    </row>
    <row r="42" spans="1:6" ht="14.25" customHeight="1" x14ac:dyDescent="0.2">
      <c r="A42" s="306" t="s">
        <v>1425</v>
      </c>
      <c r="B42" s="306"/>
      <c r="C42" s="1524">
        <v>0</v>
      </c>
      <c r="D42" s="1526"/>
      <c r="E42" s="1062"/>
    </row>
    <row r="43" spans="1:6" ht="14.25" customHeight="1" x14ac:dyDescent="0.2">
      <c r="A43" s="306" t="s">
        <v>1426</v>
      </c>
      <c r="B43" s="306"/>
      <c r="C43" s="1069" t="s">
        <v>380</v>
      </c>
      <c r="D43" s="1526"/>
      <c r="E43" s="1062"/>
    </row>
    <row r="44" spans="1:6" ht="14.25" customHeight="1" x14ac:dyDescent="0.2">
      <c r="A44" s="306"/>
      <c r="B44" s="306"/>
      <c r="C44" s="1528" t="s">
        <v>1427</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8" t="s">
        <v>1576</v>
      </c>
      <c r="C49" s="2578"/>
      <c r="D49" s="2578"/>
      <c r="E49" s="1168"/>
    </row>
    <row r="50" spans="1:5" s="1076" customFormat="1" ht="3.75" customHeight="1" x14ac:dyDescent="0.2">
      <c r="A50" s="1075"/>
      <c r="B50" s="1475"/>
      <c r="C50" s="1475"/>
      <c r="D50" s="1475"/>
      <c r="E50" s="1168"/>
    </row>
    <row r="51" spans="1:5" s="1076" customFormat="1" ht="20.25" customHeight="1" x14ac:dyDescent="0.2">
      <c r="A51" s="1077">
        <v>6</v>
      </c>
      <c r="B51" s="2573" t="s">
        <v>1537</v>
      </c>
      <c r="C51" s="2573"/>
      <c r="D51" s="2573"/>
    </row>
    <row r="52" spans="1:5" ht="14.25" customHeight="1" x14ac:dyDescent="0.2">
      <c r="A52" s="1077"/>
      <c r="B52" s="2573"/>
      <c r="C52" s="2573"/>
      <c r="D52" s="257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5"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3"/>
  <sheetViews>
    <sheetView showGridLines="0" zoomScale="110" zoomScaleNormal="110" workbookViewId="0">
      <selection activeCell="G30" sqref="G30"/>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6" t="str">
        <f>'Single Audit Cover'!A7</f>
        <v xml:space="preserve">  Palos CCSD 118</v>
      </c>
      <c r="C1" s="2597"/>
      <c r="D1" s="2597"/>
      <c r="E1" s="2597"/>
      <c r="F1" s="2597"/>
      <c r="G1" s="2597"/>
      <c r="H1" s="2597"/>
      <c r="I1" s="2597"/>
      <c r="J1" s="1178"/>
    </row>
    <row r="2" spans="2:10" s="295" customFormat="1" ht="12.75" customHeight="1" x14ac:dyDescent="0.2">
      <c r="B2" s="2598">
        <f>'Single Audit Cover'!E7</f>
        <v>7016118004</v>
      </c>
      <c r="C2" s="2599"/>
      <c r="D2" s="2599"/>
      <c r="E2" s="2599"/>
      <c r="F2" s="2599"/>
      <c r="G2" s="2599"/>
      <c r="H2" s="2599"/>
      <c r="I2" s="2599"/>
      <c r="J2" s="1178"/>
    </row>
    <row r="3" spans="2:10" s="295" customFormat="1" ht="12.75" customHeight="1" x14ac:dyDescent="0.2">
      <c r="B3" s="2600" t="s">
        <v>1276</v>
      </c>
      <c r="C3" s="2601"/>
      <c r="D3" s="2601"/>
      <c r="E3" s="2601"/>
      <c r="F3" s="2601"/>
      <c r="G3" s="2601"/>
      <c r="H3" s="2601"/>
      <c r="I3" s="2601"/>
      <c r="J3" s="1179"/>
    </row>
    <row r="4" spans="2:10" s="295" customFormat="1" ht="12.75" customHeight="1" x14ac:dyDescent="0.2">
      <c r="B4" s="2600" t="str">
        <f>'Single Audit Cover'!A4</f>
        <v>Year Ending June 30, 2020</v>
      </c>
      <c r="C4" s="2601"/>
      <c r="D4" s="2601"/>
      <c r="E4" s="2601"/>
      <c r="F4" s="2601"/>
      <c r="G4" s="2601"/>
      <c r="H4" s="2601"/>
      <c r="I4" s="2601"/>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0" t="s">
        <v>1275</v>
      </c>
      <c r="C7" s="2601"/>
      <c r="D7" s="2601"/>
      <c r="E7" s="2601"/>
      <c r="F7" s="2601"/>
      <c r="G7" s="2601"/>
      <c r="H7" s="2601"/>
      <c r="I7" s="2601"/>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602" t="s">
        <v>2136</v>
      </c>
      <c r="D11" s="2602"/>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t="s">
        <v>2132</v>
      </c>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t="s">
        <v>2132</v>
      </c>
      <c r="F18" s="1076" t="s">
        <v>879</v>
      </c>
      <c r="G18" s="1194"/>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t="s">
        <v>2132</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t="s">
        <v>2132</v>
      </c>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t="s">
        <v>2132</v>
      </c>
      <c r="H27" s="1076" t="s">
        <v>1267</v>
      </c>
      <c r="I27" s="1076"/>
    </row>
    <row r="28" spans="2:9" s="295" customFormat="1" ht="12.75" customHeight="1" x14ac:dyDescent="0.2">
      <c r="B28" s="1138"/>
      <c r="C28" s="1058"/>
      <c r="E28" s="1034"/>
    </row>
    <row r="29" spans="2:9" s="295" customFormat="1" ht="12.75" customHeight="1" x14ac:dyDescent="0.2">
      <c r="B29" s="1138" t="s">
        <v>1266</v>
      </c>
      <c r="C29" s="1058"/>
      <c r="D29" s="2603" t="s">
        <v>2136</v>
      </c>
      <c r="E29" s="2603"/>
      <c r="F29" s="2603"/>
      <c r="G29" s="2603"/>
      <c r="H29" s="2603"/>
      <c r="I29" s="260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t="s">
        <v>2132</v>
      </c>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4" t="s">
        <v>1728</v>
      </c>
      <c r="D37" s="2605"/>
      <c r="E37" s="2605"/>
      <c r="F37" s="2606"/>
      <c r="G37" s="2604" t="s">
        <v>1578</v>
      </c>
      <c r="H37" s="2605"/>
      <c r="I37" s="2606"/>
    </row>
    <row r="38" spans="2:9" ht="16.5" customHeight="1" x14ac:dyDescent="0.2">
      <c r="B38" s="1200">
        <v>84.027000000000001</v>
      </c>
      <c r="C38" s="2592" t="s">
        <v>2137</v>
      </c>
      <c r="D38" s="2593"/>
      <c r="E38" s="2593"/>
      <c r="F38" s="2594"/>
      <c r="G38" s="2607">
        <v>522263</v>
      </c>
      <c r="H38" s="2608"/>
      <c r="I38" s="2609"/>
    </row>
    <row r="39" spans="2:9" ht="16.5" customHeight="1" x14ac:dyDescent="0.2">
      <c r="B39" s="1200">
        <v>84.173000000000002</v>
      </c>
      <c r="C39" s="2592" t="s">
        <v>2138</v>
      </c>
      <c r="D39" s="2593"/>
      <c r="E39" s="2593"/>
      <c r="F39" s="2594"/>
      <c r="G39" s="2595">
        <v>30935</v>
      </c>
      <c r="H39" s="2595"/>
      <c r="I39" s="2595"/>
    </row>
    <row r="40" spans="2:9" ht="16.5" customHeight="1" x14ac:dyDescent="0.2">
      <c r="B40" s="1200"/>
      <c r="C40" s="2592"/>
      <c r="D40" s="2593"/>
      <c r="E40" s="2593"/>
      <c r="F40" s="2594"/>
      <c r="G40" s="2595"/>
      <c r="H40" s="2595"/>
      <c r="I40" s="2595"/>
    </row>
    <row r="41" spans="2:9" ht="16.5" customHeight="1" x14ac:dyDescent="0.2">
      <c r="B41" s="1200"/>
      <c r="C41" s="2592"/>
      <c r="D41" s="2593"/>
      <c r="E41" s="2593"/>
      <c r="F41" s="2594"/>
      <c r="G41" s="2595"/>
      <c r="H41" s="2595"/>
      <c r="I41" s="2595"/>
    </row>
    <row r="42" spans="2:9" ht="16.5" customHeight="1" x14ac:dyDescent="0.2">
      <c r="B42" s="1200"/>
      <c r="C42" s="2592"/>
      <c r="D42" s="2593"/>
      <c r="E42" s="2593"/>
      <c r="F42" s="2594"/>
      <c r="G42" s="2595"/>
      <c r="H42" s="2595"/>
      <c r="I42" s="2595"/>
    </row>
    <row r="43" spans="2:9" ht="16.5" customHeight="1" x14ac:dyDescent="0.2">
      <c r="B43" s="1200"/>
      <c r="C43" s="2585" t="s">
        <v>1579</v>
      </c>
      <c r="D43" s="2586"/>
      <c r="E43" s="2586"/>
      <c r="F43" s="2587"/>
      <c r="G43" s="2588">
        <f>SUM(G38:I42)</f>
        <v>553198</v>
      </c>
      <c r="H43" s="2588"/>
      <c r="I43" s="2588"/>
    </row>
    <row r="44" spans="2:9" ht="12.75" customHeight="1" x14ac:dyDescent="0.2"/>
    <row r="45" spans="2:9" ht="12.75" customHeight="1" x14ac:dyDescent="0.2">
      <c r="B45" s="1917" t="str">
        <f>"Total Federal Expenditures for 7/1/"&amp;MID('AFR20'!E2,3,2)-1&amp;"-6/30/"&amp;MID('AFR20'!E2,3,2)</f>
        <v>Total Federal Expenditures for 7/1/19-6/30/20</v>
      </c>
      <c r="C45" s="1918"/>
      <c r="D45" s="2589">
        <f>+' SEFA (3)'!I27</f>
        <v>1217867</v>
      </c>
      <c r="E45" s="2590"/>
    </row>
    <row r="46" spans="2:9" ht="5.25" customHeight="1" x14ac:dyDescent="0.2">
      <c r="B46" s="1201"/>
      <c r="D46" s="1202"/>
      <c r="E46" s="1203"/>
    </row>
    <row r="47" spans="2:9" ht="12.75" customHeight="1" x14ac:dyDescent="0.2">
      <c r="B47" s="1076" t="s">
        <v>1580</v>
      </c>
      <c r="C47" s="1076"/>
      <c r="D47" s="1204">
        <f>+G43/D45</f>
        <v>0.45423515047209589</v>
      </c>
      <c r="E47" s="1205"/>
      <c r="F47" s="1206"/>
      <c r="I47" s="1207"/>
    </row>
    <row r="48" spans="2:9" ht="9.9499999999999993" customHeight="1" x14ac:dyDescent="0.2"/>
    <row r="49" spans="1:9" x14ac:dyDescent="0.2">
      <c r="B49" s="1138" t="s">
        <v>1264</v>
      </c>
      <c r="C49" s="1058"/>
      <c r="D49" s="1058"/>
      <c r="E49" s="2591">
        <v>750000</v>
      </c>
      <c r="F49" s="2591"/>
      <c r="G49" s="2591"/>
      <c r="H49" s="300"/>
    </row>
    <row r="51" spans="1:9" ht="13.5" customHeight="1" x14ac:dyDescent="0.2">
      <c r="B51" s="1138" t="s">
        <v>1263</v>
      </c>
      <c r="C51" s="1058"/>
      <c r="E51" s="1194" t="s">
        <v>2132</v>
      </c>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1583</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 xml:space="preserve">  Palos CCSD 118</v>
      </c>
      <c r="C1" s="2596"/>
      <c r="D1" s="2596"/>
      <c r="E1" s="2596"/>
      <c r="F1" s="2596"/>
      <c r="G1" s="2596"/>
      <c r="H1" s="2596"/>
      <c r="I1" s="2596"/>
      <c r="J1" s="2596"/>
      <c r="K1" s="2596"/>
      <c r="L1" s="1144"/>
      <c r="M1" s="1144"/>
    </row>
    <row r="2" spans="1:13" ht="12" customHeight="1" x14ac:dyDescent="0.2">
      <c r="B2" s="2598">
        <f>'Single Audit Cover'!E7</f>
        <v>7016118004</v>
      </c>
      <c r="C2" s="2598"/>
      <c r="D2" s="2598"/>
      <c r="E2" s="2598"/>
      <c r="F2" s="2598"/>
      <c r="G2" s="2598"/>
      <c r="H2" s="2598"/>
      <c r="I2" s="2598"/>
      <c r="J2" s="2598"/>
      <c r="K2" s="2598"/>
      <c r="L2" s="1145"/>
      <c r="M2" s="1146"/>
    </row>
    <row r="3" spans="1:13" ht="10.35" customHeight="1" x14ac:dyDescent="0.2">
      <c r="B3" s="2612" t="s">
        <v>1276</v>
      </c>
      <c r="C3" s="2612"/>
      <c r="D3" s="2612"/>
      <c r="E3" s="2612"/>
      <c r="F3" s="2612"/>
      <c r="G3" s="2612"/>
      <c r="H3" s="2612"/>
      <c r="I3" s="2612"/>
      <c r="J3" s="2612"/>
      <c r="K3" s="2612"/>
      <c r="L3" s="2037"/>
      <c r="M3" s="2037"/>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3" t="s">
        <v>1287</v>
      </c>
      <c r="C7" s="2613"/>
      <c r="D7" s="2614"/>
      <c r="E7" s="2614"/>
      <c r="F7" s="2614"/>
      <c r="G7" s="2614"/>
      <c r="H7" s="2614"/>
      <c r="I7" s="2614"/>
      <c r="J7" s="2614"/>
      <c r="K7" s="261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1</v>
      </c>
      <c r="E10" s="300"/>
      <c r="F10" s="1156" t="s">
        <v>1286</v>
      </c>
      <c r="G10" s="1157"/>
      <c r="H10" s="1158" t="s">
        <v>1285</v>
      </c>
      <c r="I10" s="1157" t="s">
        <v>2132</v>
      </c>
      <c r="J10" s="1159" t="s">
        <v>1284</v>
      </c>
      <c r="K10" s="300"/>
      <c r="L10" s="1151"/>
    </row>
    <row r="11" spans="1:13" ht="13.5" customHeight="1" x14ac:dyDescent="0.2">
      <c r="B11" s="300"/>
      <c r="C11" s="300"/>
      <c r="D11" s="300"/>
      <c r="E11" s="300"/>
      <c r="F11" s="300"/>
      <c r="G11" s="1153"/>
      <c r="H11" s="300"/>
      <c r="I11" s="1160" t="s">
        <v>1283</v>
      </c>
      <c r="J11" s="300"/>
      <c r="K11" s="1161">
        <v>2017</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611" t="s">
        <v>2147</v>
      </c>
      <c r="C14" s="2611"/>
      <c r="D14" s="2611"/>
      <c r="E14" s="2611"/>
      <c r="F14" s="2611"/>
      <c r="G14" s="2611"/>
      <c r="H14" s="2611"/>
      <c r="I14" s="2611"/>
      <c r="J14" s="2611"/>
      <c r="K14" s="261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611" t="s">
        <v>2154</v>
      </c>
      <c r="C17" s="2611"/>
      <c r="D17" s="2611"/>
      <c r="E17" s="2611"/>
      <c r="F17" s="2611"/>
      <c r="G17" s="2611"/>
      <c r="H17" s="2611"/>
      <c r="I17" s="2611"/>
      <c r="J17" s="2611"/>
      <c r="K17" s="2611"/>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5" t="s">
        <v>2148</v>
      </c>
      <c r="C20" s="2615"/>
      <c r="D20" s="2611"/>
      <c r="E20" s="2611"/>
      <c r="F20" s="2611"/>
      <c r="G20" s="2611"/>
      <c r="H20" s="2611"/>
      <c r="I20" s="2611"/>
      <c r="J20" s="2611"/>
      <c r="K20" s="2611"/>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611" t="s">
        <v>2149</v>
      </c>
      <c r="C23" s="2611"/>
      <c r="D23" s="2611"/>
      <c r="E23" s="2611"/>
      <c r="F23" s="2611"/>
      <c r="G23" s="2611"/>
      <c r="H23" s="2611"/>
      <c r="I23" s="2611"/>
      <c r="J23" s="2611"/>
      <c r="K23" s="2611"/>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611" t="s">
        <v>2150</v>
      </c>
      <c r="C26" s="2611"/>
      <c r="D26" s="2611"/>
      <c r="E26" s="2611"/>
      <c r="F26" s="2611"/>
      <c r="G26" s="2611"/>
      <c r="H26" s="2611"/>
      <c r="I26" s="2611"/>
      <c r="J26" s="2611"/>
      <c r="K26" s="2611"/>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610" t="s">
        <v>2151</v>
      </c>
      <c r="C29" s="2610"/>
      <c r="D29" s="2611"/>
      <c r="E29" s="2611"/>
      <c r="F29" s="2611"/>
      <c r="G29" s="2611"/>
      <c r="H29" s="2611"/>
      <c r="I29" s="2611"/>
      <c r="J29" s="2611"/>
      <c r="K29" s="261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0" t="s">
        <v>2152</v>
      </c>
      <c r="C32" s="2610"/>
      <c r="D32" s="2611"/>
      <c r="E32" s="2611"/>
      <c r="F32" s="2611"/>
      <c r="G32" s="2611"/>
      <c r="H32" s="2611"/>
      <c r="I32" s="2611"/>
      <c r="J32" s="2611"/>
      <c r="K32" s="261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1723</v>
      </c>
      <c r="C38" s="1176"/>
    </row>
    <row r="39" spans="1:13" ht="9.6" customHeight="1" x14ac:dyDescent="0.2">
      <c r="B39" s="1076" t="s">
        <v>1277</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D7" sqref="D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6" t="str">
        <f>'Single Audit Cover'!A7</f>
        <v xml:space="preserve">  Palos CCSD 118</v>
      </c>
      <c r="C1" s="2596"/>
      <c r="D1" s="2596"/>
      <c r="E1" s="1240"/>
    </row>
    <row r="2" spans="2:5" s="1058" customFormat="1" ht="12.75" customHeight="1" x14ac:dyDescent="0.2">
      <c r="B2" s="2598">
        <f>'Single Audit Cover'!E7</f>
        <v>7016118004</v>
      </c>
      <c r="C2" s="2598"/>
      <c r="D2" s="2598"/>
      <c r="E2" s="1241"/>
    </row>
    <row r="3" spans="2:5" ht="12.75" customHeight="1" x14ac:dyDescent="0.2">
      <c r="B3" s="2612" t="s">
        <v>1743</v>
      </c>
      <c r="C3" s="2612"/>
      <c r="D3" s="2612"/>
      <c r="E3" s="1050"/>
    </row>
    <row r="4" spans="2:5" s="1058" customFormat="1" ht="12.75" customHeight="1" x14ac:dyDescent="0.2">
      <c r="B4" s="2616" t="str">
        <f>'Single Audit Cover'!A4</f>
        <v>Year Ending June 30, 2020</v>
      </c>
      <c r="C4" s="2616"/>
      <c r="D4" s="2616"/>
      <c r="E4" s="1242"/>
    </row>
    <row r="5" spans="2:5" s="1058" customFormat="1" ht="40.15" customHeight="1" x14ac:dyDescent="0.2">
      <c r="B5" s="1243" t="s">
        <v>1744</v>
      </c>
      <c r="C5" s="306"/>
      <c r="D5" s="306"/>
      <c r="E5" s="306"/>
    </row>
    <row r="6" spans="2:5" s="1058" customFormat="1" ht="13.5" customHeight="1" x14ac:dyDescent="0.2">
      <c r="B6" s="1244" t="s">
        <v>1306</v>
      </c>
      <c r="C6" s="1244" t="s">
        <v>1305</v>
      </c>
      <c r="D6" s="1244" t="s">
        <v>1745</v>
      </c>
    </row>
    <row r="7" spans="2:5" ht="13.5" customHeight="1" x14ac:dyDescent="0.2">
      <c r="B7" s="1245"/>
      <c r="C7" s="302"/>
      <c r="D7" s="302"/>
      <c r="E7" s="302"/>
    </row>
    <row r="8" spans="2:5" ht="13.5" customHeight="1" x14ac:dyDescent="0.2">
      <c r="B8" s="1245" t="s">
        <v>2139</v>
      </c>
      <c r="C8" s="302" t="s">
        <v>2140</v>
      </c>
      <c r="D8" s="302" t="s">
        <v>2174</v>
      </c>
      <c r="E8" s="302"/>
    </row>
    <row r="9" spans="2:5" ht="13.5" customHeight="1" x14ac:dyDescent="0.2">
      <c r="B9" s="1246"/>
      <c r="C9" s="301" t="s">
        <v>2141</v>
      </c>
      <c r="D9" s="301" t="s">
        <v>2182</v>
      </c>
      <c r="E9" s="301"/>
    </row>
    <row r="10" spans="2:5" ht="13.5" customHeight="1" x14ac:dyDescent="0.2">
      <c r="B10" s="1245"/>
      <c r="C10" s="301" t="s">
        <v>2142</v>
      </c>
      <c r="D10" s="301" t="s">
        <v>2181</v>
      </c>
      <c r="E10" s="301"/>
    </row>
    <row r="11" spans="2:5" ht="13.5" customHeight="1" x14ac:dyDescent="0.2">
      <c r="B11" s="1245"/>
      <c r="C11" s="301"/>
      <c r="D11" s="301" t="s">
        <v>2179</v>
      </c>
      <c r="E11" s="301"/>
    </row>
    <row r="12" spans="2:5" ht="13.5" customHeight="1" x14ac:dyDescent="0.2">
      <c r="B12" s="1245"/>
      <c r="C12" s="301"/>
      <c r="D12" s="301" t="s">
        <v>2180</v>
      </c>
      <c r="E12" s="301"/>
    </row>
    <row r="13" spans="2:5" ht="13.5" customHeight="1" x14ac:dyDescent="0.2">
      <c r="B13" s="1245"/>
      <c r="C13" s="301"/>
      <c r="D13" s="301"/>
      <c r="E13" s="301"/>
    </row>
    <row r="14" spans="2:5" ht="13.5" customHeight="1" x14ac:dyDescent="0.2">
      <c r="B14" s="1245" t="s">
        <v>2144</v>
      </c>
      <c r="C14" s="301" t="s">
        <v>2145</v>
      </c>
      <c r="D14" s="301" t="s">
        <v>2143</v>
      </c>
      <c r="E14" s="301"/>
    </row>
    <row r="15" spans="2:5" ht="13.5" customHeight="1" x14ac:dyDescent="0.2">
      <c r="B15" s="1245"/>
      <c r="C15" s="301"/>
      <c r="D15" s="301"/>
      <c r="E15" s="301"/>
    </row>
    <row r="16" spans="2:5" ht="13.5" customHeight="1" x14ac:dyDescent="0.2">
      <c r="B16" s="1245" t="s">
        <v>2146</v>
      </c>
      <c r="C16" s="302" t="s">
        <v>2140</v>
      </c>
      <c r="D16" s="301" t="s">
        <v>2186</v>
      </c>
      <c r="E16" s="301"/>
    </row>
    <row r="17" spans="2:5" ht="13.5" customHeight="1" x14ac:dyDescent="0.2">
      <c r="B17" s="1245"/>
      <c r="C17" s="301" t="s">
        <v>2141</v>
      </c>
      <c r="D17" s="301" t="s">
        <v>2183</v>
      </c>
      <c r="E17" s="301"/>
    </row>
    <row r="18" spans="2:5" ht="13.5" customHeight="1" x14ac:dyDescent="0.2">
      <c r="B18" s="1245"/>
      <c r="C18" s="301" t="s">
        <v>2142</v>
      </c>
      <c r="D18" s="301" t="s">
        <v>2184</v>
      </c>
      <c r="E18" s="301"/>
    </row>
    <row r="19" spans="2:5" ht="13.5" customHeight="1" x14ac:dyDescent="0.2">
      <c r="B19" s="1245"/>
      <c r="C19" s="301"/>
      <c r="D19" s="301" t="s">
        <v>2185</v>
      </c>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1304</v>
      </c>
      <c r="C44" s="300"/>
    </row>
    <row r="45" spans="2:5" ht="12.2" customHeight="1" x14ac:dyDescent="0.2">
      <c r="B45" s="1254" t="s">
        <v>1746</v>
      </c>
    </row>
    <row r="46" spans="2:5" ht="12.2" customHeight="1" x14ac:dyDescent="0.2">
      <c r="B46" s="1254" t="s">
        <v>1747</v>
      </c>
    </row>
    <row r="47" spans="2:5" ht="12.2" customHeight="1" x14ac:dyDescent="0.2">
      <c r="B47" s="1255" t="s">
        <v>1303</v>
      </c>
    </row>
    <row r="48" spans="2:5" ht="12.2" customHeight="1" x14ac:dyDescent="0.2">
      <c r="B48" s="1255" t="s">
        <v>1302</v>
      </c>
    </row>
    <row r="49" spans="2:5" ht="12.2" customHeight="1" x14ac:dyDescent="0.2">
      <c r="B49" s="1255" t="s">
        <v>1301</v>
      </c>
    </row>
    <row r="50" spans="2:5" ht="12.2" customHeight="1" x14ac:dyDescent="0.2">
      <c r="B50" s="1255" t="s">
        <v>1300</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election activeCell="B21" sqref="B2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0" t="str">
        <f>'Single Audit Cover'!A7</f>
        <v xml:space="preserve">  Palos CCSD 118</v>
      </c>
      <c r="C1" s="2620"/>
      <c r="D1" s="2620"/>
      <c r="E1" s="2620"/>
      <c r="F1" s="2620"/>
      <c r="G1" s="2620"/>
      <c r="H1" s="2620"/>
      <c r="I1" s="2620"/>
      <c r="J1" s="2620"/>
      <c r="K1" s="2620"/>
      <c r="L1" s="1221"/>
    </row>
    <row r="2" spans="1:12" ht="12.75" customHeight="1" x14ac:dyDescent="0.2">
      <c r="B2" s="2621">
        <f>'Single Audit Cover'!E7</f>
        <v>7016118004</v>
      </c>
      <c r="C2" s="2621"/>
      <c r="D2" s="2621"/>
      <c r="E2" s="2621"/>
      <c r="F2" s="2621"/>
      <c r="G2" s="2621"/>
      <c r="H2" s="2621"/>
      <c r="I2" s="2621"/>
      <c r="J2" s="2621"/>
      <c r="K2" s="2621"/>
      <c r="L2" s="1222"/>
    </row>
    <row r="3" spans="1:12" ht="12.75" customHeight="1" x14ac:dyDescent="0.2">
      <c r="B3" s="2612" t="s">
        <v>1276</v>
      </c>
      <c r="C3" s="2612"/>
      <c r="D3" s="2612"/>
      <c r="E3" s="2612"/>
      <c r="F3" s="2612"/>
      <c r="G3" s="2612"/>
      <c r="H3" s="2612"/>
      <c r="I3" s="2612"/>
      <c r="J3" s="2612"/>
      <c r="K3" s="2612"/>
      <c r="L3" s="1147"/>
    </row>
    <row r="4" spans="1:12" ht="12.75" customHeight="1" x14ac:dyDescent="0.2">
      <c r="B4" s="2612" t="str">
        <f>'Single Audit Cover'!A4</f>
        <v>Year Ending June 30, 2020</v>
      </c>
      <c r="C4" s="2612"/>
      <c r="D4" s="2612"/>
      <c r="E4" s="2612"/>
      <c r="F4" s="2612"/>
      <c r="G4" s="2612"/>
      <c r="H4" s="2612"/>
      <c r="I4" s="2612"/>
      <c r="J4" s="2612"/>
      <c r="K4" s="2612"/>
      <c r="L4" s="1147"/>
    </row>
    <row r="5" spans="1:12" ht="5.25" customHeight="1" x14ac:dyDescent="0.2">
      <c r="B5" s="1036" t="s">
        <v>1161</v>
      </c>
      <c r="C5" s="1036"/>
      <c r="L5" s="300"/>
    </row>
    <row r="6" spans="1:12" ht="30.75" customHeight="1" x14ac:dyDescent="0.2">
      <c r="A6" s="300"/>
      <c r="B6" s="2622" t="s">
        <v>1299</v>
      </c>
      <c r="C6" s="2622"/>
      <c r="D6" s="2622"/>
      <c r="E6" s="2622"/>
      <c r="F6" s="2622"/>
      <c r="G6" s="2622"/>
      <c r="H6" s="2622"/>
      <c r="I6" s="2622"/>
      <c r="J6" s="2622"/>
      <c r="K6" s="2622"/>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603"/>
      <c r="G12" s="2603"/>
      <c r="H12" s="2603"/>
      <c r="I12" s="2603"/>
      <c r="J12" s="2603"/>
      <c r="K12" s="260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17"/>
      <c r="E14" s="2617"/>
      <c r="F14" s="2617"/>
      <c r="H14" s="1230" t="s">
        <v>1294</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18"/>
      <c r="E16" s="2618"/>
      <c r="F16" s="2618"/>
      <c r="G16" s="2618"/>
      <c r="H16" s="2618"/>
      <c r="I16" s="2618"/>
      <c r="J16" s="2618"/>
      <c r="K16" s="2618"/>
      <c r="L16" s="300"/>
    </row>
    <row r="17" spans="2:12" ht="13.5" customHeight="1" x14ac:dyDescent="0.2">
      <c r="B17" s="1156" t="s">
        <v>1292</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11" t="s">
        <v>2134</v>
      </c>
      <c r="C20" s="2611"/>
      <c r="D20" s="2611"/>
      <c r="E20" s="2611"/>
      <c r="F20" s="2611"/>
      <c r="G20" s="2611"/>
      <c r="H20" s="2611"/>
      <c r="I20" s="2611"/>
      <c r="J20" s="2611"/>
      <c r="K20" s="261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1"/>
      <c r="C23" s="2611"/>
      <c r="D23" s="2611"/>
      <c r="E23" s="2611"/>
      <c r="F23" s="2611"/>
      <c r="G23" s="2611"/>
      <c r="H23" s="2611"/>
      <c r="I23" s="2611"/>
      <c r="J23" s="2611"/>
      <c r="K23" s="261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1"/>
      <c r="C26" s="2611"/>
      <c r="D26" s="2611"/>
      <c r="E26" s="2611"/>
      <c r="F26" s="2611"/>
      <c r="G26" s="2611"/>
      <c r="H26" s="2611"/>
      <c r="I26" s="2611"/>
      <c r="J26" s="2611"/>
      <c r="K26" s="261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1"/>
      <c r="C29" s="2611"/>
      <c r="D29" s="2611"/>
      <c r="E29" s="2611"/>
      <c r="F29" s="2611"/>
      <c r="G29" s="2611"/>
      <c r="H29" s="2611"/>
      <c r="I29" s="2611"/>
      <c r="J29" s="2611"/>
      <c r="K29" s="261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11"/>
      <c r="C32" s="2611"/>
      <c r="D32" s="2611"/>
      <c r="E32" s="2611"/>
      <c r="F32" s="2611"/>
      <c r="G32" s="2611"/>
      <c r="H32" s="2611"/>
      <c r="I32" s="2611"/>
      <c r="J32" s="2611"/>
      <c r="K32" s="261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11"/>
      <c r="C35" s="2611"/>
      <c r="D35" s="2611"/>
      <c r="E35" s="2611"/>
      <c r="F35" s="2611"/>
      <c r="G35" s="2611"/>
      <c r="H35" s="2611"/>
      <c r="I35" s="2611"/>
      <c r="J35" s="2611"/>
      <c r="K35" s="261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11"/>
      <c r="C38" s="2611"/>
      <c r="D38" s="2611"/>
      <c r="E38" s="2611"/>
      <c r="F38" s="2611"/>
      <c r="G38" s="2611"/>
      <c r="H38" s="2611"/>
      <c r="I38" s="2611"/>
      <c r="J38" s="2611"/>
      <c r="K38" s="261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1"/>
      <c r="C41" s="2611"/>
      <c r="D41" s="2611"/>
      <c r="E41" s="2611"/>
      <c r="F41" s="2611"/>
      <c r="G41" s="2611"/>
      <c r="H41" s="2611"/>
      <c r="I41" s="2611"/>
      <c r="J41" s="2611"/>
      <c r="K41" s="261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B31" sqref="B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2" t="s">
        <v>383</v>
      </c>
      <c r="B1" s="2192"/>
      <c r="C1" s="2192"/>
      <c r="D1" s="2192"/>
      <c r="E1" s="2192"/>
      <c r="F1" s="2192"/>
      <c r="G1" s="2192"/>
      <c r="H1" s="2192"/>
      <c r="I1" s="2192"/>
      <c r="J1" s="2192"/>
      <c r="K1" s="2192"/>
      <c r="L1" s="2192"/>
      <c r="M1" s="219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808651176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2.1586000000000001E-2</v>
      </c>
      <c r="E10" s="333" t="s">
        <v>998</v>
      </c>
      <c r="F10" s="332">
        <v>2.356E-3</v>
      </c>
      <c r="G10" s="333" t="s">
        <v>998</v>
      </c>
      <c r="H10" s="332">
        <v>1.0189999999999999E-3</v>
      </c>
      <c r="I10" s="333" t="s">
        <v>999</v>
      </c>
      <c r="J10" s="1424">
        <f>ROUND(D10+F10+H10,5)</f>
        <v>2.496E-2</v>
      </c>
      <c r="K10" s="217"/>
      <c r="L10" s="332">
        <v>9.9999999999999995E-7</v>
      </c>
      <c r="M10" s="217"/>
    </row>
    <row r="11" spans="1:14" ht="7.5" customHeight="1" x14ac:dyDescent="0.2">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26228730</v>
      </c>
      <c r="E16" s="1547"/>
      <c r="F16" s="1546">
        <f>SUM('Acct Summary 7-8'!C17,'Acct Summary 7-8'!D17,'Acct Summary 7-8'!F17)</f>
        <v>27114388</v>
      </c>
      <c r="G16" s="1547"/>
      <c r="H16" s="1546">
        <f>SUM(D16-F16)</f>
        <v>-885658</v>
      </c>
      <c r="I16" s="1548"/>
      <c r="J16" s="1546">
        <f>SUM('Acct Summary 7-8'!C81,'Acct Summary 7-8'!D81,'Acct Summary 7-8'!F81,'Acct Summary 7-8'!I81)</f>
        <v>17149534</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2045</v>
      </c>
      <c r="C31" s="344" t="s">
        <v>582</v>
      </c>
      <c r="D31" s="232" t="s">
        <v>1065</v>
      </c>
      <c r="E31" s="217"/>
      <c r="F31" s="217"/>
      <c r="G31" s="340"/>
      <c r="H31" s="1425">
        <f>IF(B31="X",(J7*0.069),IF(B32="X",(J7*0.138),"Enter x in a.or b."))</f>
        <v>55796931.144000001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9">
        <f>'Assets-Liab 5-6'!N36</f>
        <v>7800000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3"/>
      <c r="C54" s="2194"/>
      <c r="D54" s="2194"/>
      <c r="E54" s="2194"/>
      <c r="F54" s="2194"/>
      <c r="G54" s="2194"/>
      <c r="H54" s="2194"/>
      <c r="I54" s="2194"/>
      <c r="J54" s="2194"/>
      <c r="K54" s="2194"/>
      <c r="L54" s="2195"/>
      <c r="M54" s="357"/>
    </row>
    <row r="55" spans="1:13" ht="12.75" customHeight="1" x14ac:dyDescent="0.2">
      <c r="B55" s="2196"/>
      <c r="C55" s="2197"/>
      <c r="D55" s="2197"/>
      <c r="E55" s="2197"/>
      <c r="F55" s="2197"/>
      <c r="G55" s="2197"/>
      <c r="H55" s="2197"/>
      <c r="I55" s="2197"/>
      <c r="J55" s="2197"/>
      <c r="K55" s="2197"/>
      <c r="L55" s="2198"/>
      <c r="M55" s="357"/>
    </row>
    <row r="56" spans="1:13" ht="12.75" customHeight="1" x14ac:dyDescent="0.2">
      <c r="B56" s="2196"/>
      <c r="C56" s="2197"/>
      <c r="D56" s="2197"/>
      <c r="E56" s="2197"/>
      <c r="F56" s="2197"/>
      <c r="G56" s="2197"/>
      <c r="H56" s="2197"/>
      <c r="I56" s="2197"/>
      <c r="J56" s="2197"/>
      <c r="K56" s="2197"/>
      <c r="L56" s="2198"/>
      <c r="M56" s="217"/>
    </row>
    <row r="57" spans="1:13" ht="12.75" customHeight="1" x14ac:dyDescent="0.2">
      <c r="B57" s="2196"/>
      <c r="C57" s="2197"/>
      <c r="D57" s="2197"/>
      <c r="E57" s="2197"/>
      <c r="F57" s="2197"/>
      <c r="G57" s="2197"/>
      <c r="H57" s="2197"/>
      <c r="I57" s="2197"/>
      <c r="J57" s="2197"/>
      <c r="K57" s="2197"/>
      <c r="L57" s="2198"/>
      <c r="M57" s="217"/>
    </row>
    <row r="58" spans="1:13" x14ac:dyDescent="0.2">
      <c r="B58" s="2199"/>
      <c r="C58" s="2200"/>
      <c r="D58" s="2200"/>
      <c r="E58" s="2200"/>
      <c r="F58" s="2200"/>
      <c r="G58" s="2200"/>
      <c r="H58" s="2200"/>
      <c r="I58" s="2200"/>
      <c r="J58" s="2200"/>
      <c r="K58" s="2200"/>
      <c r="L58" s="22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4"/>
      <c r="D61" s="22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6"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7"/>
      <c r="B1" s="2208"/>
      <c r="C1" s="2208"/>
      <c r="D1" s="361"/>
      <c r="E1" s="361"/>
      <c r="F1" s="361"/>
      <c r="G1" s="361"/>
      <c r="H1" s="361"/>
      <c r="I1" s="361"/>
      <c r="J1" s="361"/>
      <c r="K1" s="361"/>
      <c r="L1" s="361"/>
      <c r="M1" s="361"/>
      <c r="N1" s="361"/>
      <c r="O1" s="2207"/>
      <c r="P1" s="2208"/>
      <c r="Q1" s="2208"/>
    </row>
    <row r="2" spans="1:18" ht="15" x14ac:dyDescent="0.2">
      <c r="A2" s="2211" t="s">
        <v>552</v>
      </c>
      <c r="B2" s="2211"/>
      <c r="C2" s="2211"/>
      <c r="D2" s="2211"/>
      <c r="E2" s="2211"/>
      <c r="F2" s="2211"/>
      <c r="G2" s="2211"/>
      <c r="H2" s="2211"/>
      <c r="I2" s="2211"/>
      <c r="J2" s="2211"/>
      <c r="K2" s="2211"/>
      <c r="L2" s="2211"/>
      <c r="M2" s="2211"/>
      <c r="N2" s="2211"/>
      <c r="O2" s="2211"/>
      <c r="P2" s="2211"/>
      <c r="Q2" s="2211"/>
      <c r="R2" s="2211"/>
    </row>
    <row r="3" spans="1:18" ht="12.75" x14ac:dyDescent="0.2">
      <c r="A3" s="2212" t="s">
        <v>1399</v>
      </c>
      <c r="B3" s="2212"/>
      <c r="C3" s="2212"/>
      <c r="D3" s="2212"/>
      <c r="E3" s="2212"/>
      <c r="F3" s="2212"/>
      <c r="G3" s="2212"/>
      <c r="H3" s="2212"/>
      <c r="I3" s="2212"/>
      <c r="J3" s="2212"/>
      <c r="K3" s="2212"/>
      <c r="L3" s="2212"/>
      <c r="M3" s="2212"/>
      <c r="N3" s="2212"/>
      <c r="O3" s="2212"/>
      <c r="P3" s="2212"/>
      <c r="Q3" s="2212"/>
      <c r="R3" s="2212"/>
    </row>
    <row r="4" spans="1:18" x14ac:dyDescent="0.2">
      <c r="A4" s="2213" t="s">
        <v>1540</v>
      </c>
      <c r="B4" s="2213"/>
      <c r="C4" s="2213"/>
      <c r="D4" s="2213"/>
      <c r="E4" s="2213"/>
      <c r="F4" s="2213"/>
      <c r="G4" s="2213"/>
      <c r="H4" s="2213"/>
      <c r="I4" s="2213"/>
      <c r="J4" s="2213"/>
      <c r="K4" s="2213"/>
      <c r="L4" s="2213"/>
      <c r="M4" s="2213"/>
      <c r="N4" s="2213"/>
      <c r="O4" s="2213"/>
      <c r="P4" s="2213"/>
      <c r="Q4" s="2213"/>
      <c r="R4" s="22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Palos CCSD 118</v>
      </c>
      <c r="E7" s="368"/>
      <c r="G7" s="247"/>
      <c r="H7" s="364"/>
      <c r="I7" s="364"/>
      <c r="J7" s="364"/>
      <c r="K7" s="364"/>
      <c r="L7" s="307"/>
      <c r="M7" s="307"/>
      <c r="N7" s="307"/>
      <c r="O7" s="307"/>
      <c r="P7" s="307"/>
    </row>
    <row r="8" spans="1:18" ht="12.75" x14ac:dyDescent="0.2">
      <c r="A8" s="307"/>
      <c r="B8" s="307"/>
      <c r="C8" s="366" t="s">
        <v>1117</v>
      </c>
      <c r="D8" s="369">
        <f>COVER!A13</f>
        <v>7016118004</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1" t="str">
        <f>IF(K12&gt;0.24999,"4",IF(K12&gt;0.09999,"3",IF(K12&gt;=0,"2",1)))</f>
        <v>4</v>
      </c>
      <c r="P11" s="211"/>
      <c r="Q11" s="211"/>
    </row>
    <row r="12" spans="1:18" s="382" customFormat="1" ht="11.25" x14ac:dyDescent="0.2">
      <c r="A12" s="213"/>
      <c r="B12" s="377"/>
      <c r="C12" s="213" t="s">
        <v>1351</v>
      </c>
      <c r="D12" s="213"/>
      <c r="E12" s="213"/>
      <c r="F12" s="213" t="s">
        <v>1084</v>
      </c>
      <c r="G12" s="378"/>
      <c r="H12" s="1551">
        <f>SUM('Acct Summary 7-8'!C81+'Acct Summary 7-8'!D81+'Acct Summary 7-8'!F81+'Acct Summary 7-8'!I81+IF('Acct Summary 7-8'!G81&lt;0,'Acct Summary 7-8'!G81,"0")+IF('Acct Summary 7-8'!J81&lt;0,'Acct Summary 7-8'!J81,"0"))</f>
        <v>17149534</v>
      </c>
      <c r="I12" s="380"/>
      <c r="J12" s="380"/>
      <c r="K12" s="1559">
        <f>TRUNC((H12/H13*100000),5)/100000</f>
        <v>0.65384538250000002</v>
      </c>
      <c r="L12" s="381"/>
      <c r="M12" s="337" t="s">
        <v>1136</v>
      </c>
      <c r="N12" s="337"/>
      <c r="O12" s="1562">
        <v>0.35</v>
      </c>
      <c r="P12" s="213"/>
      <c r="Q12" s="213"/>
    </row>
    <row r="13" spans="1:18" s="382" customFormat="1" ht="12.75" x14ac:dyDescent="0.2">
      <c r="A13" s="213"/>
      <c r="B13" s="377"/>
      <c r="C13" s="2209" t="s">
        <v>1315</v>
      </c>
      <c r="D13" s="2210"/>
      <c r="E13" s="213"/>
      <c r="F13" s="383" t="s">
        <v>788</v>
      </c>
      <c r="G13" s="378"/>
      <c r="H13" s="1551">
        <f>SUM('Acct Summary 7-8'!C8+'Acct Summary 7-8'!D8+'Acct Summary 7-8'!F8+'Acct Summary 7-8'!I8)+H14</f>
        <v>26228730</v>
      </c>
      <c r="I13" s="380"/>
      <c r="J13" s="380"/>
      <c r="K13" s="1558"/>
      <c r="L13" s="213"/>
      <c r="M13" s="337" t="s">
        <v>1137</v>
      </c>
      <c r="N13" s="337"/>
      <c r="O13" s="1563">
        <f>(O11*O12)</f>
        <v>1.4</v>
      </c>
      <c r="P13" s="213"/>
      <c r="Q13" s="213"/>
      <c r="R13" s="385"/>
    </row>
    <row r="14" spans="1:18" s="382" customFormat="1" ht="12.75" x14ac:dyDescent="0.2">
      <c r="A14" s="213"/>
      <c r="B14" s="377"/>
      <c r="C14" s="235" t="s">
        <v>1383</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1397</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1138</v>
      </c>
      <c r="D16" s="211"/>
      <c r="E16" s="211"/>
      <c r="F16" s="211"/>
      <c r="G16" s="211"/>
      <c r="H16" s="1553" t="s">
        <v>155</v>
      </c>
      <c r="I16" s="314"/>
      <c r="J16" s="314"/>
      <c r="K16" s="1560" t="s">
        <v>1134</v>
      </c>
      <c r="L16" s="314"/>
      <c r="M16" s="314" t="s">
        <v>1135</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27114388</v>
      </c>
      <c r="I17" s="380"/>
      <c r="J17" s="389"/>
      <c r="K17" s="1559">
        <f>TRUNC((H17/H18*100000),5)/100000</f>
        <v>1.0337667130000001</v>
      </c>
      <c r="L17" s="381"/>
      <c r="M17" s="390" t="s">
        <v>1163</v>
      </c>
      <c r="O17" s="1565" t="str">
        <f>IF(AND(O16="2", J20 &gt; 2),"1",IF(AND(O16 = "1", J20 &gt; 2),"2",IF(AND(O16="1", J20 &gt;1),"1","0")))</f>
        <v>0</v>
      </c>
      <c r="P17" s="213"/>
    </row>
    <row r="18" spans="1:18" s="382" customFormat="1" ht="11.25" x14ac:dyDescent="0.2">
      <c r="A18" s="213"/>
      <c r="B18" s="377"/>
      <c r="C18" s="2209" t="s">
        <v>1308</v>
      </c>
      <c r="D18" s="2210"/>
      <c r="E18" s="213"/>
      <c r="F18" s="391" t="s">
        <v>789</v>
      </c>
      <c r="G18" s="378"/>
      <c r="H18" s="1551">
        <f>SUM('Acct Summary 7-8'!C8+'Acct Summary 7-8'!D8+'Acct Summary 7-8'!F8+'Acct Summary 7-8'!I8)+H19</f>
        <v>26228730</v>
      </c>
      <c r="I18" s="380"/>
      <c r="J18" s="380"/>
      <c r="K18" s="1558"/>
      <c r="L18" s="213"/>
      <c r="M18" s="337" t="s">
        <v>1136</v>
      </c>
      <c r="N18" s="337"/>
      <c r="O18" s="1558">
        <v>0.35</v>
      </c>
      <c r="P18" s="213"/>
    </row>
    <row r="19" spans="1:18" s="382" customFormat="1" ht="11.25" x14ac:dyDescent="0.2">
      <c r="A19" s="213"/>
      <c r="B19" s="377"/>
      <c r="C19" s="235" t="s">
        <v>1383</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1397</v>
      </c>
      <c r="D20" s="213"/>
      <c r="E20" s="213"/>
      <c r="F20" s="213"/>
      <c r="G20" s="378"/>
      <c r="H20" s="1554"/>
      <c r="I20" s="380"/>
      <c r="J20" s="393">
        <f>IF(K17&lt;=1,"0",TRUNC(((K12-0.1)/(K17-1)*100),5)/100)</f>
        <v>16.4021112</v>
      </c>
      <c r="K20" s="1559" t="str">
        <f>IF(K17&lt;=1,"0",IF(AND(O16="2", J20 &gt; 2),TRUNC(((K12-0.1)/(K17-1)*100),5)/100,IF(AND(O16 = "1", J20 &gt; 2),TRUNC(((K12-0.1)/(K17-1)*100),5)/100,IF(AND(O16="1", J20 &gt;1),TRUNC(((K12-0.1)/(K17-1)*100),5)/100,""))))</f>
        <v/>
      </c>
      <c r="L20" s="213"/>
      <c r="M20" s="337" t="s">
        <v>1137</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1139</v>
      </c>
      <c r="D23" s="211"/>
      <c r="E23" s="211"/>
      <c r="F23" s="211"/>
      <c r="G23" s="211"/>
      <c r="H23" s="1553" t="s">
        <v>155</v>
      </c>
      <c r="I23" s="314"/>
      <c r="J23" s="314"/>
      <c r="K23" s="1560" t="s">
        <v>1140</v>
      </c>
      <c r="L23" s="314"/>
      <c r="M23" s="314" t="s">
        <v>1135</v>
      </c>
      <c r="N23" s="314"/>
      <c r="O23" s="1561" t="str">
        <f>IF(K24&gt;=180,"4",IF(K24&gt;=90,"3",IF(K24&gt;=30,"2",1)))</f>
        <v>4</v>
      </c>
      <c r="P23" s="211"/>
      <c r="R23" s="361"/>
    </row>
    <row r="24" spans="1:18" s="382" customFormat="1" ht="11.25" x14ac:dyDescent="0.2">
      <c r="A24" s="213"/>
      <c r="B24" s="377"/>
      <c r="C24" s="2206" t="s">
        <v>1398</v>
      </c>
      <c r="D24" s="2206"/>
      <c r="E24" s="213"/>
      <c r="F24" s="213" t="s">
        <v>442</v>
      </c>
      <c r="G24" s="378"/>
      <c r="H24" s="1551">
        <f>SUM('Assets-Liab 5-6'!C4+'Assets-Liab 5-6'!D4+'Assets-Liab 5-6'!F4+'Assets-Liab 5-6'!I4+'Assets-Liab 5-6'!C5+'Assets-Liab 5-6'!D5+'Assets-Liab 5-6'!F5+'Assets-Liab 5-6'!I5)</f>
        <v>17399330</v>
      </c>
      <c r="I24" s="394"/>
      <c r="J24" s="394"/>
      <c r="K24" s="1555">
        <f>TRUNC(((H24/H25*100000)/100000),2)</f>
        <v>231.01</v>
      </c>
      <c r="L24" s="395"/>
      <c r="M24" s="337" t="s">
        <v>1136</v>
      </c>
      <c r="N24" s="337"/>
      <c r="O24" s="1563">
        <v>0.1</v>
      </c>
      <c r="P24" s="213"/>
    </row>
    <row r="25" spans="1:18" s="382" customFormat="1" ht="12.75" x14ac:dyDescent="0.2">
      <c r="A25" s="213"/>
      <c r="B25" s="377"/>
      <c r="C25" s="213" t="s">
        <v>793</v>
      </c>
      <c r="D25" s="213"/>
      <c r="E25" s="213"/>
      <c r="F25" s="213" t="s">
        <v>443</v>
      </c>
      <c r="G25" s="378"/>
      <c r="H25" s="1555">
        <f>ROUND((H17/360),5)</f>
        <v>75317.744439999995</v>
      </c>
      <c r="I25" s="396"/>
      <c r="J25" s="396"/>
      <c r="K25" s="1558"/>
      <c r="L25" s="213"/>
      <c r="M25" s="337" t="s">
        <v>1137</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1135</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1136</v>
      </c>
      <c r="N28" s="337"/>
      <c r="O28" s="1567">
        <v>0.1</v>
      </c>
      <c r="P28" s="213"/>
    </row>
    <row r="29" spans="1:18" s="382" customFormat="1" ht="11.25" x14ac:dyDescent="0.2">
      <c r="A29" s="213"/>
      <c r="B29" s="377"/>
      <c r="C29" s="213" t="s">
        <v>791</v>
      </c>
      <c r="D29" s="213"/>
      <c r="E29" s="213"/>
      <c r="F29" s="213" t="s">
        <v>795</v>
      </c>
      <c r="G29" s="378"/>
      <c r="H29" s="1557">
        <f>ROUND((0.85*'FP Info 3'!J7*'FP Info 3'!J10),5)</f>
        <v>17156343.350019999</v>
      </c>
      <c r="I29" s="397"/>
      <c r="J29" s="397"/>
      <c r="K29" s="1558"/>
      <c r="L29" s="213"/>
      <c r="M29" s="337" t="s">
        <v>1137</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1135</v>
      </c>
      <c r="N31" s="314"/>
      <c r="O31" s="1561" t="str">
        <f>IF(K32&gt;=75,"4",IF(K32&gt;=50,"3",IF(K32&gt;=25,"2",1)))</f>
        <v>4</v>
      </c>
      <c r="P31" s="211"/>
    </row>
    <row r="32" spans="1:18" s="382" customFormat="1" ht="11.25" x14ac:dyDescent="0.2">
      <c r="A32" s="213"/>
      <c r="B32" s="377"/>
      <c r="C32" s="213" t="s">
        <v>842</v>
      </c>
      <c r="D32" s="213"/>
      <c r="E32" s="213"/>
      <c r="F32" s="213"/>
      <c r="G32" s="378"/>
      <c r="H32" s="1551">
        <f>'FP Info 3'!H37</f>
        <v>7800000</v>
      </c>
      <c r="I32" s="392"/>
      <c r="J32" s="392"/>
      <c r="K32" s="1555">
        <f>TRUNC(100-((((H32/H33*100))*100)/100),2)</f>
        <v>86.02</v>
      </c>
      <c r="L32" s="381"/>
      <c r="M32" s="337" t="s">
        <v>1136</v>
      </c>
      <c r="N32" s="337"/>
      <c r="O32" s="1568">
        <v>0.1</v>
      </c>
    </row>
    <row r="33" spans="1:17" s="382" customFormat="1" ht="11.25" x14ac:dyDescent="0.2">
      <c r="A33" s="213"/>
      <c r="B33" s="377"/>
      <c r="C33" s="213" t="s">
        <v>794</v>
      </c>
      <c r="D33" s="213"/>
      <c r="E33" s="213"/>
      <c r="F33" s="213"/>
      <c r="G33" s="378"/>
      <c r="H33" s="379">
        <f>IF('FP Info 3'!H31="Enter X in a or b"," ",'FP Info 3'!H31)</f>
        <v>55796931.144000001</v>
      </c>
      <c r="I33" s="392"/>
      <c r="J33" s="392"/>
      <c r="K33" s="379"/>
      <c r="L33" s="213"/>
      <c r="M33" s="401" t="s">
        <v>1137</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5" zoomScaleNormal="85" workbookViewId="0">
      <pane ySplit="2" topLeftCell="A3" activePane="bottomLeft" state="frozen"/>
      <selection pane="bottomLeft" activeCell="M18" sqref="M1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4"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5"/>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6" t="s">
        <v>967</v>
      </c>
      <c r="B3" s="2217"/>
      <c r="C3" s="1306"/>
      <c r="D3" s="1307"/>
      <c r="E3" s="1307"/>
      <c r="F3" s="1307"/>
      <c r="G3" s="1307"/>
      <c r="H3" s="1307"/>
      <c r="I3" s="1307"/>
      <c r="J3" s="1307"/>
      <c r="K3" s="1307"/>
      <c r="L3" s="1307"/>
      <c r="M3" s="1308"/>
      <c r="N3" s="1309"/>
    </row>
    <row r="4" spans="1:14" ht="13.5" customHeight="1" x14ac:dyDescent="0.2">
      <c r="A4" s="427" t="s">
        <v>1635</v>
      </c>
      <c r="B4" s="428"/>
      <c r="C4" s="1572">
        <v>10179808</v>
      </c>
      <c r="D4" s="1573">
        <v>2054652</v>
      </c>
      <c r="E4" s="1573">
        <v>1341930</v>
      </c>
      <c r="F4" s="1573">
        <v>913636</v>
      </c>
      <c r="G4" s="1573">
        <v>362548</v>
      </c>
      <c r="H4" s="1573">
        <v>5237112</v>
      </c>
      <c r="I4" s="1573">
        <v>4251234</v>
      </c>
      <c r="J4" s="1574">
        <v>4516</v>
      </c>
      <c r="K4" s="1573">
        <v>6926</v>
      </c>
      <c r="L4" s="1573">
        <v>149548</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v>8762845</v>
      </c>
      <c r="D6" s="1573">
        <v>891015</v>
      </c>
      <c r="E6" s="1573">
        <v>869799</v>
      </c>
      <c r="F6" s="1573">
        <v>385201</v>
      </c>
      <c r="G6" s="1577">
        <v>385692</v>
      </c>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v>454485</v>
      </c>
      <c r="D9" s="1574"/>
      <c r="E9" s="1574"/>
      <c r="F9" s="1574">
        <v>228944</v>
      </c>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v>16788</v>
      </c>
      <c r="D12" s="1573">
        <v>3362</v>
      </c>
      <c r="E12" s="1573">
        <v>2228</v>
      </c>
      <c r="F12" s="1573">
        <v>1678</v>
      </c>
      <c r="G12" s="1573">
        <v>602</v>
      </c>
      <c r="H12" s="1573">
        <v>8694</v>
      </c>
      <c r="I12" s="1573">
        <v>7058</v>
      </c>
      <c r="J12" s="1574">
        <v>8</v>
      </c>
      <c r="K12" s="1573">
        <v>12</v>
      </c>
      <c r="L12" s="1573"/>
      <c r="M12" s="1576"/>
      <c r="N12" s="1576"/>
    </row>
    <row r="13" spans="1:14" ht="13.5" customHeight="1" thickBot="1" x14ac:dyDescent="0.25">
      <c r="A13" s="1426" t="s">
        <v>639</v>
      </c>
      <c r="B13" s="1407"/>
      <c r="C13" s="1587">
        <f>SUM(C4:C12)</f>
        <v>19413926</v>
      </c>
      <c r="D13" s="1587">
        <f t="shared" ref="D13:L13" si="0">SUM(D4:D12)</f>
        <v>2949029</v>
      </c>
      <c r="E13" s="1587">
        <f t="shared" si="0"/>
        <v>2213957</v>
      </c>
      <c r="F13" s="1587">
        <f t="shared" si="0"/>
        <v>1529459</v>
      </c>
      <c r="G13" s="1587">
        <f t="shared" si="0"/>
        <v>748842</v>
      </c>
      <c r="H13" s="1587">
        <f t="shared" si="0"/>
        <v>5245806</v>
      </c>
      <c r="I13" s="1587">
        <f t="shared" si="0"/>
        <v>4258292</v>
      </c>
      <c r="J13" s="1587">
        <f t="shared" si="0"/>
        <v>4524</v>
      </c>
      <c r="K13" s="1587">
        <f t="shared" si="0"/>
        <v>6938</v>
      </c>
      <c r="L13" s="1587">
        <f t="shared" si="0"/>
        <v>149548</v>
      </c>
      <c r="M13" s="1575"/>
      <c r="N13" s="1576"/>
    </row>
    <row r="14" spans="1:14" ht="18" customHeight="1" thickTop="1" x14ac:dyDescent="0.2">
      <c r="A14" s="2218" t="s">
        <v>146</v>
      </c>
      <c r="B14" s="2219"/>
      <c r="C14" s="1588"/>
      <c r="D14" s="1589"/>
      <c r="E14" s="1589"/>
      <c r="F14" s="1589"/>
      <c r="G14" s="1589"/>
      <c r="H14" s="1589"/>
      <c r="I14" s="1589"/>
      <c r="J14" s="1589"/>
      <c r="K14" s="1589"/>
      <c r="L14" s="1589"/>
      <c r="M14" s="1590"/>
      <c r="N14" s="1591"/>
    </row>
    <row r="15" spans="1:14" s="433" customFormat="1" ht="12.75" customHeight="1" x14ac:dyDescent="0.2">
      <c r="A15" s="431" t="s">
        <v>1387</v>
      </c>
      <c r="B15" s="432">
        <v>210</v>
      </c>
      <c r="C15" s="1582"/>
      <c r="D15" s="1582"/>
      <c r="E15" s="1582"/>
      <c r="F15" s="1582"/>
      <c r="G15" s="1582"/>
      <c r="H15" s="1582"/>
      <c r="I15" s="1582"/>
      <c r="J15" s="1582"/>
      <c r="K15" s="1582"/>
      <c r="L15" s="1582"/>
      <c r="M15" s="1583"/>
      <c r="N15" s="1592"/>
    </row>
    <row r="16" spans="1:14" s="433" customFormat="1" ht="12.75" customHeight="1" x14ac:dyDescent="0.2">
      <c r="A16" s="431" t="s">
        <v>1388</v>
      </c>
      <c r="B16" s="432">
        <v>220</v>
      </c>
      <c r="C16" s="1582"/>
      <c r="D16" s="1582"/>
      <c r="E16" s="1582"/>
      <c r="F16" s="1582"/>
      <c r="G16" s="1582"/>
      <c r="H16" s="1582"/>
      <c r="I16" s="1582"/>
      <c r="J16" s="1582"/>
      <c r="K16" s="1582"/>
      <c r="L16" s="1582"/>
      <c r="M16" s="1574">
        <v>294943</v>
      </c>
      <c r="N16" s="1592"/>
    </row>
    <row r="17" spans="1:14" s="433" customFormat="1" ht="12.75" customHeight="1" x14ac:dyDescent="0.2">
      <c r="A17" s="431" t="s">
        <v>1389</v>
      </c>
      <c r="B17" s="432">
        <v>230</v>
      </c>
      <c r="C17" s="1582"/>
      <c r="D17" s="1582"/>
      <c r="E17" s="1582"/>
      <c r="F17" s="1582"/>
      <c r="G17" s="1582"/>
      <c r="H17" s="1582"/>
      <c r="I17" s="1582"/>
      <c r="J17" s="1582"/>
      <c r="K17" s="1582"/>
      <c r="L17" s="1582"/>
      <c r="M17" s="1574">
        <v>36504309</v>
      </c>
      <c r="N17" s="1592"/>
    </row>
    <row r="18" spans="1:14" s="433" customFormat="1" ht="12.75" customHeight="1" x14ac:dyDescent="0.2">
      <c r="A18" s="431" t="s">
        <v>1390</v>
      </c>
      <c r="B18" s="432">
        <v>240</v>
      </c>
      <c r="C18" s="1582"/>
      <c r="D18" s="1582"/>
      <c r="E18" s="1582"/>
      <c r="F18" s="1582"/>
      <c r="G18" s="1582"/>
      <c r="H18" s="1582"/>
      <c r="I18" s="1582"/>
      <c r="J18" s="1582"/>
      <c r="K18" s="1582"/>
      <c r="L18" s="1582"/>
      <c r="M18" s="1574">
        <v>14508694</v>
      </c>
      <c r="N18" s="1592"/>
    </row>
    <row r="19" spans="1:14" s="433" customFormat="1" ht="12.75" customHeight="1" x14ac:dyDescent="0.2">
      <c r="A19" s="431" t="s">
        <v>1391</v>
      </c>
      <c r="B19" s="432">
        <v>250</v>
      </c>
      <c r="C19" s="1582"/>
      <c r="D19" s="1582"/>
      <c r="E19" s="1582"/>
      <c r="F19" s="1582"/>
      <c r="G19" s="1582"/>
      <c r="H19" s="1582"/>
      <c r="I19" s="1582"/>
      <c r="J19" s="1582"/>
      <c r="K19" s="1582"/>
      <c r="L19" s="1582"/>
      <c r="M19" s="1574">
        <v>5297547</v>
      </c>
      <c r="N19" s="1592"/>
    </row>
    <row r="20" spans="1:14" s="433" customFormat="1" ht="12.75" customHeight="1" x14ac:dyDescent="0.2">
      <c r="A20" s="431" t="s">
        <v>1392</v>
      </c>
      <c r="B20" s="432">
        <v>260</v>
      </c>
      <c r="C20" s="1582"/>
      <c r="D20" s="1582"/>
      <c r="E20" s="1582"/>
      <c r="F20" s="1582"/>
      <c r="G20" s="1582"/>
      <c r="H20" s="1582"/>
      <c r="I20" s="1582"/>
      <c r="J20" s="1582"/>
      <c r="K20" s="1582"/>
      <c r="L20" s="1582"/>
      <c r="M20" s="1574">
        <v>96857</v>
      </c>
      <c r="N20" s="1592"/>
    </row>
    <row r="21" spans="1:14" s="433" customFormat="1" ht="12.75" customHeight="1" x14ac:dyDescent="0.2">
      <c r="A21" s="431" t="s">
        <v>1393</v>
      </c>
      <c r="B21" s="432">
        <v>340</v>
      </c>
      <c r="C21" s="1582"/>
      <c r="D21" s="1582"/>
      <c r="E21" s="1582"/>
      <c r="F21" s="1582"/>
      <c r="G21" s="1582"/>
      <c r="H21" s="1582"/>
      <c r="I21" s="1582"/>
      <c r="J21" s="1582"/>
      <c r="K21" s="1582"/>
      <c r="L21" s="1582"/>
      <c r="M21" s="1593"/>
      <c r="N21" s="1574">
        <v>1306730</v>
      </c>
    </row>
    <row r="22" spans="1:14" s="433" customFormat="1" ht="12.75" customHeight="1" x14ac:dyDescent="0.2">
      <c r="A22" s="431" t="s">
        <v>1394</v>
      </c>
      <c r="B22" s="432">
        <v>350</v>
      </c>
      <c r="C22" s="1582"/>
      <c r="D22" s="1582"/>
      <c r="E22" s="1582"/>
      <c r="F22" s="1582"/>
      <c r="G22" s="1582"/>
      <c r="H22" s="1582"/>
      <c r="I22" s="1582"/>
      <c r="J22" s="1582"/>
      <c r="K22" s="1582"/>
      <c r="L22" s="1582"/>
      <c r="M22" s="1593"/>
      <c r="N22" s="1607">
        <f>'Short-Term Long-Term Debt 24'!J49</f>
        <v>6493270</v>
      </c>
    </row>
    <row r="23" spans="1:14" ht="13.5" customHeight="1" thickBot="1" x14ac:dyDescent="0.25">
      <c r="A23" s="1426" t="s">
        <v>638</v>
      </c>
      <c r="B23" s="1429"/>
      <c r="C23" s="1575"/>
      <c r="D23" s="1575"/>
      <c r="E23" s="1575"/>
      <c r="F23" s="1575"/>
      <c r="G23" s="1575"/>
      <c r="H23" s="1575"/>
      <c r="I23" s="1575"/>
      <c r="J23" s="1575"/>
      <c r="K23" s="1575"/>
      <c r="L23" s="1575"/>
      <c r="M23" s="1594">
        <f>SUM(M15:M22)</f>
        <v>56702350</v>
      </c>
      <c r="N23" s="1594">
        <f>SUM(N21:N22)</f>
        <v>7800000</v>
      </c>
    </row>
    <row r="24" spans="1:14" ht="18" customHeight="1" thickTop="1" x14ac:dyDescent="0.2">
      <c r="A24" s="2220" t="s">
        <v>594</v>
      </c>
      <c r="B24" s="2221"/>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v>237162</v>
      </c>
      <c r="D27" s="1574">
        <v>2577</v>
      </c>
      <c r="E27" s="1574"/>
      <c r="F27" s="1574">
        <v>74943</v>
      </c>
      <c r="G27" s="1574"/>
      <c r="H27" s="1574">
        <v>76522</v>
      </c>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v>9355859</v>
      </c>
      <c r="D32" s="1599">
        <v>928931</v>
      </c>
      <c r="E32" s="1579">
        <v>907227</v>
      </c>
      <c r="F32" s="1579">
        <v>401700</v>
      </c>
      <c r="G32" s="1579">
        <v>401700</v>
      </c>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149548</v>
      </c>
      <c r="M33" s="1575"/>
      <c r="N33" s="1576"/>
    </row>
    <row r="34" spans="1:14" ht="13.5" customHeight="1" thickBot="1" x14ac:dyDescent="0.25">
      <c r="A34" s="1427" t="s">
        <v>649</v>
      </c>
      <c r="B34" s="1428"/>
      <c r="C34" s="1600">
        <f>SUM(C25:C33)</f>
        <v>9593021</v>
      </c>
      <c r="D34" s="1600">
        <f t="shared" ref="D34:K34" si="1">SUM(D25:D33)</f>
        <v>931508</v>
      </c>
      <c r="E34" s="1600">
        <f t="shared" si="1"/>
        <v>907227</v>
      </c>
      <c r="F34" s="1600">
        <f t="shared" si="1"/>
        <v>476643</v>
      </c>
      <c r="G34" s="1600">
        <f t="shared" si="1"/>
        <v>401700</v>
      </c>
      <c r="H34" s="1600">
        <f t="shared" si="1"/>
        <v>76522</v>
      </c>
      <c r="I34" s="1600">
        <f t="shared" si="1"/>
        <v>0</v>
      </c>
      <c r="J34" s="1600">
        <f t="shared" si="1"/>
        <v>0</v>
      </c>
      <c r="K34" s="1600">
        <f t="shared" si="1"/>
        <v>0</v>
      </c>
      <c r="L34" s="1601">
        <f>SUM(L33)</f>
        <v>149548</v>
      </c>
      <c r="M34" s="1575"/>
      <c r="N34" s="1585"/>
    </row>
    <row r="35" spans="1:14" ht="18" customHeight="1" thickTop="1" x14ac:dyDescent="0.2">
      <c r="A35" s="2222" t="s">
        <v>526</v>
      </c>
      <c r="B35" s="222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7800000</v>
      </c>
    </row>
    <row r="37" spans="1:14" ht="13.5" thickBot="1" x14ac:dyDescent="0.25">
      <c r="A37" s="1426" t="s">
        <v>648</v>
      </c>
      <c r="B37" s="1429"/>
      <c r="C37" s="1582"/>
      <c r="D37" s="1582"/>
      <c r="E37" s="1582"/>
      <c r="F37" s="1582"/>
      <c r="G37" s="1582"/>
      <c r="H37" s="1582"/>
      <c r="I37" s="1582"/>
      <c r="J37" s="1582"/>
      <c r="K37" s="1582"/>
      <c r="L37" s="1585"/>
      <c r="M37" s="1575"/>
      <c r="N37" s="1594">
        <f>SUM(N36:N36)</f>
        <v>7800000</v>
      </c>
    </row>
    <row r="38" spans="1:14" s="307" customFormat="1" ht="13.5" customHeight="1" thickTop="1" x14ac:dyDescent="0.2">
      <c r="A38" s="438" t="s">
        <v>417</v>
      </c>
      <c r="B38" s="432">
        <v>714</v>
      </c>
      <c r="C38" s="1573">
        <v>950003</v>
      </c>
      <c r="D38" s="1573"/>
      <c r="E38" s="1573">
        <v>1306730</v>
      </c>
      <c r="F38" s="1573"/>
      <c r="G38" s="1573">
        <v>347142</v>
      </c>
      <c r="H38" s="1573">
        <v>5169284</v>
      </c>
      <c r="I38" s="1573"/>
      <c r="J38" s="1574">
        <v>4524</v>
      </c>
      <c r="K38" s="1573">
        <v>6938</v>
      </c>
      <c r="L38" s="1586"/>
      <c r="M38" s="1604"/>
      <c r="N38" s="1604"/>
    </row>
    <row r="39" spans="1:14" s="307" customFormat="1" ht="13.5" customHeight="1" x14ac:dyDescent="0.2">
      <c r="A39" s="438" t="s">
        <v>339</v>
      </c>
      <c r="B39" s="432">
        <v>730</v>
      </c>
      <c r="C39" s="1573">
        <f>12880138-4009236</f>
        <v>8870902</v>
      </c>
      <c r="D39" s="1573">
        <v>2017521</v>
      </c>
      <c r="E39" s="1573"/>
      <c r="F39" s="1573">
        <v>1052816</v>
      </c>
      <c r="G39" s="1573"/>
      <c r="H39" s="1573"/>
      <c r="I39" s="1573">
        <v>4258292</v>
      </c>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56702350</v>
      </c>
      <c r="N40" s="1604"/>
    </row>
    <row r="41" spans="1:14" ht="13.5" customHeight="1" thickBot="1" x14ac:dyDescent="0.25">
      <c r="A41" s="1426" t="s">
        <v>650</v>
      </c>
      <c r="B41" s="1405"/>
      <c r="C41" s="1594">
        <f>(SUM(C34,C37,C38,C39))</f>
        <v>19413926</v>
      </c>
      <c r="D41" s="1594">
        <f t="shared" ref="D41:L41" si="2">SUM(D34,D37,D38:D39)</f>
        <v>2949029</v>
      </c>
      <c r="E41" s="1594">
        <f t="shared" si="2"/>
        <v>2213957</v>
      </c>
      <c r="F41" s="1594">
        <f t="shared" si="2"/>
        <v>1529459</v>
      </c>
      <c r="G41" s="1594">
        <f t="shared" si="2"/>
        <v>748842</v>
      </c>
      <c r="H41" s="1594">
        <f t="shared" si="2"/>
        <v>5245806</v>
      </c>
      <c r="I41" s="1594">
        <f t="shared" si="2"/>
        <v>4258292</v>
      </c>
      <c r="J41" s="1594">
        <f t="shared" si="2"/>
        <v>4524</v>
      </c>
      <c r="K41" s="1594">
        <f t="shared" si="2"/>
        <v>6938</v>
      </c>
      <c r="L41" s="1594">
        <f t="shared" si="2"/>
        <v>149548</v>
      </c>
      <c r="M41" s="1594">
        <f>SUM(M40)</f>
        <v>56702350</v>
      </c>
      <c r="N41" s="1594">
        <f>SUM(N37)</f>
        <v>7800000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3" activePane="bottomLeft" state="frozen"/>
      <selection pane="bottomLeft" activeCell="A14" sqref="A1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2"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3"/>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4" t="s">
        <v>1167</v>
      </c>
      <c r="B3" s="2245"/>
      <c r="C3" s="1311"/>
      <c r="D3" s="1312"/>
      <c r="E3" s="1312"/>
      <c r="F3" s="1312"/>
      <c r="G3" s="1312"/>
      <c r="H3" s="1312"/>
      <c r="I3" s="1312"/>
      <c r="J3" s="1312"/>
      <c r="K3" s="1313"/>
      <c r="L3" s="446"/>
    </row>
    <row r="4" spans="1:13" ht="15.75" customHeight="1" x14ac:dyDescent="0.2">
      <c r="A4" s="1537" t="s">
        <v>1485</v>
      </c>
      <c r="B4" s="1538">
        <v>1000</v>
      </c>
      <c r="C4" s="1606">
        <f>'Revenues 9-14'!C109</f>
        <v>18891807</v>
      </c>
      <c r="D4" s="1606">
        <f>'Revenues 9-14'!D109</f>
        <v>2167145</v>
      </c>
      <c r="E4" s="1606">
        <f>'Revenues 9-14'!E109</f>
        <v>1819814</v>
      </c>
      <c r="F4" s="1606">
        <f>'Revenues 9-14'!F109</f>
        <v>963807</v>
      </c>
      <c r="G4" s="1606">
        <f>'Revenues 9-14'!G109</f>
        <v>832148</v>
      </c>
      <c r="H4" s="1606">
        <f>'Revenues 9-14'!H109</f>
        <v>28114</v>
      </c>
      <c r="I4" s="1606">
        <f>'Revenues 9-14'!I109</f>
        <v>54208</v>
      </c>
      <c r="J4" s="1606">
        <f>'Revenues 9-14'!J109</f>
        <v>1054</v>
      </c>
      <c r="K4" s="1606">
        <f>'Revenues 9-14'!K109</f>
        <v>1087</v>
      </c>
      <c r="L4" s="325"/>
    </row>
    <row r="5" spans="1:13" ht="15.75" customHeight="1" x14ac:dyDescent="0.2">
      <c r="A5" s="1314" t="s">
        <v>1486</v>
      </c>
      <c r="B5" s="1315">
        <v>2000</v>
      </c>
      <c r="C5" s="1607">
        <f>'Revenues 9-14'!C114</f>
        <v>0</v>
      </c>
      <c r="D5" s="1607">
        <f>'Revenues 9-14'!D114</f>
        <v>0</v>
      </c>
      <c r="E5" s="1608"/>
      <c r="F5" s="1607">
        <f>'Revenues 9-14'!F114</f>
        <v>0</v>
      </c>
      <c r="G5" s="1607">
        <f>'Revenues 9-14'!G114</f>
        <v>0</v>
      </c>
      <c r="H5" s="1609" t="s">
        <v>1161</v>
      </c>
      <c r="I5" s="1610" t="s">
        <v>1161</v>
      </c>
      <c r="J5" s="1611" t="s">
        <v>1161</v>
      </c>
      <c r="K5" s="1612" t="s">
        <v>1161</v>
      </c>
      <c r="L5" s="325"/>
    </row>
    <row r="6" spans="1:13" ht="15.75" customHeight="1" x14ac:dyDescent="0.2">
      <c r="A6" s="1314" t="s">
        <v>1487</v>
      </c>
      <c r="B6" s="1316">
        <v>3000</v>
      </c>
      <c r="C6" s="1607">
        <f>'Revenues 9-14'!C170</f>
        <v>2010768</v>
      </c>
      <c r="D6" s="1607">
        <f>'Revenues 9-14'!D170</f>
        <v>50000</v>
      </c>
      <c r="E6" s="1607">
        <f>'Revenues 9-14'!E170</f>
        <v>0</v>
      </c>
      <c r="F6" s="1607">
        <f>'Revenues 9-14'!F170</f>
        <v>915295</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1488</v>
      </c>
      <c r="B7" s="1316">
        <v>4000</v>
      </c>
      <c r="C7" s="1607">
        <f>'Revenues 9-14'!C267</f>
        <v>1175700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1164</v>
      </c>
      <c r="B8" s="1407"/>
      <c r="C8" s="1594">
        <f>SUM(C4:C7)</f>
        <v>22078275</v>
      </c>
      <c r="D8" s="1594">
        <f t="shared" ref="D8:K8" si="0">SUM(D4:D7)</f>
        <v>2217145</v>
      </c>
      <c r="E8" s="1594">
        <f t="shared" si="0"/>
        <v>1819814</v>
      </c>
      <c r="F8" s="1594">
        <f t="shared" si="0"/>
        <v>1879102</v>
      </c>
      <c r="G8" s="1594">
        <f t="shared" si="0"/>
        <v>832148</v>
      </c>
      <c r="H8" s="1594">
        <f t="shared" si="0"/>
        <v>28114</v>
      </c>
      <c r="I8" s="1594">
        <f t="shared" si="0"/>
        <v>54208</v>
      </c>
      <c r="J8" s="1594">
        <f t="shared" si="0"/>
        <v>1054</v>
      </c>
      <c r="K8" s="1594">
        <f t="shared" si="0"/>
        <v>1087</v>
      </c>
      <c r="L8" s="325"/>
    </row>
    <row r="9" spans="1:13" ht="15.75" thickTop="1" x14ac:dyDescent="0.2">
      <c r="A9" s="449" t="s">
        <v>1637</v>
      </c>
      <c r="B9" s="450">
        <v>3998</v>
      </c>
      <c r="C9" s="1586">
        <v>10866958</v>
      </c>
      <c r="D9" s="1613"/>
      <c r="E9" s="1586"/>
      <c r="F9" s="1586"/>
      <c r="G9" s="1614"/>
      <c r="H9" s="1586"/>
      <c r="I9" s="1609" t="s">
        <v>1161</v>
      </c>
      <c r="J9" s="1583"/>
      <c r="K9" s="1586"/>
      <c r="L9" s="325"/>
    </row>
    <row r="10" spans="1:13" s="452" customFormat="1" ht="13.5" thickBot="1" x14ac:dyDescent="0.25">
      <c r="A10" s="1426" t="s">
        <v>1165</v>
      </c>
      <c r="B10" s="1407"/>
      <c r="C10" s="1594">
        <f>SUM(C8:C9)</f>
        <v>32945233</v>
      </c>
      <c r="D10" s="1594">
        <f t="shared" ref="D10:K10" si="1">SUM(D8:D9)</f>
        <v>2217145</v>
      </c>
      <c r="E10" s="1594">
        <f t="shared" si="1"/>
        <v>1819814</v>
      </c>
      <c r="F10" s="1594">
        <f t="shared" si="1"/>
        <v>1879102</v>
      </c>
      <c r="G10" s="1594">
        <f t="shared" si="1"/>
        <v>832148</v>
      </c>
      <c r="H10" s="1594">
        <f t="shared" si="1"/>
        <v>28114</v>
      </c>
      <c r="I10" s="1594">
        <f t="shared" si="1"/>
        <v>54208</v>
      </c>
      <c r="J10" s="1594">
        <f t="shared" si="1"/>
        <v>1054</v>
      </c>
      <c r="K10" s="1594">
        <f t="shared" si="1"/>
        <v>1087</v>
      </c>
      <c r="L10" s="451"/>
    </row>
    <row r="11" spans="1:13" s="452" customFormat="1" ht="16.7" customHeight="1" thickTop="1" x14ac:dyDescent="0.2">
      <c r="A11" s="2218" t="s">
        <v>1168</v>
      </c>
      <c r="B11" s="2219"/>
      <c r="C11" s="1602"/>
      <c r="D11" s="1603"/>
      <c r="E11" s="1603"/>
      <c r="F11" s="1603"/>
      <c r="G11" s="1603"/>
      <c r="H11" s="1603"/>
      <c r="I11" s="1603"/>
      <c r="J11" s="1603"/>
      <c r="K11" s="1615"/>
      <c r="L11" s="451"/>
    </row>
    <row r="12" spans="1:13" ht="15.75" customHeight="1" x14ac:dyDescent="0.2">
      <c r="A12" s="1314" t="s">
        <v>453</v>
      </c>
      <c r="B12" s="1316">
        <v>1000</v>
      </c>
      <c r="C12" s="1606">
        <f>'Expenditures 15-22'!K33</f>
        <v>15777862</v>
      </c>
      <c r="D12" s="1616" t="s">
        <v>1161</v>
      </c>
      <c r="E12" s="1575" t="s">
        <v>1161</v>
      </c>
      <c r="F12" s="1575" t="s">
        <v>1161</v>
      </c>
      <c r="G12" s="1606">
        <f>'Expenditures 15-22'!K229</f>
        <v>286714</v>
      </c>
      <c r="H12" s="1617"/>
      <c r="I12" s="1575" t="s">
        <v>1161</v>
      </c>
      <c r="J12" s="1575" t="s">
        <v>1161</v>
      </c>
      <c r="K12" s="1617" t="s">
        <v>1161</v>
      </c>
      <c r="L12" s="325"/>
    </row>
    <row r="13" spans="1:13" ht="15.75" customHeight="1" x14ac:dyDescent="0.2">
      <c r="A13" s="1314" t="s">
        <v>454</v>
      </c>
      <c r="B13" s="1316">
        <v>2000</v>
      </c>
      <c r="C13" s="1607">
        <f>'Expenditures 15-22'!K74</f>
        <v>6710092</v>
      </c>
      <c r="D13" s="1607">
        <f>'Expenditures 15-22'!K129</f>
        <v>2162757</v>
      </c>
      <c r="E13" s="1576" t="s">
        <v>1161</v>
      </c>
      <c r="F13" s="1607">
        <f>'Expenditures 15-22'!K184</f>
        <v>1776910</v>
      </c>
      <c r="G13" s="1607">
        <f>'Expenditures 15-22'!K279</f>
        <v>536355</v>
      </c>
      <c r="H13" s="1607">
        <f>'Expenditures 15-22'!K303</f>
        <v>284006</v>
      </c>
      <c r="I13" s="1575" t="s">
        <v>1161</v>
      </c>
      <c r="J13" s="1607">
        <f>'Expenditures 15-22'!K330</f>
        <v>0</v>
      </c>
      <c r="K13" s="1618">
        <f>'Expenditures 15-22'!K352</f>
        <v>0</v>
      </c>
      <c r="L13" s="325"/>
    </row>
    <row r="14" spans="1:13" ht="15.75" customHeight="1" x14ac:dyDescent="0.2">
      <c r="A14" s="1314" t="s">
        <v>446</v>
      </c>
      <c r="B14" s="1316">
        <v>3000</v>
      </c>
      <c r="C14" s="1607">
        <f>'Expenditures 15-22'!K75</f>
        <v>31295</v>
      </c>
      <c r="D14" s="1607">
        <f>'Expenditures 15-22'!K130</f>
        <v>0</v>
      </c>
      <c r="E14" s="1616" t="s">
        <v>1161</v>
      </c>
      <c r="F14" s="1607">
        <f>'Expenditures 15-22'!K185</f>
        <v>0</v>
      </c>
      <c r="G14" s="1607">
        <f>'Expenditures 15-22'!K280</f>
        <v>0</v>
      </c>
      <c r="H14" s="1612"/>
      <c r="I14" s="1575" t="s">
        <v>1161</v>
      </c>
      <c r="J14" s="1575" t="s">
        <v>1161</v>
      </c>
      <c r="K14" s="1612" t="s">
        <v>1161</v>
      </c>
      <c r="L14" s="325"/>
    </row>
    <row r="15" spans="1:13" ht="15.75" customHeight="1" x14ac:dyDescent="0.2">
      <c r="A15" s="1314" t="s">
        <v>107</v>
      </c>
      <c r="B15" s="1316">
        <v>4000</v>
      </c>
      <c r="C15" s="1607">
        <f>'Expenditures 15-22'!K102</f>
        <v>655472</v>
      </c>
      <c r="D15" s="1607">
        <f>'Expenditures 15-22'!K139</f>
        <v>0</v>
      </c>
      <c r="E15" s="1607">
        <f>'Expenditures 15-22'!K160</f>
        <v>0</v>
      </c>
      <c r="F15" s="1607">
        <f>'Expenditures 15-22'!K196</f>
        <v>0</v>
      </c>
      <c r="G15" s="1607">
        <f>'Expenditures 15-22'!K285</f>
        <v>0</v>
      </c>
      <c r="H15" s="1607">
        <f>'Expenditures 15-22'!K310</f>
        <v>0</v>
      </c>
      <c r="I15" s="1575" t="s">
        <v>1161</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1839536</v>
      </c>
      <c r="F16" s="1607">
        <f>'Expenditures 15-22'!K208</f>
        <v>0</v>
      </c>
      <c r="G16" s="1607">
        <f>'Expenditures 15-22'!K293</f>
        <v>0</v>
      </c>
      <c r="H16" s="1620"/>
      <c r="I16" s="1575" t="s">
        <v>1161</v>
      </c>
      <c r="J16" s="1621">
        <f>'Expenditures 15-22'!K340</f>
        <v>0</v>
      </c>
      <c r="K16" s="1607">
        <f>'Expenditures 15-22'!K365</f>
        <v>0</v>
      </c>
      <c r="L16" s="325"/>
    </row>
    <row r="17" spans="1:12" ht="13.5" thickBot="1" x14ac:dyDescent="0.25">
      <c r="A17" s="1406" t="s">
        <v>48</v>
      </c>
      <c r="B17" s="1407"/>
      <c r="C17" s="1594">
        <f t="shared" ref="C17:H17" si="2">SUM(C12:C16)</f>
        <v>23174721</v>
      </c>
      <c r="D17" s="1594">
        <f t="shared" si="2"/>
        <v>2162757</v>
      </c>
      <c r="E17" s="1594">
        <f t="shared" si="2"/>
        <v>1839536</v>
      </c>
      <c r="F17" s="1594">
        <f t="shared" si="2"/>
        <v>1776910</v>
      </c>
      <c r="G17" s="1594">
        <f t="shared" si="2"/>
        <v>823069</v>
      </c>
      <c r="H17" s="1594">
        <f t="shared" si="2"/>
        <v>284006</v>
      </c>
      <c r="I17" s="1575"/>
      <c r="J17" s="1594">
        <f>SUM(J12:J16)</f>
        <v>0</v>
      </c>
      <c r="K17" s="1594">
        <f>SUM(K12:K16)</f>
        <v>0</v>
      </c>
      <c r="L17" s="325"/>
    </row>
    <row r="18" spans="1:12" ht="15" customHeight="1" thickTop="1" x14ac:dyDescent="0.2">
      <c r="A18" s="1430" t="s">
        <v>1638</v>
      </c>
      <c r="B18" s="1431">
        <v>4180</v>
      </c>
      <c r="C18" s="1606">
        <f t="shared" ref="C18:H18" si="3">C9</f>
        <v>10866958</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34041679</v>
      </c>
      <c r="D19" s="1594">
        <f t="shared" si="4"/>
        <v>2162757</v>
      </c>
      <c r="E19" s="1594">
        <f t="shared" si="4"/>
        <v>1839536</v>
      </c>
      <c r="F19" s="1594">
        <f t="shared" si="4"/>
        <v>1776910</v>
      </c>
      <c r="G19" s="1594">
        <f t="shared" si="4"/>
        <v>823069</v>
      </c>
      <c r="H19" s="1594">
        <f t="shared" si="4"/>
        <v>284006</v>
      </c>
      <c r="I19" s="1575"/>
      <c r="J19" s="1594">
        <f>SUM(J17:J18)</f>
        <v>0</v>
      </c>
      <c r="K19" s="1594">
        <f>SUM(K17:K18)</f>
        <v>0</v>
      </c>
      <c r="L19" s="325"/>
    </row>
    <row r="20" spans="1:12" ht="16.5" thickTop="1" thickBot="1" x14ac:dyDescent="0.25">
      <c r="A20" s="2234" t="s">
        <v>1639</v>
      </c>
      <c r="B20" s="2235"/>
      <c r="C20" s="1622">
        <f>C8-C17</f>
        <v>-1096446</v>
      </c>
      <c r="D20" s="1622">
        <f t="shared" ref="D20:K20" si="5">D8-D17</f>
        <v>54388</v>
      </c>
      <c r="E20" s="1622">
        <f t="shared" si="5"/>
        <v>-19722</v>
      </c>
      <c r="F20" s="1622">
        <f t="shared" si="5"/>
        <v>102192</v>
      </c>
      <c r="G20" s="1622">
        <f t="shared" si="5"/>
        <v>9079</v>
      </c>
      <c r="H20" s="1622">
        <f t="shared" si="5"/>
        <v>-255892</v>
      </c>
      <c r="I20" s="1622">
        <f t="shared" si="5"/>
        <v>54208</v>
      </c>
      <c r="J20" s="1622">
        <f t="shared" si="5"/>
        <v>1054</v>
      </c>
      <c r="K20" s="1622">
        <f t="shared" si="5"/>
        <v>1087</v>
      </c>
      <c r="L20" s="325"/>
    </row>
    <row r="21" spans="1:12" ht="16.7" customHeight="1" thickTop="1" x14ac:dyDescent="0.2">
      <c r="A21" s="2246" t="s">
        <v>591</v>
      </c>
      <c r="B21" s="2247"/>
      <c r="C21" s="1602"/>
      <c r="D21" s="1603"/>
      <c r="E21" s="1603"/>
      <c r="F21" s="1603"/>
      <c r="G21" s="1603"/>
      <c r="H21" s="1603"/>
      <c r="I21" s="1603"/>
      <c r="J21" s="1603"/>
      <c r="K21" s="1615"/>
      <c r="L21" s="453"/>
    </row>
    <row r="22" spans="1:12" ht="15.75" customHeight="1" collapsed="1" x14ac:dyDescent="0.2">
      <c r="A22" s="2242" t="s">
        <v>592</v>
      </c>
      <c r="B22" s="2243"/>
      <c r="C22" s="1582"/>
      <c r="D22" s="1582"/>
      <c r="E22" s="1582"/>
      <c r="F22" s="1582"/>
      <c r="G22" s="1582"/>
      <c r="H22" s="1582"/>
      <c r="I22" s="1582"/>
      <c r="J22" s="1582"/>
      <c r="K22" s="1582"/>
      <c r="L22" s="325"/>
    </row>
    <row r="23" spans="1:12" s="433" customFormat="1" ht="15.75" customHeight="1" x14ac:dyDescent="0.2">
      <c r="A23" s="2238" t="s">
        <v>290</v>
      </c>
      <c r="B23" s="2239"/>
      <c r="C23" s="1585"/>
      <c r="D23" s="1582"/>
      <c r="E23" s="1582"/>
      <c r="F23" s="1582"/>
      <c r="G23" s="1582"/>
      <c r="H23" s="1582"/>
      <c r="I23" s="1582"/>
      <c r="J23" s="1582"/>
      <c r="K23" s="1582"/>
      <c r="L23" s="453"/>
    </row>
    <row r="24" spans="1:12" s="433" customFormat="1" ht="13.5" customHeight="1" x14ac:dyDescent="0.2">
      <c r="A24" s="1260" t="s">
        <v>1640</v>
      </c>
      <c r="B24" s="454">
        <v>7110</v>
      </c>
      <c r="C24" s="1574"/>
      <c r="D24" s="1582"/>
      <c r="E24" s="1582"/>
      <c r="F24" s="1582"/>
      <c r="G24" s="1582"/>
      <c r="H24" s="1582"/>
      <c r="I24" s="1582"/>
      <c r="J24" s="1582"/>
      <c r="K24" s="1582"/>
      <c r="L24" s="453"/>
    </row>
    <row r="25" spans="1:12" s="433" customFormat="1" ht="13.5" customHeight="1" x14ac:dyDescent="0.2">
      <c r="A25" s="1260" t="s">
        <v>1641</v>
      </c>
      <c r="B25" s="454">
        <v>7110</v>
      </c>
      <c r="C25" s="1574"/>
      <c r="D25" s="1574"/>
      <c r="E25" s="1574"/>
      <c r="F25" s="1574"/>
      <c r="G25" s="1574"/>
      <c r="H25" s="1574">
        <v>4876967</v>
      </c>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1384</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40" t="s">
        <v>974</v>
      </c>
      <c r="B32" s="2241"/>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v>6310000</v>
      </c>
      <c r="J33" s="1574"/>
      <c r="K33" s="1574"/>
      <c r="L33" s="453"/>
    </row>
    <row r="34" spans="1:12" s="433" customFormat="1" x14ac:dyDescent="0.2">
      <c r="A34" s="1260" t="s">
        <v>994</v>
      </c>
      <c r="B34" s="454">
        <v>7220</v>
      </c>
      <c r="C34" s="1574"/>
      <c r="D34" s="1574"/>
      <c r="E34" s="1574"/>
      <c r="F34" s="1574"/>
      <c r="G34" s="1582"/>
      <c r="H34" s="1583"/>
      <c r="I34" s="1583">
        <v>761497</v>
      </c>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1642</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8" t="s">
        <v>371</v>
      </c>
      <c r="B44" s="2249"/>
      <c r="C44" s="1624">
        <f>SUM(C24:C43)</f>
        <v>0</v>
      </c>
      <c r="D44" s="1624">
        <f t="shared" ref="D44:K44" si="6">SUM(D24:D43)</f>
        <v>0</v>
      </c>
      <c r="E44" s="1624">
        <f t="shared" si="6"/>
        <v>0</v>
      </c>
      <c r="F44" s="1624">
        <f t="shared" si="6"/>
        <v>0</v>
      </c>
      <c r="G44" s="1624">
        <f t="shared" si="6"/>
        <v>0</v>
      </c>
      <c r="H44" s="1624">
        <f t="shared" si="6"/>
        <v>4876967</v>
      </c>
      <c r="I44" s="1624">
        <f t="shared" si="6"/>
        <v>7071497</v>
      </c>
      <c r="J44" s="1624">
        <f t="shared" si="6"/>
        <v>0</v>
      </c>
      <c r="K44" s="1624">
        <f t="shared" si="6"/>
        <v>0</v>
      </c>
      <c r="L44" s="453"/>
    </row>
    <row r="45" spans="1:12" ht="15.75" customHeight="1" thickTop="1" x14ac:dyDescent="0.2">
      <c r="A45" s="2242" t="s">
        <v>108</v>
      </c>
      <c r="B45" s="2243"/>
      <c r="C45" s="1625"/>
      <c r="D45" s="1625"/>
      <c r="E45" s="1625"/>
      <c r="F45" s="1625"/>
      <c r="G45" s="1625"/>
      <c r="H45" s="1625"/>
      <c r="I45" s="1625"/>
      <c r="J45" s="1625"/>
      <c r="K45" s="1625"/>
      <c r="L45" s="325"/>
    </row>
    <row r="46" spans="1:12" s="433" customFormat="1" ht="15.75" customHeight="1" x14ac:dyDescent="0.2">
      <c r="A46" s="2250" t="s">
        <v>109</v>
      </c>
      <c r="B46" s="2251"/>
      <c r="C46" s="1582"/>
      <c r="D46" s="1582"/>
      <c r="E46" s="1582"/>
      <c r="F46" s="1582"/>
      <c r="G46" s="1582"/>
      <c r="H46" s="1582"/>
      <c r="I46" s="1585"/>
      <c r="J46" s="1582"/>
      <c r="K46" s="1582"/>
      <c r="L46" s="456"/>
    </row>
    <row r="47" spans="1:12" s="433" customFormat="1" ht="15" x14ac:dyDescent="0.2">
      <c r="A47" s="1261" t="s">
        <v>1643</v>
      </c>
      <c r="B47" s="432">
        <v>8110</v>
      </c>
      <c r="C47" s="1582"/>
      <c r="D47" s="1582"/>
      <c r="E47" s="1582"/>
      <c r="F47" s="1582"/>
      <c r="G47" s="1582"/>
      <c r="H47" s="1582"/>
      <c r="I47" s="1607">
        <f>SUM(C24,C25:H25,J25:K25)</f>
        <v>4876967</v>
      </c>
      <c r="J47" s="1582"/>
      <c r="K47" s="1582"/>
      <c r="L47" s="456"/>
    </row>
    <row r="48" spans="1:12" s="433" customFormat="1" ht="15" x14ac:dyDescent="0.2">
      <c r="A48" s="1261" t="s">
        <v>1644</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1384</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v>102302</v>
      </c>
      <c r="J75" s="1626"/>
      <c r="K75" s="1628"/>
      <c r="L75" s="453"/>
    </row>
    <row r="76" spans="1:12" s="433" customFormat="1" ht="14.25" thickTop="1" thickBot="1" x14ac:dyDescent="0.25">
      <c r="A76" s="2224" t="s">
        <v>437</v>
      </c>
      <c r="B76" s="2225"/>
      <c r="C76" s="1624">
        <f t="shared" ref="C76:K76" si="7">SUM(C47:C75)</f>
        <v>0</v>
      </c>
      <c r="D76" s="1624">
        <f t="shared" si="7"/>
        <v>0</v>
      </c>
      <c r="E76" s="1624">
        <f t="shared" si="7"/>
        <v>0</v>
      </c>
      <c r="F76" s="1624">
        <f t="shared" si="7"/>
        <v>0</v>
      </c>
      <c r="G76" s="1624">
        <f t="shared" si="7"/>
        <v>0</v>
      </c>
      <c r="H76" s="1624">
        <f t="shared" si="7"/>
        <v>0</v>
      </c>
      <c r="I76" s="1624">
        <f t="shared" si="7"/>
        <v>4979269</v>
      </c>
      <c r="J76" s="1624">
        <f t="shared" si="7"/>
        <v>0</v>
      </c>
      <c r="K76" s="1624">
        <f t="shared" si="7"/>
        <v>0</v>
      </c>
      <c r="L76" s="453"/>
    </row>
    <row r="77" spans="1:12" ht="14.25" thickTop="1" thickBot="1" x14ac:dyDescent="0.25">
      <c r="A77" s="2226" t="s">
        <v>1169</v>
      </c>
      <c r="B77" s="2227"/>
      <c r="C77" s="1624">
        <f t="shared" ref="C77:K77" si="8">C44-C76</f>
        <v>0</v>
      </c>
      <c r="D77" s="1624">
        <f t="shared" si="8"/>
        <v>0</v>
      </c>
      <c r="E77" s="1624">
        <f t="shared" si="8"/>
        <v>0</v>
      </c>
      <c r="F77" s="1624">
        <f t="shared" si="8"/>
        <v>0</v>
      </c>
      <c r="G77" s="1624">
        <f t="shared" si="8"/>
        <v>0</v>
      </c>
      <c r="H77" s="1624">
        <f t="shared" si="8"/>
        <v>4876967</v>
      </c>
      <c r="I77" s="1624">
        <f t="shared" si="8"/>
        <v>2092228</v>
      </c>
      <c r="J77" s="1624">
        <f t="shared" si="8"/>
        <v>0</v>
      </c>
      <c r="K77" s="1624">
        <f t="shared" si="8"/>
        <v>0</v>
      </c>
      <c r="L77" s="325"/>
    </row>
    <row r="78" spans="1:12" ht="21.75" customHeight="1" thickTop="1" thickBot="1" x14ac:dyDescent="0.25">
      <c r="A78" s="2230" t="s">
        <v>593</v>
      </c>
      <c r="B78" s="2231"/>
      <c r="C78" s="1629">
        <f t="shared" ref="C78:K78" si="9">C20+C77</f>
        <v>-1096446</v>
      </c>
      <c r="D78" s="1629">
        <f t="shared" si="9"/>
        <v>54388</v>
      </c>
      <c r="E78" s="1629">
        <f t="shared" si="9"/>
        <v>-19722</v>
      </c>
      <c r="F78" s="1629">
        <f t="shared" si="9"/>
        <v>102192</v>
      </c>
      <c r="G78" s="1629">
        <f t="shared" si="9"/>
        <v>9079</v>
      </c>
      <c r="H78" s="1629">
        <f t="shared" si="9"/>
        <v>4621075</v>
      </c>
      <c r="I78" s="1629">
        <f t="shared" si="9"/>
        <v>2146436</v>
      </c>
      <c r="J78" s="1629">
        <f t="shared" si="9"/>
        <v>1054</v>
      </c>
      <c r="K78" s="1629">
        <f t="shared" si="9"/>
        <v>1087</v>
      </c>
      <c r="L78" s="457"/>
    </row>
    <row r="79" spans="1:12" ht="13.5" thickTop="1" x14ac:dyDescent="0.2">
      <c r="A79" s="1844" t="str">
        <f>"Fund Balances - July 1, "&amp;'AFR20'!E2-1</f>
        <v>Fund Balances - July 1, 2019</v>
      </c>
      <c r="B79" s="458"/>
      <c r="C79" s="1583">
        <f>12814213-1896862</f>
        <v>10917351</v>
      </c>
      <c r="D79" s="1630">
        <v>1963133</v>
      </c>
      <c r="E79" s="1630">
        <v>1326452</v>
      </c>
      <c r="F79" s="1630">
        <v>950624</v>
      </c>
      <c r="G79" s="1630">
        <v>338063</v>
      </c>
      <c r="H79" s="1630">
        <v>548209</v>
      </c>
      <c r="I79" s="1630">
        <v>2111856</v>
      </c>
      <c r="J79" s="1630">
        <v>3470</v>
      </c>
      <c r="K79" s="1630">
        <v>5851</v>
      </c>
      <c r="L79" s="325"/>
    </row>
    <row r="80" spans="1:12" x14ac:dyDescent="0.2">
      <c r="A80" s="2236" t="s">
        <v>1772</v>
      </c>
      <c r="B80" s="2237"/>
      <c r="C80" s="1574"/>
      <c r="D80" s="1574"/>
      <c r="E80" s="1574"/>
      <c r="F80" s="1574"/>
      <c r="G80" s="1574"/>
      <c r="H80" s="1574"/>
      <c r="I80" s="1574"/>
      <c r="J80" s="1574"/>
      <c r="K80" s="1574"/>
      <c r="L80" s="325"/>
    </row>
    <row r="81" spans="1:12" ht="13.5" thickBot="1" x14ac:dyDescent="0.25">
      <c r="A81" s="2228" t="str">
        <f>"Fund Balances - June 30, "&amp;'AFR20'!E2</f>
        <v>Fund Balances - June 30, 2020</v>
      </c>
      <c r="B81" s="2229"/>
      <c r="C81" s="1594">
        <f>(SUM(C78:C80))</f>
        <v>9820905</v>
      </c>
      <c r="D81" s="1594">
        <f>SUM(D78:D80)</f>
        <v>2017521</v>
      </c>
      <c r="E81" s="1594">
        <f t="shared" ref="E81:K81" si="10">SUM(E78:E80)</f>
        <v>1306730</v>
      </c>
      <c r="F81" s="1594">
        <f t="shared" si="10"/>
        <v>1052816</v>
      </c>
      <c r="G81" s="1594">
        <f t="shared" si="10"/>
        <v>347142</v>
      </c>
      <c r="H81" s="1594">
        <f t="shared" si="10"/>
        <v>5169284</v>
      </c>
      <c r="I81" s="1594">
        <f t="shared" si="10"/>
        <v>4258292</v>
      </c>
      <c r="J81" s="1594">
        <f t="shared" si="10"/>
        <v>4524</v>
      </c>
      <c r="K81" s="1594">
        <f t="shared" si="10"/>
        <v>6938</v>
      </c>
      <c r="L81" s="325"/>
    </row>
    <row r="82" spans="1:12" ht="0.75" customHeight="1" thickTop="1" thickBot="1" x14ac:dyDescent="0.25">
      <c r="A82" s="459" t="s">
        <v>340</v>
      </c>
      <c r="B82" s="460"/>
      <c r="C82" s="461">
        <f>(C81-C79)</f>
        <v>-1096446</v>
      </c>
      <c r="D82" s="461">
        <f t="shared" ref="D82:K82" si="11">(D81-D79)</f>
        <v>54388</v>
      </c>
      <c r="E82" s="461">
        <f t="shared" si="11"/>
        <v>-19722</v>
      </c>
      <c r="F82" s="461">
        <f t="shared" si="11"/>
        <v>102192</v>
      </c>
      <c r="G82" s="461">
        <f t="shared" si="11"/>
        <v>9079</v>
      </c>
      <c r="H82" s="461">
        <f t="shared" si="11"/>
        <v>4621075</v>
      </c>
      <c r="I82" s="461">
        <f t="shared" si="11"/>
        <v>2146436</v>
      </c>
      <c r="J82" s="461">
        <f t="shared" si="11"/>
        <v>1054</v>
      </c>
      <c r="K82" s="461">
        <f t="shared" si="11"/>
        <v>1087</v>
      </c>
    </row>
    <row r="83" spans="1:12" ht="14.25" hidden="1" thickTop="1" thickBot="1" x14ac:dyDescent="0.25">
      <c r="A83" s="462" t="s">
        <v>341</v>
      </c>
      <c r="B83" s="428"/>
      <c r="C83" s="463">
        <f>C82/C81</f>
        <v>-0.11164408982675222</v>
      </c>
      <c r="D83" s="463">
        <f t="shared" ref="D83:K83" si="12">D82/D81</f>
        <v>2.6957835878783913E-2</v>
      </c>
      <c r="E83" s="463">
        <f t="shared" si="12"/>
        <v>-1.5092635816121157E-2</v>
      </c>
      <c r="F83" s="463">
        <f t="shared" si="12"/>
        <v>9.7065394142946154E-2</v>
      </c>
      <c r="G83" s="463">
        <f t="shared" si="12"/>
        <v>2.6153562519084409E-2</v>
      </c>
      <c r="H83" s="463">
        <f t="shared" si="12"/>
        <v>0.89394875576578881</v>
      </c>
      <c r="I83" s="463">
        <f t="shared" si="12"/>
        <v>0.50406031338386381</v>
      </c>
      <c r="J83" s="463">
        <f t="shared" si="12"/>
        <v>0.23297966401414677</v>
      </c>
      <c r="K83" s="463">
        <f t="shared" si="12"/>
        <v>0.1566733929086192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80" zoomScaleNormal="80" zoomScaleSheetLayoutView="75" workbookViewId="0">
      <pane ySplit="2" topLeftCell="A140" activePane="bottomLeft" state="frozen"/>
      <selection pane="bottomLeft" activeCell="F152" sqref="F152"/>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2" t="s">
        <v>1779</v>
      </c>
      <c r="B1" s="416"/>
      <c r="C1" s="417" t="s">
        <v>422</v>
      </c>
      <c r="D1" s="417" t="s">
        <v>423</v>
      </c>
      <c r="E1" s="417" t="s">
        <v>424</v>
      </c>
      <c r="F1" s="417" t="s">
        <v>425</v>
      </c>
      <c r="G1" s="417" t="s">
        <v>426</v>
      </c>
      <c r="H1" s="417" t="s">
        <v>427</v>
      </c>
      <c r="I1" s="417" t="s">
        <v>428</v>
      </c>
      <c r="J1" s="417" t="s">
        <v>429</v>
      </c>
      <c r="K1" s="417" t="s">
        <v>751</v>
      </c>
    </row>
    <row r="2" spans="1:12" ht="36" x14ac:dyDescent="0.2">
      <c r="A2" s="2233"/>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1645</v>
      </c>
      <c r="B5" s="470"/>
      <c r="C5" s="1586">
        <v>16690539</v>
      </c>
      <c r="D5" s="1586">
        <v>1846903</v>
      </c>
      <c r="E5" s="1573">
        <v>1804680</v>
      </c>
      <c r="F5" s="1631">
        <v>798412</v>
      </c>
      <c r="G5" s="1573">
        <v>401547</v>
      </c>
      <c r="H5" s="1573">
        <v>0</v>
      </c>
      <c r="I5" s="1573">
        <v>993</v>
      </c>
      <c r="J5" s="1574">
        <v>993</v>
      </c>
      <c r="K5" s="1573">
        <v>994</v>
      </c>
    </row>
    <row r="6" spans="1:12" ht="15" x14ac:dyDescent="0.2">
      <c r="A6" s="427" t="s">
        <v>1646</v>
      </c>
      <c r="B6" s="429">
        <v>1130</v>
      </c>
      <c r="C6" s="1573"/>
      <c r="D6" s="1573"/>
      <c r="E6" s="1580"/>
      <c r="F6" s="1580"/>
      <c r="G6" s="1575"/>
      <c r="H6" s="1575"/>
      <c r="I6" s="1575"/>
      <c r="J6" s="1575"/>
      <c r="K6" s="1575"/>
    </row>
    <row r="7" spans="1:12" x14ac:dyDescent="0.2">
      <c r="A7" s="427" t="s">
        <v>110</v>
      </c>
      <c r="B7" s="471">
        <v>1140</v>
      </c>
      <c r="C7" s="1573">
        <v>1247840</v>
      </c>
      <c r="D7" s="1573"/>
      <c r="E7" s="1575"/>
      <c r="F7" s="1574"/>
      <c r="G7" s="1574"/>
      <c r="H7" s="1574"/>
      <c r="I7" s="1575"/>
      <c r="J7" s="1575"/>
      <c r="K7" s="1575"/>
    </row>
    <row r="8" spans="1:12" x14ac:dyDescent="0.2">
      <c r="A8" s="427" t="s">
        <v>410</v>
      </c>
      <c r="B8" s="429">
        <v>1150</v>
      </c>
      <c r="C8" s="1580"/>
      <c r="D8" s="1580"/>
      <c r="E8" s="1582"/>
      <c r="F8" s="1582"/>
      <c r="G8" s="1586">
        <v>397427</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17938379</v>
      </c>
      <c r="D12" s="1633">
        <f t="shared" si="0"/>
        <v>1846903</v>
      </c>
      <c r="E12" s="1633">
        <f t="shared" si="0"/>
        <v>1804680</v>
      </c>
      <c r="F12" s="1633">
        <f t="shared" si="0"/>
        <v>798412</v>
      </c>
      <c r="G12" s="1633">
        <f t="shared" si="0"/>
        <v>798974</v>
      </c>
      <c r="H12" s="1633">
        <f t="shared" si="0"/>
        <v>0</v>
      </c>
      <c r="I12" s="1633">
        <f t="shared" si="0"/>
        <v>993</v>
      </c>
      <c r="J12" s="1633">
        <f t="shared" si="0"/>
        <v>993</v>
      </c>
      <c r="K12" s="1594">
        <f t="shared" si="0"/>
        <v>994</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1647</v>
      </c>
      <c r="B16" s="471">
        <v>1230</v>
      </c>
      <c r="C16" s="1632"/>
      <c r="D16" s="1573">
        <v>162368</v>
      </c>
      <c r="E16" s="1573"/>
      <c r="F16" s="1573">
        <v>153285</v>
      </c>
      <c r="G16" s="1573">
        <v>31792</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162368</v>
      </c>
      <c r="E18" s="1635">
        <f t="shared" si="1"/>
        <v>0</v>
      </c>
      <c r="F18" s="1635">
        <f t="shared" si="1"/>
        <v>153285</v>
      </c>
      <c r="G18" s="1635">
        <f t="shared" si="1"/>
        <v>31792</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1066</v>
      </c>
      <c r="B20" s="429">
        <v>1311</v>
      </c>
      <c r="C20" s="1573">
        <v>199418</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1067</v>
      </c>
      <c r="B22" s="429">
        <v>1313</v>
      </c>
      <c r="C22" s="1632"/>
      <c r="D22" s="1575"/>
      <c r="E22" s="1575"/>
      <c r="F22" s="1575"/>
      <c r="G22" s="1575"/>
      <c r="H22" s="1575"/>
      <c r="I22" s="1575"/>
      <c r="J22" s="1575"/>
      <c r="K22" s="1575"/>
    </row>
    <row r="23" spans="1:11" ht="12.75" customHeight="1" x14ac:dyDescent="0.2">
      <c r="A23" s="427" t="s">
        <v>1068</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1094</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199418</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1069</v>
      </c>
      <c r="B42" s="429">
        <v>1411</v>
      </c>
      <c r="C42" s="1575"/>
      <c r="D42" s="1575"/>
      <c r="E42" s="1575"/>
      <c r="F42" s="1586">
        <v>3948</v>
      </c>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1166</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1099</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1100</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1101</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3948</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251126</v>
      </c>
      <c r="D65" s="1573">
        <v>27822</v>
      </c>
      <c r="E65" s="1573">
        <v>15134</v>
      </c>
      <c r="F65" s="1574">
        <v>8162</v>
      </c>
      <c r="G65" s="1573">
        <v>1382</v>
      </c>
      <c r="H65" s="1573">
        <v>28114</v>
      </c>
      <c r="I65" s="1573">
        <v>53215</v>
      </c>
      <c r="J65" s="1574">
        <v>61</v>
      </c>
      <c r="K65" s="1573">
        <v>93</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251126</v>
      </c>
      <c r="D67" s="1594">
        <f t="shared" ref="D67:K67" si="2">SUM(D65:D66)</f>
        <v>27822</v>
      </c>
      <c r="E67" s="1594">
        <f t="shared" si="2"/>
        <v>15134</v>
      </c>
      <c r="F67" s="1594">
        <f t="shared" si="2"/>
        <v>8162</v>
      </c>
      <c r="G67" s="1594">
        <f t="shared" si="2"/>
        <v>1382</v>
      </c>
      <c r="H67" s="1594">
        <f t="shared" si="2"/>
        <v>28114</v>
      </c>
      <c r="I67" s="1594">
        <f t="shared" si="2"/>
        <v>53215</v>
      </c>
      <c r="J67" s="1594">
        <f t="shared" si="2"/>
        <v>61</v>
      </c>
      <c r="K67" s="1594">
        <f t="shared" si="2"/>
        <v>93</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188500</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188500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290845</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v>3680</v>
      </c>
      <c r="D92" s="1575"/>
      <c r="E92" s="1575"/>
      <c r="F92" s="1575"/>
      <c r="G92" s="1575"/>
      <c r="H92" s="1575"/>
      <c r="I92" s="1575"/>
      <c r="J92" s="1575"/>
      <c r="K92" s="1575"/>
    </row>
    <row r="93" spans="1:11" ht="12.75" customHeight="1" thickBot="1" x14ac:dyDescent="0.25">
      <c r="A93" s="1406" t="s">
        <v>241</v>
      </c>
      <c r="B93" s="1407"/>
      <c r="C93" s="1594">
        <f>SUM(C84:C92)</f>
        <v>294525</v>
      </c>
      <c r="D93" s="1575"/>
      <c r="E93" s="1575"/>
      <c r="F93" s="1575"/>
      <c r="G93" s="1575"/>
      <c r="H93" s="1575"/>
      <c r="I93" s="1575"/>
      <c r="J93" s="1575"/>
      <c r="K93" s="1575"/>
    </row>
    <row r="94" spans="1:11" ht="15.75" customHeight="1" thickTop="1" x14ac:dyDescent="0.2">
      <c r="A94" s="1330" t="s">
        <v>1129</v>
      </c>
      <c r="B94" s="1332">
        <v>1900</v>
      </c>
      <c r="C94" s="1634"/>
      <c r="D94" s="1617"/>
      <c r="E94" s="1575"/>
      <c r="F94" s="1575"/>
      <c r="G94" s="1575"/>
      <c r="H94" s="1575"/>
      <c r="I94" s="1575"/>
      <c r="J94" s="1575"/>
      <c r="K94" s="1575"/>
    </row>
    <row r="95" spans="1:11" ht="12.75" customHeight="1" x14ac:dyDescent="0.2">
      <c r="A95" s="427" t="s">
        <v>1057</v>
      </c>
      <c r="B95" s="429">
        <v>1910</v>
      </c>
      <c r="C95" s="1573"/>
      <c r="D95" s="1632">
        <v>102526</v>
      </c>
      <c r="E95" s="1617"/>
      <c r="F95" s="1617"/>
      <c r="G95" s="1617"/>
      <c r="H95" s="1617"/>
      <c r="I95" s="1617"/>
      <c r="J95" s="1617"/>
      <c r="K95" s="1617"/>
    </row>
    <row r="96" spans="1:11" ht="12.75" customHeight="1" x14ac:dyDescent="0.2">
      <c r="A96" s="427" t="s">
        <v>388</v>
      </c>
      <c r="B96" s="429">
        <v>1920</v>
      </c>
      <c r="C96" s="1632">
        <f>6060+300</f>
        <v>6360</v>
      </c>
      <c r="D96" s="1632"/>
      <c r="E96" s="1584"/>
      <c r="F96" s="1583"/>
      <c r="G96" s="1583"/>
      <c r="H96" s="1583"/>
      <c r="I96" s="1583"/>
      <c r="J96" s="1583"/>
      <c r="K96" s="1583"/>
    </row>
    <row r="97" spans="1:12" ht="12.75" customHeight="1" x14ac:dyDescent="0.2">
      <c r="A97" s="1265" t="s">
        <v>242</v>
      </c>
      <c r="B97" s="477">
        <v>1930</v>
      </c>
      <c r="C97" s="1598"/>
      <c r="D97" s="1574">
        <v>2546</v>
      </c>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3356</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1416</v>
      </c>
      <c r="B106" s="429">
        <v>1993</v>
      </c>
      <c r="C106" s="1573">
        <v>10143</v>
      </c>
      <c r="D106" s="1598"/>
      <c r="E106" s="1574"/>
      <c r="F106" s="1574"/>
      <c r="G106" s="1574"/>
      <c r="H106" s="1574"/>
      <c r="I106" s="1617"/>
      <c r="J106" s="1574"/>
      <c r="K106" s="1574"/>
    </row>
    <row r="107" spans="1:12" ht="12.75" customHeight="1" x14ac:dyDescent="0.2">
      <c r="A107" s="427" t="s">
        <v>78</v>
      </c>
      <c r="B107" s="429">
        <v>1999</v>
      </c>
      <c r="C107" s="1632"/>
      <c r="D107" s="1573">
        <v>24980</v>
      </c>
      <c r="E107" s="1573"/>
      <c r="F107" s="1573"/>
      <c r="G107" s="1573"/>
      <c r="H107" s="1573"/>
      <c r="I107" s="1573"/>
      <c r="J107" s="1574"/>
      <c r="K107" s="1573"/>
    </row>
    <row r="108" spans="1:12" ht="12.75" customHeight="1" thickBot="1" x14ac:dyDescent="0.25">
      <c r="A108" s="1406" t="s">
        <v>484</v>
      </c>
      <c r="B108" s="1408"/>
      <c r="C108" s="1633">
        <f>SUM(C95:C107)</f>
        <v>19859</v>
      </c>
      <c r="D108" s="1633">
        <f t="shared" ref="D108:K108" si="3">SUM(D95:D107)</f>
        <v>130052</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18891807</v>
      </c>
      <c r="D109" s="1641">
        <f t="shared" si="4"/>
        <v>2167145</v>
      </c>
      <c r="E109" s="1641">
        <f t="shared" si="4"/>
        <v>1819814</v>
      </c>
      <c r="F109" s="1641">
        <f t="shared" si="4"/>
        <v>963807</v>
      </c>
      <c r="G109" s="1641">
        <f t="shared" si="4"/>
        <v>832148</v>
      </c>
      <c r="H109" s="1641">
        <f t="shared" si="4"/>
        <v>28114</v>
      </c>
      <c r="I109" s="1641">
        <f t="shared" si="4"/>
        <v>54208</v>
      </c>
      <c r="J109" s="1641">
        <f t="shared" si="4"/>
        <v>1054</v>
      </c>
      <c r="K109" s="1629">
        <f t="shared" si="4"/>
        <v>1087</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1161</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1477</v>
      </c>
      <c r="B116" s="1334"/>
      <c r="C116" s="1643"/>
      <c r="D116" s="1617"/>
      <c r="E116" s="1640"/>
      <c r="F116" s="1617"/>
      <c r="G116" s="1617"/>
      <c r="H116" s="1640"/>
      <c r="I116" s="1575"/>
      <c r="J116" s="1617"/>
      <c r="K116" s="1617"/>
    </row>
    <row r="117" spans="1:11" ht="12.75" customHeight="1" x14ac:dyDescent="0.2">
      <c r="A117" s="427" t="s">
        <v>1651</v>
      </c>
      <c r="B117" s="478">
        <v>3001</v>
      </c>
      <c r="C117" s="1613">
        <v>1690537</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1690537</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1476</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229839</v>
      </c>
      <c r="D125" s="1640"/>
      <c r="E125" s="1575"/>
      <c r="F125" s="1631"/>
      <c r="G125" s="1575"/>
      <c r="H125" s="1575"/>
      <c r="I125" s="1575"/>
      <c r="J125" s="1575"/>
      <c r="K125" s="1575"/>
    </row>
    <row r="126" spans="1:11" ht="12.75" customHeight="1" x14ac:dyDescent="0.2">
      <c r="A126" s="427" t="s">
        <v>1432</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86612</v>
      </c>
      <c r="D128" s="1640"/>
      <c r="E128" s="1575"/>
      <c r="F128" s="1573"/>
      <c r="G128" s="1575"/>
      <c r="H128" s="1575"/>
      <c r="I128" s="1575"/>
      <c r="J128" s="1575"/>
      <c r="K128" s="1575"/>
    </row>
    <row r="129" spans="1:11" ht="12.75" customHeight="1" x14ac:dyDescent="0.2">
      <c r="A129" s="427" t="s">
        <v>1433</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316451</v>
      </c>
      <c r="D132" s="1633">
        <f>SUM(D125:D131)</f>
        <v>0</v>
      </c>
      <c r="E132" s="1576" t="s">
        <v>1161</v>
      </c>
      <c r="F132" s="1633">
        <f>SUM(F125:F131)</f>
        <v>0</v>
      </c>
      <c r="G132" s="1575" t="s">
        <v>1161</v>
      </c>
      <c r="H132" s="1575" t="s">
        <v>1161</v>
      </c>
      <c r="I132" s="1575" t="s">
        <v>1161</v>
      </c>
      <c r="J132" s="1575" t="s">
        <v>1161</v>
      </c>
      <c r="K132" s="1575" t="s">
        <v>1161</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1910</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1910</v>
      </c>
      <c r="D141" s="1633">
        <f>SUM(D134:D140)</f>
        <v>0</v>
      </c>
      <c r="E141" s="1640" t="s">
        <v>1161</v>
      </c>
      <c r="F141" s="1582"/>
      <c r="G141" s="1633">
        <f>SUM(G134:G140)</f>
        <v>0</v>
      </c>
      <c r="H141" s="1575" t="s">
        <v>1161</v>
      </c>
      <c r="I141" s="1575" t="s">
        <v>1161</v>
      </c>
      <c r="J141" s="1575" t="s">
        <v>1161</v>
      </c>
      <c r="K141" s="1575" t="s">
        <v>1161</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1049</v>
      </c>
      <c r="B146" s="482">
        <v>3360</v>
      </c>
      <c r="C146" s="1646">
        <v>1870</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1434</v>
      </c>
      <c r="B152" s="478">
        <v>3500</v>
      </c>
      <c r="C152" s="1632"/>
      <c r="D152" s="1573"/>
      <c r="E152" s="1640"/>
      <c r="F152" s="1573">
        <v>578944</v>
      </c>
      <c r="G152" s="1574"/>
      <c r="H152" s="1575"/>
      <c r="I152" s="1575"/>
      <c r="J152" s="1575"/>
      <c r="K152" s="1575"/>
    </row>
    <row r="153" spans="1:11" ht="12.75" customHeight="1" x14ac:dyDescent="0.2">
      <c r="A153" s="427" t="s">
        <v>1050</v>
      </c>
      <c r="B153" s="478">
        <v>3510</v>
      </c>
      <c r="C153" s="1632"/>
      <c r="D153" s="1573"/>
      <c r="E153" s="1640"/>
      <c r="F153" s="1573">
        <v>336351</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915295</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1044</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1435</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2" t="s">
        <v>395</v>
      </c>
      <c r="B169" s="2253"/>
      <c r="C169" s="1658">
        <f t="shared" ref="C169:K169" si="6">SUM(C132,C141,C145,C146:C150,C155,C156:C167,C168)</f>
        <v>320231</v>
      </c>
      <c r="D169" s="1658">
        <f t="shared" si="6"/>
        <v>50000</v>
      </c>
      <c r="E169" s="1658">
        <f t="shared" si="6"/>
        <v>0</v>
      </c>
      <c r="F169" s="1658">
        <f t="shared" si="6"/>
        <v>915295</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2010768</v>
      </c>
      <c r="D170" s="1641">
        <f t="shared" si="7"/>
        <v>50000</v>
      </c>
      <c r="E170" s="1641">
        <f t="shared" si="7"/>
        <v>0</v>
      </c>
      <c r="F170" s="1641">
        <f t="shared" si="7"/>
        <v>915295</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4" t="s">
        <v>1478</v>
      </c>
      <c r="B172" s="2255"/>
      <c r="C172" s="1616"/>
      <c r="D172" s="1616"/>
      <c r="E172" s="1609"/>
      <c r="F172" s="1575"/>
      <c r="G172" s="1575"/>
      <c r="H172" s="1575"/>
      <c r="I172" s="1575"/>
      <c r="J172" s="1575"/>
      <c r="K172" s="1575"/>
    </row>
    <row r="173" spans="1:11" ht="12.6" customHeight="1" x14ac:dyDescent="0.2">
      <c r="A173" s="436" t="s">
        <v>1037</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8" t="s">
        <v>1649</v>
      </c>
      <c r="B175" s="225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2" t="s">
        <v>1648</v>
      </c>
      <c r="B176" s="2263"/>
      <c r="C176" s="1659"/>
      <c r="D176" s="1660"/>
      <c r="E176" s="1661"/>
      <c r="F176" s="1662"/>
      <c r="G176" s="1662"/>
      <c r="H176" s="1662"/>
      <c r="I176" s="1662"/>
      <c r="J176" s="1662"/>
      <c r="K176" s="1662"/>
    </row>
    <row r="177" spans="1:11" ht="12.75" customHeight="1" x14ac:dyDescent="0.2">
      <c r="A177" s="427" t="s">
        <v>1038</v>
      </c>
      <c r="B177" s="429">
        <v>4045</v>
      </c>
      <c r="C177" s="1632"/>
      <c r="D177" s="1575"/>
      <c r="E177" s="1640"/>
      <c r="F177" s="1575"/>
      <c r="G177" s="1575"/>
      <c r="H177" s="1575"/>
      <c r="I177" s="1575"/>
      <c r="J177" s="1575"/>
      <c r="K177" s="1575"/>
    </row>
    <row r="178" spans="1:11" ht="12.75" customHeight="1" x14ac:dyDescent="0.2">
      <c r="A178" s="427" t="s">
        <v>1039</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0" t="s">
        <v>780</v>
      </c>
      <c r="B181" s="226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6" t="s">
        <v>1780</v>
      </c>
      <c r="B182" s="2257"/>
      <c r="C182" s="1663"/>
      <c r="D182" s="1645"/>
      <c r="E182" s="1609"/>
      <c r="F182" s="1645"/>
      <c r="G182" s="1645"/>
      <c r="H182" s="1575"/>
      <c r="I182" s="1575"/>
      <c r="J182" s="1575"/>
      <c r="K182" s="1575"/>
    </row>
    <row r="183" spans="1:11" ht="15.75" customHeight="1" x14ac:dyDescent="0.2">
      <c r="A183" s="1341" t="s">
        <v>1588</v>
      </c>
      <c r="B183" s="1342"/>
      <c r="C183" s="1643"/>
      <c r="D183" s="1617"/>
      <c r="E183" s="1609"/>
      <c r="F183" s="1617"/>
      <c r="G183" s="1617"/>
      <c r="H183" s="1575"/>
      <c r="I183" s="1575"/>
      <c r="J183" s="1575"/>
      <c r="K183" s="1575"/>
    </row>
    <row r="184" spans="1:11" ht="12.75" customHeight="1" x14ac:dyDescent="0.2">
      <c r="A184" s="427" t="s">
        <v>1589</v>
      </c>
      <c r="B184" s="429">
        <v>4100</v>
      </c>
      <c r="C184" s="1613"/>
      <c r="D184" s="1586"/>
      <c r="E184" s="1640"/>
      <c r="F184" s="1586"/>
      <c r="G184" s="1586"/>
      <c r="H184" s="1575"/>
      <c r="I184" s="1575"/>
      <c r="J184" s="1575"/>
      <c r="K184" s="1575"/>
    </row>
    <row r="185" spans="1:11" ht="12.75" customHeight="1" x14ac:dyDescent="0.2">
      <c r="A185" s="427" t="s">
        <v>1590</v>
      </c>
      <c r="B185" s="429">
        <v>4105</v>
      </c>
      <c r="C185" s="1632"/>
      <c r="D185" s="1573"/>
      <c r="E185" s="1640"/>
      <c r="F185" s="1573"/>
      <c r="G185" s="1573"/>
      <c r="H185" s="1575"/>
      <c r="I185" s="1575"/>
      <c r="J185" s="1575"/>
      <c r="K185" s="1575"/>
    </row>
    <row r="186" spans="1:11" ht="12.75" customHeight="1" x14ac:dyDescent="0.2">
      <c r="A186" s="427" t="s">
        <v>1592</v>
      </c>
      <c r="B186" s="429">
        <v>4107</v>
      </c>
      <c r="C186" s="1632"/>
      <c r="D186" s="1573"/>
      <c r="E186" s="1640"/>
      <c r="F186" s="1573"/>
      <c r="G186" s="1573"/>
      <c r="H186" s="1575"/>
      <c r="I186" s="1575"/>
      <c r="J186" s="1575"/>
      <c r="K186" s="1575"/>
    </row>
    <row r="187" spans="1:11" ht="12.75" customHeight="1" x14ac:dyDescent="0.2">
      <c r="A187" s="427" t="s">
        <v>1591</v>
      </c>
      <c r="B187" s="429">
        <v>4199</v>
      </c>
      <c r="C187" s="1632"/>
      <c r="D187" s="1573"/>
      <c r="E187" s="1640"/>
      <c r="F187" s="1573"/>
      <c r="G187" s="1573"/>
      <c r="H187" s="1575"/>
      <c r="I187" s="1575"/>
      <c r="J187" s="1575"/>
      <c r="K187" s="1575"/>
    </row>
    <row r="188" spans="1:11" ht="12.75" customHeight="1" thickBot="1" x14ac:dyDescent="0.25">
      <c r="A188" s="1406" t="s">
        <v>1593</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1436</v>
      </c>
      <c r="B190" s="429">
        <v>4200</v>
      </c>
      <c r="C190" s="1574"/>
      <c r="D190" s="1575"/>
      <c r="E190" s="1640"/>
      <c r="F190" s="1634"/>
      <c r="G190" s="1664"/>
      <c r="H190" s="1575"/>
      <c r="I190" s="1575"/>
      <c r="J190" s="1575"/>
      <c r="K190" s="1575"/>
    </row>
    <row r="191" spans="1:11" ht="12.75" customHeight="1" x14ac:dyDescent="0.2">
      <c r="A191" s="427" t="s">
        <v>1051</v>
      </c>
      <c r="B191" s="429">
        <v>4210</v>
      </c>
      <c r="C191" s="1573">
        <v>109548</v>
      </c>
      <c r="D191" s="1575"/>
      <c r="E191" s="1640"/>
      <c r="F191" s="1575"/>
      <c r="G191" s="1664"/>
      <c r="H191" s="1575"/>
      <c r="I191" s="1575"/>
      <c r="J191" s="1575"/>
      <c r="K191" s="1575"/>
    </row>
    <row r="192" spans="1:11" ht="12.75" customHeight="1" x14ac:dyDescent="0.2">
      <c r="A192" s="427" t="s">
        <v>1040</v>
      </c>
      <c r="B192" s="429">
        <v>4215</v>
      </c>
      <c r="C192" s="1632">
        <v>970</v>
      </c>
      <c r="D192" s="1575"/>
      <c r="E192" s="1640"/>
      <c r="F192" s="1575"/>
      <c r="G192" s="1664"/>
      <c r="H192" s="1575"/>
      <c r="I192" s="1575"/>
      <c r="J192" s="1575"/>
      <c r="K192" s="1575"/>
    </row>
    <row r="193" spans="1:11" ht="12.75" customHeight="1" x14ac:dyDescent="0.2">
      <c r="A193" s="427" t="s">
        <v>1052</v>
      </c>
      <c r="B193" s="429">
        <v>4220</v>
      </c>
      <c r="C193" s="1632"/>
      <c r="D193" s="1575"/>
      <c r="E193" s="1640"/>
      <c r="F193" s="1575"/>
      <c r="G193" s="1664"/>
      <c r="H193" s="1575"/>
      <c r="I193" s="1575"/>
      <c r="J193" s="1575"/>
      <c r="K193" s="1575"/>
    </row>
    <row r="194" spans="1:11" ht="12.75" customHeight="1" x14ac:dyDescent="0.2">
      <c r="A194" s="427" t="s">
        <v>1437</v>
      </c>
      <c r="B194" s="429">
        <v>4225</v>
      </c>
      <c r="C194" s="1632"/>
      <c r="D194" s="1575"/>
      <c r="E194" s="1640"/>
      <c r="F194" s="1575"/>
      <c r="G194" s="1664"/>
      <c r="H194" s="1575"/>
      <c r="I194" s="1575"/>
      <c r="J194" s="1575"/>
      <c r="K194" s="1575"/>
    </row>
    <row r="195" spans="1:11" ht="12.75" customHeight="1" x14ac:dyDescent="0.2">
      <c r="A195" s="427" t="s">
        <v>1438</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110518</v>
      </c>
      <c r="D198" s="1575"/>
      <c r="E198" s="1575"/>
      <c r="F198" s="1575"/>
      <c r="G198" s="1594">
        <f>SUM(G190:G197)</f>
        <v>0</v>
      </c>
      <c r="H198" s="1575"/>
      <c r="I198" s="1575"/>
      <c r="J198" s="1575"/>
      <c r="K198" s="1575"/>
    </row>
    <row r="199" spans="1:11" ht="15.75" customHeight="1" thickTop="1" x14ac:dyDescent="0.2">
      <c r="A199" s="1338" t="s">
        <v>1130</v>
      </c>
      <c r="B199" s="1343"/>
      <c r="C199" s="1634"/>
      <c r="D199" s="1575"/>
      <c r="E199" s="1575"/>
      <c r="F199" s="1575"/>
      <c r="G199" s="1575"/>
      <c r="H199" s="1575"/>
      <c r="I199" s="1575"/>
      <c r="J199" s="1575"/>
      <c r="K199" s="1575"/>
    </row>
    <row r="200" spans="1:11" ht="12.75" customHeight="1" x14ac:dyDescent="0.2">
      <c r="A200" s="427" t="s">
        <v>912</v>
      </c>
      <c r="B200" s="429">
        <v>4300</v>
      </c>
      <c r="C200" s="1573">
        <v>240979</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240979</v>
      </c>
      <c r="D204" s="1633">
        <f>SUM(D200:D203)</f>
        <v>0</v>
      </c>
      <c r="E204" s="1575"/>
      <c r="F204" s="1633">
        <f>SUM(F200:F203)</f>
        <v>0</v>
      </c>
      <c r="G204" s="1633">
        <f>SUM(G200:G203)</f>
        <v>0</v>
      </c>
      <c r="H204" s="1575"/>
      <c r="I204" s="1575"/>
      <c r="J204" s="1575"/>
      <c r="K204" s="1575"/>
    </row>
    <row r="205" spans="1:11" ht="15.75" customHeight="1" thickTop="1" x14ac:dyDescent="0.2">
      <c r="A205" s="1338" t="s">
        <v>1131</v>
      </c>
      <c r="B205" s="1343"/>
      <c r="C205" s="1634"/>
      <c r="D205" s="1634"/>
      <c r="E205" s="1575"/>
      <c r="F205" s="1634"/>
      <c r="G205" s="1634"/>
      <c r="H205" s="1575"/>
      <c r="I205" s="1575"/>
      <c r="J205" s="1575"/>
      <c r="K205" s="1575"/>
    </row>
    <row r="206" spans="1:11" ht="12.75" customHeight="1" x14ac:dyDescent="0.2">
      <c r="A206" s="427" t="s">
        <v>754</v>
      </c>
      <c r="B206" s="429">
        <v>4400</v>
      </c>
      <c r="C206" s="1632">
        <v>7160</v>
      </c>
      <c r="D206" s="1573"/>
      <c r="E206" s="1575"/>
      <c r="F206" s="1573"/>
      <c r="G206" s="1573"/>
      <c r="H206" s="1575"/>
      <c r="I206" s="1575"/>
      <c r="J206" s="1575"/>
      <c r="K206" s="1575"/>
    </row>
    <row r="207" spans="1:11" ht="12.75" customHeight="1" x14ac:dyDescent="0.2">
      <c r="A207" s="427" t="s">
        <v>1439</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7160</v>
      </c>
      <c r="D209" s="1633">
        <f>SUM(D206:D208)</f>
        <v>0</v>
      </c>
      <c r="E209" s="1575" t="s">
        <v>1161</v>
      </c>
      <c r="F209" s="1633">
        <f>SUM(F206:F208)</f>
        <v>0</v>
      </c>
      <c r="G209" s="1633">
        <f>SUM(G206:G208)</f>
        <v>0</v>
      </c>
      <c r="H209" s="1575"/>
      <c r="I209" s="1575"/>
      <c r="J209" s="1575"/>
      <c r="K209" s="1575"/>
    </row>
    <row r="210" spans="1:11" ht="15.75" customHeight="1" thickTop="1" x14ac:dyDescent="0.2">
      <c r="A210" s="1338" t="s">
        <v>1085</v>
      </c>
      <c r="B210" s="1343"/>
      <c r="C210" s="1634"/>
      <c r="D210" s="1634"/>
      <c r="E210" s="1575"/>
      <c r="F210" s="1634"/>
      <c r="G210" s="1634"/>
      <c r="H210" s="1575"/>
      <c r="I210" s="1575"/>
      <c r="J210" s="1575"/>
      <c r="K210" s="1575"/>
    </row>
    <row r="211" spans="1:11" ht="12.75" customHeight="1" x14ac:dyDescent="0.2">
      <c r="A211" s="427" t="s">
        <v>1045</v>
      </c>
      <c r="B211" s="429">
        <v>4600</v>
      </c>
      <c r="C211" s="1632"/>
      <c r="D211" s="1573"/>
      <c r="E211" s="1575"/>
      <c r="F211" s="1573"/>
      <c r="G211" s="1573"/>
      <c r="H211" s="1575"/>
      <c r="I211" s="1575"/>
      <c r="J211" s="1575"/>
      <c r="K211" s="1575"/>
    </row>
    <row r="212" spans="1:11" ht="12.75" customHeight="1" x14ac:dyDescent="0.2">
      <c r="A212" s="427" t="s">
        <v>1046</v>
      </c>
      <c r="B212" s="429">
        <v>4605</v>
      </c>
      <c r="C212" s="1632"/>
      <c r="D212" s="1573"/>
      <c r="E212" s="1575"/>
      <c r="F212" s="1573"/>
      <c r="G212" s="1573"/>
      <c r="H212" s="1575"/>
      <c r="I212" s="1575"/>
      <c r="J212" s="1575"/>
      <c r="K212" s="1575"/>
    </row>
    <row r="213" spans="1:11" ht="12.75" customHeight="1" x14ac:dyDescent="0.2">
      <c r="A213" s="427" t="s">
        <v>1440</v>
      </c>
      <c r="B213" s="475">
        <v>4620</v>
      </c>
      <c r="C213" s="1632">
        <f>501279+30936+50984</f>
        <v>583199</v>
      </c>
      <c r="D213" s="1573"/>
      <c r="E213" s="1575"/>
      <c r="F213" s="1573"/>
      <c r="G213" s="1573"/>
      <c r="H213" s="1575"/>
      <c r="I213" s="1575"/>
      <c r="J213" s="1575"/>
      <c r="K213" s="1575"/>
    </row>
    <row r="214" spans="1:11" ht="12.75" customHeight="1" x14ac:dyDescent="0.2">
      <c r="A214" s="427" t="s">
        <v>1047</v>
      </c>
      <c r="B214" s="429">
        <v>4625</v>
      </c>
      <c r="C214" s="1632"/>
      <c r="D214" s="1573"/>
      <c r="E214" s="1575"/>
      <c r="F214" s="1573"/>
      <c r="G214" s="1573"/>
      <c r="H214" s="1575"/>
      <c r="I214" s="1575"/>
      <c r="J214" s="1575"/>
      <c r="K214" s="1575"/>
    </row>
    <row r="215" spans="1:11" ht="12.75" customHeight="1" x14ac:dyDescent="0.2">
      <c r="A215" s="427" t="s">
        <v>1048</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583199</v>
      </c>
      <c r="D217" s="1633">
        <f>SUM(D211:D216)</f>
        <v>0</v>
      </c>
      <c r="E217" s="1575"/>
      <c r="F217" s="1633">
        <f>SUM(F211:F216)</f>
        <v>0</v>
      </c>
      <c r="G217" s="1633">
        <f>SUM(G211:G216)</f>
        <v>0</v>
      </c>
      <c r="H217" s="1575"/>
      <c r="I217" s="1575"/>
      <c r="J217" s="1575"/>
      <c r="K217" s="1575"/>
    </row>
    <row r="218" spans="1:11" ht="15.75" customHeight="1" thickTop="1" x14ac:dyDescent="0.2">
      <c r="A218" s="1338" t="s">
        <v>1086</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1078</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1120</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1441</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1407</v>
      </c>
      <c r="B253" s="487">
        <v>4901</v>
      </c>
      <c r="C253" s="1666"/>
      <c r="D253" s="1576"/>
      <c r="E253" s="1575"/>
      <c r="F253" s="1575"/>
      <c r="G253" s="1575"/>
      <c r="H253" s="1575"/>
      <c r="I253" s="1575"/>
      <c r="J253" s="1575"/>
      <c r="K253" s="1575"/>
    </row>
    <row r="254" spans="1:11" ht="12.75" customHeight="1" thickTop="1" thickBot="1" x14ac:dyDescent="0.25">
      <c r="A254" s="1273" t="s">
        <v>1449</v>
      </c>
      <c r="B254" s="488">
        <v>4902</v>
      </c>
      <c r="C254" s="1667"/>
      <c r="D254" s="1668"/>
      <c r="E254" s="1576"/>
      <c r="F254" s="1668"/>
      <c r="G254" s="1668"/>
      <c r="H254" s="1576"/>
      <c r="I254" s="1575"/>
      <c r="J254" s="1576"/>
      <c r="K254" s="1576"/>
    </row>
    <row r="255" spans="1:11" ht="12.75" customHeight="1" thickTop="1" thickBot="1" x14ac:dyDescent="0.25">
      <c r="A255" s="427" t="s">
        <v>1442</v>
      </c>
      <c r="B255" s="429">
        <v>4905</v>
      </c>
      <c r="C255" s="1649">
        <f>174</f>
        <v>174</v>
      </c>
      <c r="D255" s="1575"/>
      <c r="E255" s="1575"/>
      <c r="F255" s="1653"/>
      <c r="G255" s="1649"/>
      <c r="H255" s="1575"/>
      <c r="I255" s="1575"/>
      <c r="J255" s="1575"/>
      <c r="K255" s="1575"/>
    </row>
    <row r="256" spans="1:11" ht="12.75" customHeight="1" thickTop="1" thickBot="1" x14ac:dyDescent="0.25">
      <c r="A256" s="427" t="s">
        <v>1443</v>
      </c>
      <c r="B256" s="429">
        <v>4909</v>
      </c>
      <c r="C256" s="1651">
        <v>19839</v>
      </c>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51851</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33623</v>
      </c>
      <c r="D263" s="1651"/>
      <c r="E263" s="1575"/>
      <c r="F263" s="1651"/>
      <c r="G263" s="1651"/>
      <c r="H263" s="1575"/>
      <c r="I263" s="1575"/>
      <c r="J263" s="1575"/>
      <c r="K263" s="1575"/>
    </row>
    <row r="264" spans="1:11" ht="12.75" customHeight="1" thickTop="1" thickBot="1" x14ac:dyDescent="0.25">
      <c r="A264" s="427" t="s">
        <v>374</v>
      </c>
      <c r="B264" s="429">
        <v>4992</v>
      </c>
      <c r="C264" s="1650">
        <v>128357</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1650</v>
      </c>
      <c r="B266" s="1419"/>
      <c r="C266" s="1641">
        <f t="shared" ref="C266:H266" si="10">SUM(C188,C198,C204,C209,C217,C221,C222,C252:C265)</f>
        <v>1175700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1079</v>
      </c>
      <c r="B267" s="1421" t="s">
        <v>855</v>
      </c>
      <c r="C267" s="1641">
        <f>SUM(C175,C181,C266)</f>
        <v>1175700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22078275</v>
      </c>
      <c r="D268" s="1641">
        <f t="shared" si="12"/>
        <v>2217145</v>
      </c>
      <c r="E268" s="1641">
        <f t="shared" si="12"/>
        <v>1819814</v>
      </c>
      <c r="F268" s="1641">
        <f t="shared" si="12"/>
        <v>1879102</v>
      </c>
      <c r="G268" s="1641">
        <f t="shared" si="12"/>
        <v>832148</v>
      </c>
      <c r="H268" s="1641">
        <f t="shared" si="12"/>
        <v>28114</v>
      </c>
      <c r="I268" s="1641">
        <f t="shared" si="12"/>
        <v>54208</v>
      </c>
      <c r="J268" s="1641">
        <f t="shared" si="12"/>
        <v>1054</v>
      </c>
      <c r="K268" s="1629">
        <f t="shared" si="12"/>
        <v>1087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90" activePane="bottomLeft" state="frozen"/>
      <selection pane="bottomLeft" activeCell="A40" sqref="A4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2"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4"/>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8175456</v>
      </c>
      <c r="D5" s="1573">
        <v>1691438</v>
      </c>
      <c r="E5" s="1573">
        <v>100208</v>
      </c>
      <c r="F5" s="1573">
        <v>385488</v>
      </c>
      <c r="G5" s="1573">
        <v>0</v>
      </c>
      <c r="H5" s="1573">
        <v>243</v>
      </c>
      <c r="I5" s="1574">
        <v>9299</v>
      </c>
      <c r="J5" s="1574"/>
      <c r="K5" s="1672">
        <f>SUM(C5:J5)</f>
        <v>10362132</v>
      </c>
      <c r="L5" s="1573">
        <v>10416285</v>
      </c>
    </row>
    <row r="6" spans="1:14" x14ac:dyDescent="0.2">
      <c r="A6" s="1274" t="s">
        <v>1419</v>
      </c>
      <c r="B6" s="503" t="s">
        <v>1417</v>
      </c>
      <c r="C6" s="1582"/>
      <c r="D6" s="1582"/>
      <c r="E6" s="1573"/>
      <c r="F6" s="1582"/>
      <c r="G6" s="1582"/>
      <c r="H6" s="1582"/>
      <c r="I6" s="1582"/>
      <c r="J6" s="1582"/>
      <c r="K6" s="1672">
        <f>SUM(C6,E6)</f>
        <v>0</v>
      </c>
      <c r="L6" s="1573"/>
    </row>
    <row r="7" spans="1:14" x14ac:dyDescent="0.2">
      <c r="A7" s="1274" t="s">
        <v>162</v>
      </c>
      <c r="B7" s="503" t="s">
        <v>961</v>
      </c>
      <c r="C7" s="1574">
        <v>253331</v>
      </c>
      <c r="D7" s="1574">
        <v>76557</v>
      </c>
      <c r="E7" s="1574"/>
      <c r="F7" s="1574"/>
      <c r="G7" s="1574"/>
      <c r="H7" s="1574"/>
      <c r="I7" s="1574"/>
      <c r="J7" s="1574"/>
      <c r="K7" s="1672">
        <f t="shared" ref="K7:K32" si="0">SUM(C7:J7)</f>
        <v>329888</v>
      </c>
      <c r="L7" s="1573">
        <v>231193</v>
      </c>
    </row>
    <row r="8" spans="1:14" x14ac:dyDescent="0.2">
      <c r="A8" s="1274" t="s">
        <v>163</v>
      </c>
      <c r="B8" s="503">
        <v>1200</v>
      </c>
      <c r="C8" s="1573">
        <v>2141445</v>
      </c>
      <c r="D8" s="1573">
        <v>929120</v>
      </c>
      <c r="E8" s="1573">
        <v>20536</v>
      </c>
      <c r="F8" s="1573">
        <v>66395</v>
      </c>
      <c r="G8" s="1573"/>
      <c r="H8" s="1573"/>
      <c r="I8" s="1574"/>
      <c r="J8" s="1574"/>
      <c r="K8" s="1672">
        <f t="shared" si="0"/>
        <v>3157496</v>
      </c>
      <c r="L8" s="1573">
        <v>3201326</v>
      </c>
    </row>
    <row r="9" spans="1:14" x14ac:dyDescent="0.2">
      <c r="A9" s="1274" t="s">
        <v>716</v>
      </c>
      <c r="B9" s="503" t="s">
        <v>962</v>
      </c>
      <c r="C9" s="1574">
        <v>79243</v>
      </c>
      <c r="D9" s="1574">
        <v>1653</v>
      </c>
      <c r="E9" s="1574"/>
      <c r="F9" s="1574">
        <v>6110</v>
      </c>
      <c r="G9" s="1574"/>
      <c r="H9" s="1574"/>
      <c r="I9" s="1574"/>
      <c r="J9" s="1574"/>
      <c r="K9" s="1672">
        <f t="shared" si="0"/>
        <v>87006</v>
      </c>
      <c r="L9" s="1573">
        <v>4000</v>
      </c>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1122</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176923</v>
      </c>
      <c r="D14" s="1573">
        <v>2742</v>
      </c>
      <c r="E14" s="1573">
        <v>2770</v>
      </c>
      <c r="F14" s="1573">
        <v>10462</v>
      </c>
      <c r="G14" s="1573">
        <v>0</v>
      </c>
      <c r="H14" s="1573">
        <v>1900</v>
      </c>
      <c r="I14" s="1574"/>
      <c r="J14" s="1574"/>
      <c r="K14" s="1672">
        <f t="shared" si="0"/>
        <v>194797</v>
      </c>
      <c r="L14" s="1573">
        <v>290174</v>
      </c>
    </row>
    <row r="15" spans="1:14" x14ac:dyDescent="0.2">
      <c r="A15" s="1274" t="s">
        <v>958</v>
      </c>
      <c r="B15" s="503">
        <v>1600</v>
      </c>
      <c r="C15" s="1573">
        <f>9399+29688</f>
        <v>39087</v>
      </c>
      <c r="D15" s="1573">
        <f>141+351</f>
        <v>492</v>
      </c>
      <c r="E15" s="1573"/>
      <c r="F15" s="1573">
        <v>1056</v>
      </c>
      <c r="G15" s="1573"/>
      <c r="H15" s="1573"/>
      <c r="I15" s="1574"/>
      <c r="J15" s="1574"/>
      <c r="K15" s="1672">
        <f t="shared" si="0"/>
        <v>40635</v>
      </c>
      <c r="L15" s="1573">
        <v>35469</v>
      </c>
    </row>
    <row r="16" spans="1:14" x14ac:dyDescent="0.2">
      <c r="A16" s="1274" t="s">
        <v>980</v>
      </c>
      <c r="B16" s="503" t="s">
        <v>421</v>
      </c>
      <c r="C16" s="1573">
        <v>295109</v>
      </c>
      <c r="D16" s="1573">
        <v>68734</v>
      </c>
      <c r="E16" s="1573"/>
      <c r="F16" s="1573"/>
      <c r="G16" s="1573"/>
      <c r="H16" s="1573"/>
      <c r="I16" s="1574"/>
      <c r="J16" s="1574"/>
      <c r="K16" s="1672">
        <f t="shared" si="0"/>
        <v>363843</v>
      </c>
      <c r="L16" s="1573">
        <v>363330</v>
      </c>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1080</v>
      </c>
      <c r="B18" s="503">
        <v>1800</v>
      </c>
      <c r="C18" s="1573">
        <v>463008</v>
      </c>
      <c r="D18" s="1573">
        <v>110335</v>
      </c>
      <c r="E18" s="1573">
        <f>8005</f>
        <v>8005</v>
      </c>
      <c r="F18" s="1573">
        <v>10575</v>
      </c>
      <c r="G18" s="1573"/>
      <c r="H18" s="1573"/>
      <c r="I18" s="1574"/>
      <c r="J18" s="1574"/>
      <c r="K18" s="1672">
        <f t="shared" si="0"/>
        <v>591923</v>
      </c>
      <c r="L18" s="1573">
        <v>507234</v>
      </c>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v>650142</v>
      </c>
      <c r="I22" s="1673"/>
      <c r="J22" s="1582"/>
      <c r="K22" s="1672">
        <f t="shared" si="0"/>
        <v>650142</v>
      </c>
      <c r="L22" s="1577">
        <v>450000</v>
      </c>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1121</v>
      </c>
      <c r="B32" s="503" t="s">
        <v>732</v>
      </c>
      <c r="C32" s="1582"/>
      <c r="D32" s="1582"/>
      <c r="E32" s="1582"/>
      <c r="F32" s="1582"/>
      <c r="G32" s="1582"/>
      <c r="H32" s="1579"/>
      <c r="I32" s="1673"/>
      <c r="J32" s="1585"/>
      <c r="K32" s="1672">
        <f t="shared" si="0"/>
        <v>0</v>
      </c>
      <c r="L32" s="1577"/>
    </row>
    <row r="33" spans="1:14" ht="12.75" customHeight="1" thickBot="1" x14ac:dyDescent="0.25">
      <c r="A33" s="1380" t="s">
        <v>1652</v>
      </c>
      <c r="B33" s="1381" t="s">
        <v>566</v>
      </c>
      <c r="C33" s="1674">
        <f>SUM(C5:C32)</f>
        <v>11623602</v>
      </c>
      <c r="D33" s="1674">
        <f t="shared" ref="D33:L33" si="1">SUM(D5:D32)</f>
        <v>2881071</v>
      </c>
      <c r="E33" s="1674">
        <f t="shared" si="1"/>
        <v>131519</v>
      </c>
      <c r="F33" s="1674">
        <f t="shared" si="1"/>
        <v>480086</v>
      </c>
      <c r="G33" s="1674">
        <f t="shared" si="1"/>
        <v>0</v>
      </c>
      <c r="H33" s="1674">
        <f t="shared" si="1"/>
        <v>652285</v>
      </c>
      <c r="I33" s="1674">
        <f t="shared" si="1"/>
        <v>9299</v>
      </c>
      <c r="J33" s="1674">
        <f t="shared" si="1"/>
        <v>0</v>
      </c>
      <c r="K33" s="1674">
        <f t="shared" si="1"/>
        <v>15777862</v>
      </c>
      <c r="L33" s="1674">
        <f t="shared" si="1"/>
        <v>15499011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1082</v>
      </c>
      <c r="B36" s="503">
        <v>2110</v>
      </c>
      <c r="C36" s="1586">
        <v>290254</v>
      </c>
      <c r="D36" s="1586">
        <v>55769</v>
      </c>
      <c r="E36" s="1586">
        <v>454</v>
      </c>
      <c r="F36" s="1586">
        <v>5220</v>
      </c>
      <c r="G36" s="1586"/>
      <c r="H36" s="1586"/>
      <c r="I36" s="1574"/>
      <c r="J36" s="1574"/>
      <c r="K36" s="1672">
        <f t="shared" ref="K36:K41" si="2">SUM(C36:J36)</f>
        <v>351697</v>
      </c>
      <c r="L36" s="1573">
        <v>360794</v>
      </c>
    </row>
    <row r="37" spans="1:14" x14ac:dyDescent="0.2">
      <c r="A37" s="1274" t="s">
        <v>1083</v>
      </c>
      <c r="B37" s="503">
        <v>2120</v>
      </c>
      <c r="C37" s="1573">
        <v>62736</v>
      </c>
      <c r="D37" s="1573">
        <v>2829</v>
      </c>
      <c r="E37" s="1573"/>
      <c r="F37" s="1573"/>
      <c r="G37" s="1573"/>
      <c r="H37" s="1573"/>
      <c r="I37" s="1574"/>
      <c r="J37" s="1574"/>
      <c r="K37" s="1672">
        <f t="shared" si="2"/>
        <v>65565</v>
      </c>
      <c r="L37" s="1573">
        <v>68929</v>
      </c>
    </row>
    <row r="38" spans="1:14" x14ac:dyDescent="0.2">
      <c r="A38" s="1274" t="s">
        <v>196</v>
      </c>
      <c r="B38" s="503">
        <v>2130</v>
      </c>
      <c r="C38" s="1573">
        <v>145069</v>
      </c>
      <c r="D38" s="1573">
        <v>70603</v>
      </c>
      <c r="E38" s="1573">
        <v>404</v>
      </c>
      <c r="F38" s="1573">
        <v>6937</v>
      </c>
      <c r="G38" s="1573"/>
      <c r="H38" s="1573"/>
      <c r="I38" s="1574"/>
      <c r="J38" s="1574"/>
      <c r="K38" s="1672">
        <f t="shared" si="2"/>
        <v>223013</v>
      </c>
      <c r="L38" s="1573">
        <v>224913</v>
      </c>
    </row>
    <row r="39" spans="1:14" x14ac:dyDescent="0.2">
      <c r="A39" s="1274" t="s">
        <v>197</v>
      </c>
      <c r="B39" s="503">
        <v>2140</v>
      </c>
      <c r="C39" s="1573">
        <v>260434</v>
      </c>
      <c r="D39" s="1573">
        <v>68748</v>
      </c>
      <c r="E39" s="1573">
        <v>7035</v>
      </c>
      <c r="F39" s="1573"/>
      <c r="G39" s="1573"/>
      <c r="H39" s="1573"/>
      <c r="I39" s="1574">
        <v>298</v>
      </c>
      <c r="J39" s="1574"/>
      <c r="K39" s="1672">
        <f t="shared" si="2"/>
        <v>336515</v>
      </c>
      <c r="L39" s="1573">
        <v>330040</v>
      </c>
    </row>
    <row r="40" spans="1:14" x14ac:dyDescent="0.2">
      <c r="A40" s="1274" t="s">
        <v>198</v>
      </c>
      <c r="B40" s="503">
        <v>2150</v>
      </c>
      <c r="C40" s="1573">
        <v>592225</v>
      </c>
      <c r="D40" s="1573">
        <v>138185</v>
      </c>
      <c r="E40" s="1573">
        <v>103</v>
      </c>
      <c r="F40" s="1573">
        <v>1435</v>
      </c>
      <c r="G40" s="1573"/>
      <c r="H40" s="1573"/>
      <c r="I40" s="1574"/>
      <c r="J40" s="1574"/>
      <c r="K40" s="1672">
        <f t="shared" si="2"/>
        <v>731948</v>
      </c>
      <c r="L40" s="1573">
        <v>833948</v>
      </c>
    </row>
    <row r="41" spans="1:14" x14ac:dyDescent="0.2">
      <c r="A41" s="1274" t="s">
        <v>1653</v>
      </c>
      <c r="B41" s="503">
        <v>2190</v>
      </c>
      <c r="C41" s="1573">
        <f>122154+156183</f>
        <v>278337</v>
      </c>
      <c r="D41" s="1573">
        <f>64230+15386</f>
        <v>79616</v>
      </c>
      <c r="E41" s="1573">
        <f>8008+399</f>
        <v>8407</v>
      </c>
      <c r="F41" s="1573">
        <v>250</v>
      </c>
      <c r="G41" s="1573"/>
      <c r="H41" s="1573"/>
      <c r="I41" s="1574"/>
      <c r="J41" s="1574"/>
      <c r="K41" s="1672">
        <f t="shared" si="2"/>
        <v>366610</v>
      </c>
      <c r="L41" s="1573">
        <v>371480</v>
      </c>
    </row>
    <row r="42" spans="1:14" ht="12.75" customHeight="1" thickBot="1" x14ac:dyDescent="0.25">
      <c r="A42" s="1380" t="s">
        <v>556</v>
      </c>
      <c r="B42" s="1381" t="s">
        <v>711</v>
      </c>
      <c r="C42" s="1674">
        <f>SUM(C36:C41)</f>
        <v>1629055</v>
      </c>
      <c r="D42" s="1674">
        <f t="shared" ref="D42:L42" si="3">SUM(D36:D41)</f>
        <v>415750</v>
      </c>
      <c r="E42" s="1674">
        <f t="shared" si="3"/>
        <v>16403</v>
      </c>
      <c r="F42" s="1674">
        <f t="shared" si="3"/>
        <v>13842</v>
      </c>
      <c r="G42" s="1674">
        <f t="shared" si="3"/>
        <v>0</v>
      </c>
      <c r="H42" s="1674">
        <f t="shared" si="3"/>
        <v>0</v>
      </c>
      <c r="I42" s="1674">
        <f t="shared" si="3"/>
        <v>298</v>
      </c>
      <c r="J42" s="1674">
        <f t="shared" si="3"/>
        <v>0</v>
      </c>
      <c r="K42" s="1674">
        <f t="shared" si="3"/>
        <v>2075348</v>
      </c>
      <c r="L42" s="1674">
        <f t="shared" si="3"/>
        <v>2190104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f>390447+6896</f>
        <v>397343</v>
      </c>
      <c r="D44" s="1586">
        <f>86952+120</f>
        <v>87072</v>
      </c>
      <c r="E44" s="1586">
        <f>45213+23747</f>
        <v>68960</v>
      </c>
      <c r="F44" s="1586">
        <v>2573</v>
      </c>
      <c r="G44" s="1586"/>
      <c r="H44" s="1586">
        <v>200</v>
      </c>
      <c r="I44" s="1574"/>
      <c r="J44" s="1574"/>
      <c r="K44" s="1678">
        <f>SUM(C44:J44)</f>
        <v>556148</v>
      </c>
      <c r="L44" s="1586">
        <v>504223</v>
      </c>
    </row>
    <row r="45" spans="1:14" x14ac:dyDescent="0.2">
      <c r="A45" s="1274" t="s">
        <v>810</v>
      </c>
      <c r="B45" s="503">
        <v>2220</v>
      </c>
      <c r="C45" s="1573">
        <v>309472</v>
      </c>
      <c r="D45" s="1573">
        <v>126107</v>
      </c>
      <c r="E45" s="1573"/>
      <c r="F45" s="1573">
        <v>46652</v>
      </c>
      <c r="G45" s="1573"/>
      <c r="H45" s="1573"/>
      <c r="I45" s="1574"/>
      <c r="J45" s="1574"/>
      <c r="K45" s="1678">
        <f>SUM(C45:J45)</f>
        <v>482231</v>
      </c>
      <c r="L45" s="1573">
        <v>474826</v>
      </c>
    </row>
    <row r="46" spans="1:14" x14ac:dyDescent="0.2">
      <c r="A46" s="1274" t="s">
        <v>811</v>
      </c>
      <c r="B46" s="503">
        <v>2230</v>
      </c>
      <c r="C46" s="1573"/>
      <c r="D46" s="1573"/>
      <c r="E46" s="1573"/>
      <c r="F46" s="1573"/>
      <c r="G46" s="1573"/>
      <c r="H46" s="1573"/>
      <c r="I46" s="1574"/>
      <c r="J46" s="1574"/>
      <c r="K46" s="1678">
        <f>SUM(C46:J46)</f>
        <v>0</v>
      </c>
      <c r="L46" s="1573">
        <v>30000</v>
      </c>
    </row>
    <row r="47" spans="1:14" ht="12.75" customHeight="1" thickBot="1" x14ac:dyDescent="0.25">
      <c r="A47" s="1380" t="s">
        <v>557</v>
      </c>
      <c r="B47" s="1381" t="s">
        <v>32</v>
      </c>
      <c r="C47" s="1674">
        <f>SUM(C44:C46)</f>
        <v>706815</v>
      </c>
      <c r="D47" s="1674">
        <f t="shared" ref="D47:K47" si="4">SUM(D44:D46)</f>
        <v>213179</v>
      </c>
      <c r="E47" s="1674">
        <f t="shared" si="4"/>
        <v>68960</v>
      </c>
      <c r="F47" s="1674">
        <f t="shared" si="4"/>
        <v>49225</v>
      </c>
      <c r="G47" s="1674">
        <f t="shared" si="4"/>
        <v>0</v>
      </c>
      <c r="H47" s="1674">
        <f t="shared" si="4"/>
        <v>200</v>
      </c>
      <c r="I47" s="1674">
        <f t="shared" si="4"/>
        <v>0</v>
      </c>
      <c r="J47" s="1674">
        <f t="shared" si="4"/>
        <v>0</v>
      </c>
      <c r="K47" s="1674">
        <f t="shared" si="4"/>
        <v>1038379</v>
      </c>
      <c r="L47" s="1674">
        <f>SUM(L44:L46)</f>
        <v>1009049</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38621</v>
      </c>
      <c r="D49" s="1586">
        <v>24070</v>
      </c>
      <c r="E49" s="1586">
        <v>262018</v>
      </c>
      <c r="F49" s="1586">
        <v>16411</v>
      </c>
      <c r="G49" s="1586"/>
      <c r="H49" s="1586">
        <v>13152</v>
      </c>
      <c r="I49" s="1574"/>
      <c r="J49" s="1574"/>
      <c r="K49" s="1678">
        <f>SUM(C49:J49)</f>
        <v>354272</v>
      </c>
      <c r="L49" s="1586">
        <v>394576</v>
      </c>
    </row>
    <row r="50" spans="1:14" x14ac:dyDescent="0.2">
      <c r="A50" s="1274" t="s">
        <v>813</v>
      </c>
      <c r="B50" s="503">
        <v>2320</v>
      </c>
      <c r="C50" s="1573">
        <v>289808</v>
      </c>
      <c r="D50" s="1573">
        <v>37128</v>
      </c>
      <c r="E50" s="1573">
        <v>4980</v>
      </c>
      <c r="F50" s="1573">
        <v>1600</v>
      </c>
      <c r="G50" s="1573"/>
      <c r="H50" s="1573">
        <v>2814</v>
      </c>
      <c r="I50" s="1574"/>
      <c r="J50" s="1574"/>
      <c r="K50" s="1678">
        <f>SUM(C50:J50)</f>
        <v>336330</v>
      </c>
      <c r="L50" s="1573">
        <v>337072</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328429</v>
      </c>
      <c r="D53" s="1674">
        <f t="shared" ref="D53:L53" si="5">SUM(D49:D52)</f>
        <v>61198</v>
      </c>
      <c r="E53" s="1674">
        <f t="shared" si="5"/>
        <v>266998</v>
      </c>
      <c r="F53" s="1674">
        <f t="shared" si="5"/>
        <v>18011</v>
      </c>
      <c r="G53" s="1674">
        <f t="shared" si="5"/>
        <v>0</v>
      </c>
      <c r="H53" s="1674">
        <f t="shared" si="5"/>
        <v>15966</v>
      </c>
      <c r="I53" s="1674">
        <f t="shared" si="5"/>
        <v>0</v>
      </c>
      <c r="J53" s="1674">
        <f t="shared" si="5"/>
        <v>0</v>
      </c>
      <c r="K53" s="1674">
        <f t="shared" si="5"/>
        <v>690602</v>
      </c>
      <c r="L53" s="1674">
        <f t="shared" si="5"/>
        <v>731648</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1060</v>
      </c>
      <c r="B55" s="503">
        <v>2410</v>
      </c>
      <c r="C55" s="1586">
        <v>852709</v>
      </c>
      <c r="D55" s="1586">
        <v>290418</v>
      </c>
      <c r="E55" s="1586">
        <v>6436</v>
      </c>
      <c r="F55" s="1586">
        <v>4265</v>
      </c>
      <c r="G55" s="1586"/>
      <c r="H55" s="1586">
        <v>178</v>
      </c>
      <c r="I55" s="1574"/>
      <c r="J55" s="1574"/>
      <c r="K55" s="1678">
        <f>SUM(C55:J55)</f>
        <v>1154006</v>
      </c>
      <c r="L55" s="1586">
        <v>1145296</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852709</v>
      </c>
      <c r="D57" s="1679">
        <f t="shared" ref="D57:K57" si="6">SUM(D55:D56)</f>
        <v>290418</v>
      </c>
      <c r="E57" s="1679">
        <f t="shared" si="6"/>
        <v>6436</v>
      </c>
      <c r="F57" s="1679">
        <f t="shared" si="6"/>
        <v>4265</v>
      </c>
      <c r="G57" s="1679">
        <f t="shared" si="6"/>
        <v>0</v>
      </c>
      <c r="H57" s="1679">
        <f t="shared" si="6"/>
        <v>178</v>
      </c>
      <c r="I57" s="1679">
        <f t="shared" si="6"/>
        <v>0</v>
      </c>
      <c r="J57" s="1679">
        <f t="shared" si="6"/>
        <v>0</v>
      </c>
      <c r="K57" s="1679">
        <f t="shared" si="6"/>
        <v>1154006</v>
      </c>
      <c r="L57" s="1674">
        <f>SUM(L55:L56)</f>
        <v>1145296</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1061</v>
      </c>
      <c r="B59" s="503">
        <v>2510</v>
      </c>
      <c r="C59" s="1586">
        <v>137784</v>
      </c>
      <c r="D59" s="1586">
        <v>30093</v>
      </c>
      <c r="E59" s="1586">
        <v>57928</v>
      </c>
      <c r="F59" s="1586">
        <v>29527</v>
      </c>
      <c r="G59" s="1586"/>
      <c r="H59" s="1586">
        <v>16178</v>
      </c>
      <c r="I59" s="1574"/>
      <c r="J59" s="1574"/>
      <c r="K59" s="1678">
        <f t="shared" ref="K59:K64" si="7">SUM(C59:J59)</f>
        <v>271510</v>
      </c>
      <c r="L59" s="1586">
        <v>250224</v>
      </c>
      <c r="M59" s="501"/>
      <c r="N59" s="501"/>
    </row>
    <row r="60" spans="1:14" s="321" customFormat="1" x14ac:dyDescent="0.2">
      <c r="A60" s="1274" t="s">
        <v>460</v>
      </c>
      <c r="B60" s="503">
        <v>2520</v>
      </c>
      <c r="C60" s="1573">
        <v>123520</v>
      </c>
      <c r="D60" s="1573">
        <v>36117</v>
      </c>
      <c r="E60" s="1573">
        <v>55325</v>
      </c>
      <c r="F60" s="1573"/>
      <c r="G60" s="1573"/>
      <c r="H60" s="1573"/>
      <c r="I60" s="1574"/>
      <c r="J60" s="1574"/>
      <c r="K60" s="1678">
        <f t="shared" si="7"/>
        <v>214962</v>
      </c>
      <c r="L60" s="1573">
        <v>199835</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v>262624</v>
      </c>
      <c r="F63" s="1573">
        <v>126109</v>
      </c>
      <c r="G63" s="1573"/>
      <c r="H63" s="1573"/>
      <c r="I63" s="1574"/>
      <c r="J63" s="1574"/>
      <c r="K63" s="1678">
        <f t="shared" si="7"/>
        <v>388733</v>
      </c>
      <c r="L63" s="1573">
        <v>380960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261304</v>
      </c>
      <c r="D65" s="1674">
        <f t="shared" ref="D65:L65" si="8">SUM(D59:D64)</f>
        <v>66210</v>
      </c>
      <c r="E65" s="1674">
        <f t="shared" si="8"/>
        <v>375877</v>
      </c>
      <c r="F65" s="1674">
        <f t="shared" si="8"/>
        <v>155636</v>
      </c>
      <c r="G65" s="1674">
        <f t="shared" si="8"/>
        <v>0</v>
      </c>
      <c r="H65" s="1674">
        <f t="shared" si="8"/>
        <v>16178</v>
      </c>
      <c r="I65" s="1674">
        <f t="shared" si="8"/>
        <v>0</v>
      </c>
      <c r="J65" s="1674">
        <f t="shared" si="8"/>
        <v>0</v>
      </c>
      <c r="K65" s="1674">
        <f t="shared" si="8"/>
        <v>875205</v>
      </c>
      <c r="L65" s="1674">
        <f t="shared" si="8"/>
        <v>831019</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1053</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1054</v>
      </c>
      <c r="B69" s="503">
        <v>2630</v>
      </c>
      <c r="C69" s="1573">
        <v>30906</v>
      </c>
      <c r="D69" s="1573">
        <v>19892</v>
      </c>
      <c r="E69" s="1573"/>
      <c r="F69" s="1573"/>
      <c r="G69" s="1573"/>
      <c r="H69" s="1573"/>
      <c r="I69" s="1574"/>
      <c r="J69" s="1574"/>
      <c r="K69" s="1678">
        <f>SUM(C69:J69)</f>
        <v>50798</v>
      </c>
      <c r="L69" s="1573">
        <v>53566</v>
      </c>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v>254622</v>
      </c>
      <c r="D71" s="1573">
        <v>72092</v>
      </c>
      <c r="E71" s="1573">
        <v>17182</v>
      </c>
      <c r="F71" s="1573">
        <v>413998</v>
      </c>
      <c r="G71" s="1573"/>
      <c r="H71" s="1573"/>
      <c r="I71" s="1574">
        <v>67860</v>
      </c>
      <c r="J71" s="1574"/>
      <c r="K71" s="1678">
        <f>SUM(C71:J71)</f>
        <v>825754</v>
      </c>
      <c r="L71" s="1573">
        <v>728572</v>
      </c>
      <c r="M71" s="501"/>
      <c r="N71" s="501"/>
    </row>
    <row r="72" spans="1:14" s="321" customFormat="1" ht="12.75" customHeight="1" thickBot="1" x14ac:dyDescent="0.25">
      <c r="A72" s="1380" t="s">
        <v>37</v>
      </c>
      <c r="B72" s="1383" t="s">
        <v>36</v>
      </c>
      <c r="C72" s="1674">
        <f>SUM(C67:C71)</f>
        <v>285528</v>
      </c>
      <c r="D72" s="1674">
        <f t="shared" ref="D72:K72" si="9">SUM(D67:D71)</f>
        <v>91984</v>
      </c>
      <c r="E72" s="1674">
        <f t="shared" si="9"/>
        <v>17182</v>
      </c>
      <c r="F72" s="1674">
        <f t="shared" si="9"/>
        <v>413998</v>
      </c>
      <c r="G72" s="1674">
        <f t="shared" si="9"/>
        <v>0</v>
      </c>
      <c r="H72" s="1674">
        <f t="shared" si="9"/>
        <v>0</v>
      </c>
      <c r="I72" s="1674">
        <f t="shared" si="9"/>
        <v>67860</v>
      </c>
      <c r="J72" s="1674">
        <f t="shared" si="9"/>
        <v>0</v>
      </c>
      <c r="K72" s="1674">
        <f t="shared" si="9"/>
        <v>876552</v>
      </c>
      <c r="L72" s="1674">
        <f>SUM(L67:L71)</f>
        <v>782138</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4063840</v>
      </c>
      <c r="D74" s="1681">
        <f t="shared" ref="D74:K74" si="10">SUM(D42,D47,D53,D57,D65,D72,D73)</f>
        <v>1138739</v>
      </c>
      <c r="E74" s="1681">
        <f t="shared" si="10"/>
        <v>751856</v>
      </c>
      <c r="F74" s="1681">
        <f t="shared" si="10"/>
        <v>654977</v>
      </c>
      <c r="G74" s="1681">
        <f t="shared" si="10"/>
        <v>0</v>
      </c>
      <c r="H74" s="1681">
        <f t="shared" si="10"/>
        <v>32522</v>
      </c>
      <c r="I74" s="1681">
        <f t="shared" si="10"/>
        <v>68158</v>
      </c>
      <c r="J74" s="1681">
        <f t="shared" si="10"/>
        <v>0</v>
      </c>
      <c r="K74" s="1681">
        <f t="shared" si="10"/>
        <v>6710092</v>
      </c>
      <c r="L74" s="1681">
        <f>SUM(L42,L47,L53,L57,L65,L72,L73)</f>
        <v>6689254</v>
      </c>
    </row>
    <row r="75" spans="1:14" s="254" customFormat="1" ht="15.75" customHeight="1" thickTop="1" thickBot="1" x14ac:dyDescent="0.25">
      <c r="A75" s="1348" t="s">
        <v>47</v>
      </c>
      <c r="B75" s="1349" t="s">
        <v>571</v>
      </c>
      <c r="C75" s="1649">
        <v>26142</v>
      </c>
      <c r="D75" s="1649">
        <v>2574</v>
      </c>
      <c r="E75" s="1649">
        <v>2313</v>
      </c>
      <c r="F75" s="1649">
        <v>266</v>
      </c>
      <c r="G75" s="1649"/>
      <c r="H75" s="1649"/>
      <c r="I75" s="1627"/>
      <c r="J75" s="1627"/>
      <c r="K75" s="1674">
        <f>SUM(C75:J75)</f>
        <v>31295</v>
      </c>
      <c r="L75" s="1651">
        <v>3500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13952</v>
      </c>
      <c r="F79" s="1673"/>
      <c r="G79" s="1673"/>
      <c r="H79" s="1573">
        <v>641520</v>
      </c>
      <c r="I79" s="1582"/>
      <c r="J79" s="1582"/>
      <c r="K79" s="1672">
        <f t="shared" si="11"/>
        <v>655472</v>
      </c>
      <c r="L79" s="1573">
        <v>500000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1471</v>
      </c>
      <c r="B84" s="1385">
        <v>4100</v>
      </c>
      <c r="C84" s="1673"/>
      <c r="D84" s="1673"/>
      <c r="E84" s="1674">
        <f>SUM(E78:E83)</f>
        <v>13952</v>
      </c>
      <c r="F84" s="1673"/>
      <c r="G84" s="1673"/>
      <c r="H84" s="1674">
        <f>SUM(H78:H83)</f>
        <v>641520</v>
      </c>
      <c r="I84" s="1582"/>
      <c r="J84" s="1582"/>
      <c r="K84" s="1674">
        <f>SUM(K78:K83)</f>
        <v>655472</v>
      </c>
      <c r="L84" s="1674">
        <f>SUM(L78:L83)</f>
        <v>500000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1546</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1474</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1472</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1475</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1473</v>
      </c>
      <c r="B102" s="1385">
        <v>4000</v>
      </c>
      <c r="C102" s="1673"/>
      <c r="D102" s="1673"/>
      <c r="E102" s="1681">
        <f>SUM(E84,E92,E100,E101)</f>
        <v>13952</v>
      </c>
      <c r="F102" s="1673"/>
      <c r="G102" s="1673"/>
      <c r="H102" s="1681">
        <f>SUM(H84,H92,H100,H101)</f>
        <v>641520</v>
      </c>
      <c r="I102" s="1582"/>
      <c r="J102" s="1582"/>
      <c r="K102" s="1681">
        <f>SUM(K84,K92,K100,K101)</f>
        <v>655472</v>
      </c>
      <c r="L102" s="1681">
        <f>SUM(L84,L92,L100,L101)</f>
        <v>500000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1162</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1095</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15713584</v>
      </c>
      <c r="D114" s="1674">
        <f t="shared" ref="D114:K114" si="13">SUM(D33,D74,D75,D102,D112,D113)</f>
        <v>4022384</v>
      </c>
      <c r="E114" s="1674">
        <f t="shared" si="13"/>
        <v>899640</v>
      </c>
      <c r="F114" s="1674">
        <f t="shared" si="13"/>
        <v>1135329</v>
      </c>
      <c r="G114" s="1674">
        <f t="shared" si="13"/>
        <v>0</v>
      </c>
      <c r="H114" s="1674">
        <f>SUM(H33,H74,H75,H102,H112,H113)</f>
        <v>1326327</v>
      </c>
      <c r="I114" s="1674">
        <f t="shared" si="13"/>
        <v>77457</v>
      </c>
      <c r="J114" s="1674">
        <f t="shared" si="13"/>
        <v>0</v>
      </c>
      <c r="K114" s="1674">
        <f t="shared" si="13"/>
        <v>23174721</v>
      </c>
      <c r="L114" s="1674">
        <f>SUM(L33,L74,L75,L102,L112,L113)</f>
        <v>22691765</v>
      </c>
    </row>
    <row r="115" spans="1:14" ht="13.5" thickTop="1" x14ac:dyDescent="0.2">
      <c r="A115" s="2289" t="s">
        <v>989</v>
      </c>
      <c r="B115" s="2290"/>
      <c r="C115" s="1675"/>
      <c r="D115" s="1675"/>
      <c r="E115" s="1675"/>
      <c r="F115" s="1675"/>
      <c r="G115" s="1675"/>
      <c r="H115" s="1675"/>
      <c r="I115" s="1675"/>
      <c r="J115" s="1675"/>
      <c r="K115" s="1689">
        <f>'Revenues 9-14'!C268-'Expenditures 15-22'!K114</f>
        <v>-1096446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1061</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866295</v>
      </c>
      <c r="D124" s="1573">
        <v>349783</v>
      </c>
      <c r="E124" s="1573">
        <v>439607</v>
      </c>
      <c r="F124" s="1573">
        <v>466157</v>
      </c>
      <c r="G124" s="1573"/>
      <c r="H124" s="1573">
        <v>25</v>
      </c>
      <c r="I124" s="1574">
        <v>40890</v>
      </c>
      <c r="J124" s="1574"/>
      <c r="K124" s="1674">
        <f>SUM(C124:J124)</f>
        <v>2162757</v>
      </c>
      <c r="L124" s="1573">
        <v>2066945</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866295</v>
      </c>
      <c r="D127" s="1674">
        <f t="shared" ref="D127:L127" si="14">SUM(D122:D126)</f>
        <v>349783</v>
      </c>
      <c r="E127" s="1674">
        <f t="shared" si="14"/>
        <v>439607</v>
      </c>
      <c r="F127" s="1674">
        <f t="shared" si="14"/>
        <v>466157</v>
      </c>
      <c r="G127" s="1674">
        <f t="shared" si="14"/>
        <v>0</v>
      </c>
      <c r="H127" s="1674">
        <f t="shared" si="14"/>
        <v>25</v>
      </c>
      <c r="I127" s="1674">
        <f t="shared" si="14"/>
        <v>40890</v>
      </c>
      <c r="J127" s="1674">
        <f t="shared" si="14"/>
        <v>0</v>
      </c>
      <c r="K127" s="1674">
        <f t="shared" si="14"/>
        <v>2162757</v>
      </c>
      <c r="L127" s="1674">
        <f t="shared" si="14"/>
        <v>2066945</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866295</v>
      </c>
      <c r="D129" s="1681">
        <f t="shared" ref="D129:L129" si="15">SUM(D120,D127,D128)</f>
        <v>349783</v>
      </c>
      <c r="E129" s="1681">
        <f t="shared" si="15"/>
        <v>439607</v>
      </c>
      <c r="F129" s="1681">
        <f t="shared" si="15"/>
        <v>466157</v>
      </c>
      <c r="G129" s="1681">
        <f t="shared" si="15"/>
        <v>0</v>
      </c>
      <c r="H129" s="1681">
        <f t="shared" si="15"/>
        <v>25</v>
      </c>
      <c r="I129" s="1681">
        <f t="shared" si="15"/>
        <v>40890</v>
      </c>
      <c r="J129" s="1681">
        <f t="shared" si="15"/>
        <v>0</v>
      </c>
      <c r="K129" s="1681">
        <f t="shared" si="15"/>
        <v>2162757</v>
      </c>
      <c r="L129" s="1681">
        <f t="shared" si="15"/>
        <v>2066945</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1473</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1162</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1096</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9" t="s">
        <v>616</v>
      </c>
      <c r="B151" s="2261"/>
      <c r="C151" s="1674">
        <f>SUM(C129,C130,C139,C149,C150)</f>
        <v>866295</v>
      </c>
      <c r="D151" s="1674">
        <f t="shared" ref="D151:K151" si="16">SUM(D129,D130,D139,D149,D150)</f>
        <v>349783</v>
      </c>
      <c r="E151" s="1674">
        <f t="shared" si="16"/>
        <v>439607</v>
      </c>
      <c r="F151" s="1674">
        <f t="shared" si="16"/>
        <v>466157</v>
      </c>
      <c r="G151" s="1674">
        <f t="shared" si="16"/>
        <v>0</v>
      </c>
      <c r="H151" s="1674">
        <f t="shared" si="16"/>
        <v>25</v>
      </c>
      <c r="I151" s="1674">
        <f t="shared" si="16"/>
        <v>40890</v>
      </c>
      <c r="J151" s="1674">
        <f t="shared" si="16"/>
        <v>0</v>
      </c>
      <c r="K151" s="1674">
        <f t="shared" si="16"/>
        <v>2162757</v>
      </c>
      <c r="L151" s="1674">
        <f>SUM(L129,L130,L139,L149,L150)</f>
        <v>2066945</v>
      </c>
    </row>
    <row r="152" spans="1:14" ht="12.75" customHeight="1" thickTop="1" x14ac:dyDescent="0.2">
      <c r="A152" s="2282" t="s">
        <v>1170</v>
      </c>
      <c r="B152" s="2283"/>
      <c r="C152" s="1675"/>
      <c r="D152" s="1675"/>
      <c r="E152" s="1675"/>
      <c r="F152" s="1675"/>
      <c r="G152" s="1675"/>
      <c r="H152" s="1675"/>
      <c r="I152" s="1675"/>
      <c r="J152" s="1673"/>
      <c r="K152" s="1689">
        <f>'Revenues 9-14'!D268-'Expenditures 15-22'!K151</f>
        <v>54388</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1162</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159536</v>
      </c>
      <c r="I169" s="1673"/>
      <c r="J169" s="1673"/>
      <c r="K169" s="1672">
        <f>SUM(C169:H169)</f>
        <v>159536</v>
      </c>
      <c r="L169" s="1695"/>
    </row>
    <row r="170" spans="1:14" ht="33.75" customHeight="1" x14ac:dyDescent="0.2">
      <c r="A170" s="543" t="s">
        <v>1654</v>
      </c>
      <c r="B170" s="545" t="s">
        <v>31</v>
      </c>
      <c r="C170" s="1673"/>
      <c r="D170" s="1673"/>
      <c r="E170" s="1673"/>
      <c r="F170" s="1673"/>
      <c r="G170" s="1673"/>
      <c r="H170" s="1646">
        <v>1680000</v>
      </c>
      <c r="I170" s="1673"/>
      <c r="J170" s="1673"/>
      <c r="K170" s="1672">
        <f>SUM(C170:J170)</f>
        <v>1680000</v>
      </c>
      <c r="L170" s="1646">
        <v>1774000</v>
      </c>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1839536</v>
      </c>
      <c r="I172" s="1684"/>
      <c r="J172" s="1673"/>
      <c r="K172" s="1681">
        <f>SUM(K168,K169,K170,K171)</f>
        <v>1839536</v>
      </c>
      <c r="L172" s="1681">
        <f>SUM(L168,L169,L170,L171)</f>
        <v>1774000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1839536</v>
      </c>
      <c r="I174" s="1684"/>
      <c r="J174" s="1673"/>
      <c r="K174" s="1681">
        <f>SUM(K160,K172,K173)</f>
        <v>1839536</v>
      </c>
      <c r="L174" s="1681">
        <f>SUM(L160,L172,L173)</f>
        <v>1774000</v>
      </c>
    </row>
    <row r="175" spans="1:14" ht="13.5" thickTop="1" x14ac:dyDescent="0.2">
      <c r="A175" s="2289" t="s">
        <v>989</v>
      </c>
      <c r="B175" s="2290"/>
      <c r="C175" s="1673"/>
      <c r="D175" s="1673"/>
      <c r="E175" s="1673"/>
      <c r="F175" s="1673"/>
      <c r="G175" s="1673"/>
      <c r="H175" s="1675"/>
      <c r="I175" s="1673"/>
      <c r="J175" s="1673"/>
      <c r="K175" s="1689">
        <f>'Revenues 9-14'!E268-'Expenditures 15-22'!K174</f>
        <v>-19722</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638837</v>
      </c>
      <c r="D182" s="1573">
        <v>320584</v>
      </c>
      <c r="E182" s="1573">
        <v>712339</v>
      </c>
      <c r="F182" s="1573">
        <v>102018</v>
      </c>
      <c r="G182" s="1573"/>
      <c r="H182" s="1573">
        <v>845</v>
      </c>
      <c r="I182" s="1574">
        <v>2287</v>
      </c>
      <c r="J182" s="1574"/>
      <c r="K182" s="1672">
        <f>SUM(C182:J182)</f>
        <v>1776910</v>
      </c>
      <c r="L182" s="1573">
        <v>1784001</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638837</v>
      </c>
      <c r="D184" s="1681">
        <f t="shared" ref="D184:J184" si="17">SUM(D180,D182,D183)</f>
        <v>320584</v>
      </c>
      <c r="E184" s="1681">
        <f t="shared" si="17"/>
        <v>712339</v>
      </c>
      <c r="F184" s="1681">
        <f t="shared" si="17"/>
        <v>102018</v>
      </c>
      <c r="G184" s="1681">
        <f t="shared" si="17"/>
        <v>0</v>
      </c>
      <c r="H184" s="1681">
        <f t="shared" si="17"/>
        <v>845</v>
      </c>
      <c r="I184" s="1681">
        <f t="shared" si="17"/>
        <v>2287</v>
      </c>
      <c r="J184" s="1681">
        <f t="shared" si="17"/>
        <v>0</v>
      </c>
      <c r="K184" s="1681">
        <f>SUM(K180,K182,K183)</f>
        <v>1776910</v>
      </c>
      <c r="L184" s="1681">
        <f>SUM(L180, L182:L183)</f>
        <v>1784001</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1123</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1132</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1473</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1162</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1655</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638837</v>
      </c>
      <c r="D210" s="1674">
        <f>SUM(D184,D185)</f>
        <v>320584</v>
      </c>
      <c r="E210" s="1674">
        <f>SUM(E184,E185,E196)</f>
        <v>712339</v>
      </c>
      <c r="F210" s="1674">
        <f>SUM(F184,F185)</f>
        <v>102018</v>
      </c>
      <c r="G210" s="1674">
        <f>SUM(G184,G185)</f>
        <v>0</v>
      </c>
      <c r="H210" s="1674">
        <f>SUM(H184,H185,H196,H208,H209)</f>
        <v>845</v>
      </c>
      <c r="I210" s="1674">
        <f>SUM(I184,I185)</f>
        <v>2287</v>
      </c>
      <c r="J210" s="1674">
        <f>SUM(J184,J185)</f>
        <v>0</v>
      </c>
      <c r="K210" s="1672">
        <f>SUM(K184,K185,K196,K208,K209)</f>
        <v>1776910</v>
      </c>
      <c r="L210" s="1674">
        <f>SUM(L184,L185,L196,L208,L209)</f>
        <v>1784001</v>
      </c>
    </row>
    <row r="211" spans="1:14" ht="13.5" thickTop="1" x14ac:dyDescent="0.2">
      <c r="A211" s="2289" t="s">
        <v>989</v>
      </c>
      <c r="B211" s="2290"/>
      <c r="C211" s="1675"/>
      <c r="D211" s="1675"/>
      <c r="E211" s="1675"/>
      <c r="F211" s="1675"/>
      <c r="G211" s="1675"/>
      <c r="H211" s="1675"/>
      <c r="I211" s="1673"/>
      <c r="J211" s="1673"/>
      <c r="K211" s="1689">
        <f>'Revenues 9-14'!F268-'Expenditures 15-22'!K210</f>
        <v>102192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83747</v>
      </c>
      <c r="E215" s="1673"/>
      <c r="F215" s="1673"/>
      <c r="G215" s="1673"/>
      <c r="H215" s="1673"/>
      <c r="I215" s="1673"/>
      <c r="J215" s="1673"/>
      <c r="K215" s="1672">
        <f>D215</f>
        <v>83747</v>
      </c>
      <c r="L215" s="1573">
        <v>106185</v>
      </c>
    </row>
    <row r="216" spans="1:14" x14ac:dyDescent="0.2">
      <c r="A216" s="1274" t="s">
        <v>162</v>
      </c>
      <c r="B216" s="503" t="s">
        <v>961</v>
      </c>
      <c r="C216" s="1673"/>
      <c r="D216" s="1574">
        <v>43439</v>
      </c>
      <c r="E216" s="1673"/>
      <c r="F216" s="1673"/>
      <c r="G216" s="1673"/>
      <c r="H216" s="1673"/>
      <c r="I216" s="1673"/>
      <c r="J216" s="1673"/>
      <c r="K216" s="1672">
        <f t="shared" ref="K216:K228" si="19">D216</f>
        <v>43439</v>
      </c>
      <c r="L216" s="1573">
        <v>5678</v>
      </c>
    </row>
    <row r="217" spans="1:14" x14ac:dyDescent="0.2">
      <c r="A217" s="1274" t="s">
        <v>163</v>
      </c>
      <c r="B217" s="503">
        <v>1200</v>
      </c>
      <c r="C217" s="1673"/>
      <c r="D217" s="1573">
        <v>142446</v>
      </c>
      <c r="E217" s="1673"/>
      <c r="F217" s="1673"/>
      <c r="G217" s="1673"/>
      <c r="H217" s="1673"/>
      <c r="I217" s="1673"/>
      <c r="J217" s="1673"/>
      <c r="K217" s="1672">
        <f t="shared" si="19"/>
        <v>142446</v>
      </c>
      <c r="L217" s="1573">
        <v>130294</v>
      </c>
    </row>
    <row r="218" spans="1:14" x14ac:dyDescent="0.2">
      <c r="A218" s="1274" t="s">
        <v>276</v>
      </c>
      <c r="B218" s="503" t="s">
        <v>962</v>
      </c>
      <c r="C218" s="1673"/>
      <c r="D218" s="1574">
        <v>1149</v>
      </c>
      <c r="E218" s="1673"/>
      <c r="F218" s="1673"/>
      <c r="G218" s="1673"/>
      <c r="H218" s="1673"/>
      <c r="I218" s="1673"/>
      <c r="J218" s="1673"/>
      <c r="K218" s="1672">
        <f t="shared" si="19"/>
        <v>1149</v>
      </c>
      <c r="L218" s="1573">
        <v>667</v>
      </c>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3793</v>
      </c>
      <c r="E223" s="1673"/>
      <c r="F223" s="1673"/>
      <c r="G223" s="1673"/>
      <c r="H223" s="1673"/>
      <c r="I223" s="1673"/>
      <c r="J223" s="1673"/>
      <c r="K223" s="1672">
        <f t="shared" si="19"/>
        <v>3793</v>
      </c>
      <c r="L223" s="1573">
        <v>3634</v>
      </c>
    </row>
    <row r="224" spans="1:14" x14ac:dyDescent="0.2">
      <c r="A224" s="1274" t="s">
        <v>958</v>
      </c>
      <c r="B224" s="503">
        <v>1600</v>
      </c>
      <c r="C224" s="1673"/>
      <c r="D224" s="1573">
        <v>1570</v>
      </c>
      <c r="E224" s="1673"/>
      <c r="F224" s="1673"/>
      <c r="G224" s="1673"/>
      <c r="H224" s="1673"/>
      <c r="I224" s="1673"/>
      <c r="J224" s="1673"/>
      <c r="K224" s="1672">
        <f t="shared" si="19"/>
        <v>1570</v>
      </c>
      <c r="L224" s="1573">
        <v>0</v>
      </c>
    </row>
    <row r="225" spans="1:12" x14ac:dyDescent="0.2">
      <c r="A225" s="1274" t="s">
        <v>980</v>
      </c>
      <c r="B225" s="503">
        <v>1650</v>
      </c>
      <c r="C225" s="1673"/>
      <c r="D225" s="1573">
        <v>4117</v>
      </c>
      <c r="E225" s="1673"/>
      <c r="F225" s="1673"/>
      <c r="G225" s="1673"/>
      <c r="H225" s="1673"/>
      <c r="I225" s="1673"/>
      <c r="J225" s="1673"/>
      <c r="K225" s="1672">
        <f t="shared" si="19"/>
        <v>4117</v>
      </c>
      <c r="L225" s="1573">
        <v>3267</v>
      </c>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1080</v>
      </c>
      <c r="B227" s="503">
        <v>1800</v>
      </c>
      <c r="C227" s="1673"/>
      <c r="D227" s="1573">
        <v>6453</v>
      </c>
      <c r="E227" s="1673"/>
      <c r="F227" s="1673"/>
      <c r="G227" s="1673"/>
      <c r="H227" s="1673"/>
      <c r="I227" s="1673"/>
      <c r="J227" s="1673"/>
      <c r="K227" s="1672">
        <f t="shared" si="19"/>
        <v>6453</v>
      </c>
      <c r="L227" s="1573">
        <v>1651</v>
      </c>
    </row>
    <row r="228" spans="1:12" x14ac:dyDescent="0.2">
      <c r="A228" s="1274" t="s">
        <v>1081</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286714</v>
      </c>
      <c r="E229" s="1673"/>
      <c r="F229" s="1673"/>
      <c r="G229" s="1673"/>
      <c r="H229" s="1673"/>
      <c r="I229" s="1673"/>
      <c r="J229" s="1673"/>
      <c r="K229" s="1674">
        <f>SUM(K215:K228)</f>
        <v>286714</v>
      </c>
      <c r="L229" s="1674">
        <f>SUM(L215:L228)</f>
        <v>251376</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1082</v>
      </c>
      <c r="B232" s="503">
        <v>2110</v>
      </c>
      <c r="C232" s="1673"/>
      <c r="D232" s="1573">
        <v>4016</v>
      </c>
      <c r="E232" s="1673"/>
      <c r="F232" s="1673"/>
      <c r="G232" s="1673"/>
      <c r="H232" s="1673"/>
      <c r="I232" s="1673"/>
      <c r="J232" s="1673"/>
      <c r="K232" s="1672">
        <f t="shared" ref="K232:K237" si="20">D232</f>
        <v>4016</v>
      </c>
      <c r="L232" s="1573">
        <v>2238</v>
      </c>
    </row>
    <row r="233" spans="1:12" x14ac:dyDescent="0.2">
      <c r="A233" s="1274" t="s">
        <v>1083</v>
      </c>
      <c r="B233" s="503">
        <v>2120</v>
      </c>
      <c r="C233" s="1673"/>
      <c r="D233" s="1573">
        <v>888</v>
      </c>
      <c r="E233" s="1673"/>
      <c r="F233" s="1673"/>
      <c r="G233" s="1673"/>
      <c r="H233" s="1673"/>
      <c r="I233" s="1673"/>
      <c r="J233" s="1673"/>
      <c r="K233" s="1672">
        <f t="shared" si="20"/>
        <v>888</v>
      </c>
      <c r="L233" s="1573">
        <v>0</v>
      </c>
    </row>
    <row r="234" spans="1:12" x14ac:dyDescent="0.2">
      <c r="A234" s="1274" t="s">
        <v>196</v>
      </c>
      <c r="B234" s="503">
        <v>2130</v>
      </c>
      <c r="C234" s="1673"/>
      <c r="D234" s="1573">
        <v>17416</v>
      </c>
      <c r="E234" s="1673"/>
      <c r="F234" s="1673"/>
      <c r="G234" s="1673"/>
      <c r="H234" s="1673"/>
      <c r="I234" s="1673"/>
      <c r="J234" s="1673"/>
      <c r="K234" s="1672">
        <f t="shared" si="20"/>
        <v>17416</v>
      </c>
      <c r="L234" s="1573">
        <v>23786</v>
      </c>
    </row>
    <row r="235" spans="1:12" x14ac:dyDescent="0.2">
      <c r="A235" s="1274" t="s">
        <v>197</v>
      </c>
      <c r="B235" s="503">
        <v>2140</v>
      </c>
      <c r="C235" s="1673"/>
      <c r="D235" s="1573">
        <v>3622</v>
      </c>
      <c r="E235" s="1673"/>
      <c r="F235" s="1673"/>
      <c r="G235" s="1673"/>
      <c r="H235" s="1673"/>
      <c r="I235" s="1673"/>
      <c r="J235" s="1673"/>
      <c r="K235" s="1672">
        <f t="shared" si="20"/>
        <v>3622</v>
      </c>
      <c r="L235" s="1573">
        <v>3883</v>
      </c>
    </row>
    <row r="236" spans="1:12" x14ac:dyDescent="0.2">
      <c r="A236" s="1274" t="s">
        <v>198</v>
      </c>
      <c r="B236" s="503">
        <v>2150</v>
      </c>
      <c r="C236" s="1673"/>
      <c r="D236" s="1573">
        <v>8370</v>
      </c>
      <c r="E236" s="1673"/>
      <c r="F236" s="1673"/>
      <c r="G236" s="1673"/>
      <c r="H236" s="1673"/>
      <c r="I236" s="1673"/>
      <c r="J236" s="1673"/>
      <c r="K236" s="1672">
        <f t="shared" si="20"/>
        <v>8370</v>
      </c>
      <c r="L236" s="1573">
        <v>4331</v>
      </c>
    </row>
    <row r="237" spans="1:12" x14ac:dyDescent="0.2">
      <c r="A237" s="1274" t="s">
        <v>164</v>
      </c>
      <c r="B237" s="503">
        <v>2190</v>
      </c>
      <c r="C237" s="1673"/>
      <c r="D237" s="1573">
        <v>46022</v>
      </c>
      <c r="E237" s="1673"/>
      <c r="F237" s="1673"/>
      <c r="G237" s="1673"/>
      <c r="H237" s="1673"/>
      <c r="I237" s="1673"/>
      <c r="J237" s="1673"/>
      <c r="K237" s="1672">
        <f t="shared" si="20"/>
        <v>46022</v>
      </c>
      <c r="L237" s="1573">
        <v>42947</v>
      </c>
    </row>
    <row r="238" spans="1:12" ht="12.75" customHeight="1" thickBot="1" x14ac:dyDescent="0.25">
      <c r="A238" s="1380" t="s">
        <v>556</v>
      </c>
      <c r="B238" s="1383" t="s">
        <v>711</v>
      </c>
      <c r="C238" s="1673"/>
      <c r="D238" s="1674">
        <f>SUM(D232:D237)</f>
        <v>80334</v>
      </c>
      <c r="E238" s="1673"/>
      <c r="F238" s="1673"/>
      <c r="G238" s="1673"/>
      <c r="H238" s="1673"/>
      <c r="I238" s="1673"/>
      <c r="J238" s="1673"/>
      <c r="K238" s="1674">
        <f>SUM(K232:K237)</f>
        <v>80334</v>
      </c>
      <c r="L238" s="1674">
        <f>SUM(L232:L237)</f>
        <v>77185</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15210</v>
      </c>
      <c r="E240" s="1673"/>
      <c r="F240" s="1673"/>
      <c r="G240" s="1673"/>
      <c r="H240" s="1673"/>
      <c r="I240" s="1673"/>
      <c r="J240" s="1673"/>
      <c r="K240" s="1678">
        <f>D240</f>
        <v>15210</v>
      </c>
      <c r="L240" s="1586">
        <v>17590</v>
      </c>
    </row>
    <row r="241" spans="1:12" x14ac:dyDescent="0.2">
      <c r="A241" s="1274" t="s">
        <v>810</v>
      </c>
      <c r="B241" s="503">
        <v>2220</v>
      </c>
      <c r="C241" s="1673"/>
      <c r="D241" s="1573">
        <v>24273</v>
      </c>
      <c r="E241" s="1673"/>
      <c r="F241" s="1673"/>
      <c r="G241" s="1673"/>
      <c r="H241" s="1673"/>
      <c r="I241" s="1673"/>
      <c r="J241" s="1673"/>
      <c r="K241" s="1678">
        <f>D241</f>
        <v>24273</v>
      </c>
      <c r="L241" s="1573">
        <v>32815</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39483</v>
      </c>
      <c r="E243" s="1673"/>
      <c r="F243" s="1673"/>
      <c r="G243" s="1673"/>
      <c r="H243" s="1673"/>
      <c r="I243" s="1673"/>
      <c r="J243" s="1673"/>
      <c r="K243" s="1674">
        <f>SUM(K240:K242)</f>
        <v>39483</v>
      </c>
      <c r="L243" s="1674">
        <f>SUM(L240:L242)</f>
        <v>50405</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7008</v>
      </c>
      <c r="E245" s="1673"/>
      <c r="F245" s="1673"/>
      <c r="G245" s="1673"/>
      <c r="H245" s="1673"/>
      <c r="I245" s="1673"/>
      <c r="J245" s="1673"/>
      <c r="K245" s="1678">
        <f>D245</f>
        <v>7008</v>
      </c>
      <c r="L245" s="1586">
        <v>2106</v>
      </c>
    </row>
    <row r="246" spans="1:12" x14ac:dyDescent="0.2">
      <c r="A246" s="1274" t="s">
        <v>813</v>
      </c>
      <c r="B246" s="503">
        <v>2320</v>
      </c>
      <c r="C246" s="1673"/>
      <c r="D246" s="1573">
        <v>17375</v>
      </c>
      <c r="E246" s="1673"/>
      <c r="F246" s="1673"/>
      <c r="G246" s="1673"/>
      <c r="H246" s="1673"/>
      <c r="I246" s="1673"/>
      <c r="J246" s="1673"/>
      <c r="K246" s="1678">
        <f t="shared" ref="K246:K256" si="21">D246</f>
        <v>17375</v>
      </c>
      <c r="L246" s="1573">
        <v>16760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24383</v>
      </c>
      <c r="E257" s="1673"/>
      <c r="F257" s="1673"/>
      <c r="G257" s="1673"/>
      <c r="H257" s="1673"/>
      <c r="I257" s="1673"/>
      <c r="J257" s="1673"/>
      <c r="K257" s="1674">
        <f>SUM(K245:K256)</f>
        <v>24383</v>
      </c>
      <c r="L257" s="1674">
        <f>SUM(L245:L256)</f>
        <v>18866</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1060</v>
      </c>
      <c r="B259" s="559">
        <v>2410</v>
      </c>
      <c r="C259" s="1673"/>
      <c r="D259" s="1586">
        <v>48181</v>
      </c>
      <c r="E259" s="1673"/>
      <c r="F259" s="1673"/>
      <c r="G259" s="1673"/>
      <c r="H259" s="1673"/>
      <c r="I259" s="1673"/>
      <c r="J259" s="1673"/>
      <c r="K259" s="1678">
        <f>D259</f>
        <v>48181</v>
      </c>
      <c r="L259" s="1586">
        <v>42642</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48181</v>
      </c>
      <c r="E261" s="1673"/>
      <c r="F261" s="1673"/>
      <c r="G261" s="1673"/>
      <c r="H261" s="1673"/>
      <c r="I261" s="1673"/>
      <c r="J261" s="1673"/>
      <c r="K261" s="1674">
        <f>SUM(K259:K260)</f>
        <v>48181</v>
      </c>
      <c r="L261" s="1674">
        <f>SUM(L259:L260)</f>
        <v>42642</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1061</v>
      </c>
      <c r="B263" s="559">
        <v>2510</v>
      </c>
      <c r="C263" s="1673"/>
      <c r="D263" s="1573">
        <v>1945</v>
      </c>
      <c r="E263" s="1673"/>
      <c r="F263" s="1673"/>
      <c r="G263" s="1673"/>
      <c r="H263" s="1673"/>
      <c r="I263" s="1673"/>
      <c r="J263" s="1673"/>
      <c r="K263" s="1678">
        <f>D263</f>
        <v>1945</v>
      </c>
      <c r="L263" s="1586">
        <v>1854</v>
      </c>
    </row>
    <row r="264" spans="1:14" x14ac:dyDescent="0.2">
      <c r="A264" s="1274" t="s">
        <v>460</v>
      </c>
      <c r="B264" s="559">
        <v>2520</v>
      </c>
      <c r="C264" s="1673"/>
      <c r="D264" s="1573">
        <v>22636</v>
      </c>
      <c r="E264" s="1673"/>
      <c r="F264" s="1673"/>
      <c r="G264" s="1673"/>
      <c r="H264" s="1673"/>
      <c r="I264" s="1673"/>
      <c r="J264" s="1673"/>
      <c r="K264" s="1678">
        <f t="shared" ref="K264:K269" si="22">D264</f>
        <v>22636</v>
      </c>
      <c r="L264" s="1573">
        <v>30901</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150844</v>
      </c>
      <c r="E266" s="1673"/>
      <c r="F266" s="1673"/>
      <c r="G266" s="1673"/>
      <c r="H266" s="1673"/>
      <c r="I266" s="1673"/>
      <c r="J266" s="1673"/>
      <c r="K266" s="1678">
        <f t="shared" si="22"/>
        <v>150844</v>
      </c>
      <c r="L266" s="1573">
        <v>183166</v>
      </c>
    </row>
    <row r="267" spans="1:14" x14ac:dyDescent="0.2">
      <c r="A267" s="1274" t="s">
        <v>947</v>
      </c>
      <c r="B267" s="503">
        <v>2550</v>
      </c>
      <c r="C267" s="1673"/>
      <c r="D267" s="1573">
        <v>116737</v>
      </c>
      <c r="E267" s="1673"/>
      <c r="F267" s="1673"/>
      <c r="G267" s="1673"/>
      <c r="H267" s="1673"/>
      <c r="I267" s="1673"/>
      <c r="J267" s="1673"/>
      <c r="K267" s="1678">
        <f t="shared" si="22"/>
        <v>116737</v>
      </c>
      <c r="L267" s="1573">
        <v>123526</v>
      </c>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292162</v>
      </c>
      <c r="E270" s="1673"/>
      <c r="F270" s="1673"/>
      <c r="G270" s="1673"/>
      <c r="H270" s="1673"/>
      <c r="I270" s="1673"/>
      <c r="J270" s="1673"/>
      <c r="K270" s="1674">
        <f>SUM(K263:K269)</f>
        <v>292162</v>
      </c>
      <c r="L270" s="1674">
        <f>SUM(L263:L269)</f>
        <v>339447</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1053</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1054</v>
      </c>
      <c r="B274" s="503">
        <v>2630</v>
      </c>
      <c r="C274" s="1673"/>
      <c r="D274" s="1573">
        <v>5617</v>
      </c>
      <c r="E274" s="1673"/>
      <c r="F274" s="1673"/>
      <c r="G274" s="1673"/>
      <c r="H274" s="1673"/>
      <c r="I274" s="1673"/>
      <c r="J274" s="1673"/>
      <c r="K274" s="1678">
        <f>D274</f>
        <v>5617</v>
      </c>
      <c r="L274" s="1573">
        <v>5185</v>
      </c>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v>46195</v>
      </c>
      <c r="E276" s="1673"/>
      <c r="F276" s="1673"/>
      <c r="G276" s="1673"/>
      <c r="H276" s="1673"/>
      <c r="I276" s="1673"/>
      <c r="J276" s="1673"/>
      <c r="K276" s="1678">
        <f>D276</f>
        <v>46195</v>
      </c>
      <c r="L276" s="1573">
        <v>33204</v>
      </c>
    </row>
    <row r="277" spans="1:12" ht="12.75" customHeight="1" thickBot="1" x14ac:dyDescent="0.25">
      <c r="A277" s="1393" t="s">
        <v>37</v>
      </c>
      <c r="B277" s="1381" t="s">
        <v>36</v>
      </c>
      <c r="C277" s="1673"/>
      <c r="D277" s="1674">
        <f>SUM(D272:D276)</f>
        <v>51812</v>
      </c>
      <c r="E277" s="1673"/>
      <c r="F277" s="1673"/>
      <c r="G277" s="1673"/>
      <c r="H277" s="1673"/>
      <c r="I277" s="1673"/>
      <c r="J277" s="1673"/>
      <c r="K277" s="1674">
        <f>SUM(K272:K276)</f>
        <v>51812</v>
      </c>
      <c r="L277" s="1674">
        <f>SUM(L272:L276)</f>
        <v>38389</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536355</v>
      </c>
      <c r="E279" s="1673"/>
      <c r="F279" s="1673"/>
      <c r="G279" s="1673"/>
      <c r="H279" s="1673"/>
      <c r="I279" s="1673"/>
      <c r="J279" s="1673"/>
      <c r="K279" s="1681">
        <f>SUM(K238,K243,K257,K261,K270,K277,K278)</f>
        <v>536355</v>
      </c>
      <c r="L279" s="1681">
        <f>SUM(L238,L243,L257,L261,L270,L277,L278)</f>
        <v>566934</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1473</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1162</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823069</v>
      </c>
      <c r="E295" s="1673"/>
      <c r="F295" s="1673"/>
      <c r="G295" s="1673"/>
      <c r="H295" s="1674">
        <f>H293</f>
        <v>0</v>
      </c>
      <c r="I295" s="1673"/>
      <c r="J295" s="1673"/>
      <c r="K295" s="1674">
        <f>SUM(K229,K279,K280,K285,K293,K294)</f>
        <v>823069</v>
      </c>
      <c r="L295" s="1674">
        <f>SUM(L229,L279,L280,L285,L293,L294)</f>
        <v>818310</v>
      </c>
    </row>
    <row r="296" spans="1:14" ht="13.5" thickTop="1" x14ac:dyDescent="0.2">
      <c r="A296" s="2289" t="s">
        <v>989</v>
      </c>
      <c r="B296" s="2290"/>
      <c r="C296" s="1673"/>
      <c r="D296" s="1675"/>
      <c r="E296" s="1673"/>
      <c r="F296" s="1673"/>
      <c r="G296" s="1673"/>
      <c r="H296" s="1707"/>
      <c r="I296" s="1673"/>
      <c r="J296" s="1673"/>
      <c r="K296" s="1689">
        <f>'Revenues 9-14'!G268-'Expenditures 15-22'!K295</f>
        <v>9079</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60916</v>
      </c>
      <c r="F301" s="1573"/>
      <c r="G301" s="1573">
        <v>223090</v>
      </c>
      <c r="H301" s="1573"/>
      <c r="I301" s="1574"/>
      <c r="J301" s="1574"/>
      <c r="K301" s="1672">
        <f>SUM(C301:J301)</f>
        <v>284006</v>
      </c>
      <c r="L301" s="1574">
        <v>200000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60916</v>
      </c>
      <c r="F303" s="1681">
        <f t="shared" si="23"/>
        <v>0</v>
      </c>
      <c r="G303" s="1681">
        <f t="shared" si="23"/>
        <v>223090</v>
      </c>
      <c r="H303" s="1681">
        <f t="shared" si="23"/>
        <v>0</v>
      </c>
      <c r="I303" s="1681">
        <f t="shared" si="23"/>
        <v>0</v>
      </c>
      <c r="J303" s="1681">
        <f t="shared" si="23"/>
        <v>0</v>
      </c>
      <c r="K303" s="1681">
        <f t="shared" si="23"/>
        <v>284006</v>
      </c>
      <c r="L303" s="1681">
        <f t="shared" si="23"/>
        <v>200000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1473</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60916</v>
      </c>
      <c r="F312" s="1674">
        <f>SUM(F303)</f>
        <v>0</v>
      </c>
      <c r="G312" s="1674">
        <f>SUM(G303)</f>
        <v>223090</v>
      </c>
      <c r="H312" s="1674">
        <f>SUM(H303,H310)</f>
        <v>0</v>
      </c>
      <c r="I312" s="1674">
        <f>SUM(I303)</f>
        <v>0</v>
      </c>
      <c r="J312" s="1674">
        <f>SUM(J303)</f>
        <v>0</v>
      </c>
      <c r="K312" s="1674">
        <f>SUM(K303,K310,K311)</f>
        <v>284006</v>
      </c>
      <c r="L312" s="1674">
        <f>SUM(L303,L310,L311)</f>
        <v>200000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-255892</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1124</v>
      </c>
      <c r="C328" s="1579"/>
      <c r="D328" s="1579"/>
      <c r="E328" s="1579"/>
      <c r="F328" s="1579"/>
      <c r="G328" s="1579"/>
      <c r="H328" s="1579"/>
      <c r="I328" s="1579"/>
      <c r="J328" s="1579"/>
      <c r="K328" s="1713">
        <f>SUM(C328:J328)</f>
        <v>0</v>
      </c>
      <c r="L328" s="1579"/>
      <c r="M328" s="539"/>
      <c r="N328" s="539"/>
    </row>
    <row r="329" spans="1:14" s="548" customFormat="1" x14ac:dyDescent="0.2">
      <c r="A329" s="1290" t="s">
        <v>1125</v>
      </c>
      <c r="B329" s="562" t="s">
        <v>1126</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1162</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1054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1473</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1656</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9" t="s">
        <v>989</v>
      </c>
      <c r="B368" s="2290"/>
      <c r="C368" s="1694"/>
      <c r="D368" s="1694"/>
      <c r="E368" s="1677"/>
      <c r="F368" s="1677"/>
      <c r="G368" s="1677"/>
      <c r="H368" s="1677"/>
      <c r="I368" s="1677"/>
      <c r="J368" s="1676"/>
      <c r="K368" s="1672">
        <f>'Revenues 9-14'!K268-'Expenditures 15-22'!K367</f>
        <v>1087</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http://purl.org/dc/dcmitype/"/>
    <ds:schemaRef ds:uri="http://purl.org/dc/terms/"/>
    <ds:schemaRef ds:uri="http://purl.org/dc/elements/1.1/"/>
    <ds:schemaRef ds:uri="http://schemas.microsoft.com/office/2006/metadata/properties"/>
    <ds:schemaRef ds:uri="http://schemas.microsoft.com/office/2006/documentManagement/types"/>
    <ds:schemaRef ds:uri="d21dc803-237d-4c68-8692-8d731fd29118"/>
    <ds:schemaRef ds:uri="http://schemas.microsoft.com/office/infopath/2007/PartnerControls"/>
    <ds:schemaRef ds:uri="http://schemas.openxmlformats.org/package/2006/metadata/core-properties"/>
    <ds:schemaRef ds:uri="4d435f69-8686-490b-bd6d-b153bf22ab50"/>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Cap Outlay Deprec 26</vt:lpstr>
      <vt:lpstr>Rest Tax Levies-Tort Im 25</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 </vt:lpstr>
      <vt:lpstr>SSPAF</vt:lpstr>
      <vt:lpstr>SF&amp;QC Sec-3</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2020-08-31T16:36:04Z</cp:lastPrinted>
  <dcterms:created xsi:type="dcterms:W3CDTF">2003-10-29T19:06:34Z</dcterms:created>
  <dcterms:modified xsi:type="dcterms:W3CDTF">2020-11-16T21:30:58Z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