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337B698-F0BE-4BD4-92DF-F7F806058196}" xr6:coauthVersionLast="36" xr6:coauthVersionMax="36" xr10:uidLastSave="{00000000-0000-0000-0000-000000000000}"/>
  <bookViews>
    <workbookView xWindow="-20610" yWindow="-90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Cap Outlay Deprec 26" sheetId="11" r:id="rId12"/>
    <sheet name="Rest Tax Levies-Tort Im 25" sheetId="12"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SEFA'!$B$1:$M$63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4" i="173" l="1"/>
  <c r="C33" i="173"/>
  <c r="K40" i="179"/>
  <c r="K41" i="179" s="1"/>
  <c r="J40" i="179"/>
  <c r="J41" i="179" s="1"/>
  <c r="H40" i="179"/>
  <c r="H41" i="179" s="1"/>
  <c r="F40" i="179"/>
  <c r="F41" i="179" s="1"/>
  <c r="E40" i="179"/>
  <c r="E41" i="179" s="1"/>
  <c r="I39" i="179"/>
  <c r="G39" i="179"/>
  <c r="I38" i="179"/>
  <c r="G38" i="179"/>
  <c r="L38" i="179" s="1"/>
  <c r="I37" i="179"/>
  <c r="G37" i="179"/>
  <c r="I36" i="179"/>
  <c r="G36" i="179"/>
  <c r="I35" i="179"/>
  <c r="G35" i="179"/>
  <c r="I34" i="179"/>
  <c r="G34" i="179"/>
  <c r="K28" i="179"/>
  <c r="K29" i="179" s="1"/>
  <c r="J28" i="179"/>
  <c r="J29" i="179" s="1"/>
  <c r="H28" i="179"/>
  <c r="H29" i="179" s="1"/>
  <c r="F28" i="179"/>
  <c r="F29" i="179" s="1"/>
  <c r="E28" i="179"/>
  <c r="E29" i="179" s="1"/>
  <c r="I27" i="179"/>
  <c r="I26" i="179"/>
  <c r="I25" i="179"/>
  <c r="G27" i="179"/>
  <c r="G26" i="179"/>
  <c r="G25" i="179"/>
  <c r="G18" i="179"/>
  <c r="G17" i="179"/>
  <c r="G16" i="179"/>
  <c r="G15" i="179"/>
  <c r="G14" i="179"/>
  <c r="K19" i="179"/>
  <c r="K20" i="179" s="1"/>
  <c r="J19" i="179"/>
  <c r="J20" i="179" s="1"/>
  <c r="H19" i="179"/>
  <c r="H20" i="179" s="1"/>
  <c r="E19" i="179"/>
  <c r="E20" i="179" s="1"/>
  <c r="F19" i="179"/>
  <c r="F20" i="179" s="1"/>
  <c r="I18" i="179"/>
  <c r="I17" i="179"/>
  <c r="I16" i="179"/>
  <c r="I15" i="179"/>
  <c r="I14" i="179"/>
  <c r="F43" i="179" l="1"/>
  <c r="D35" i="171" s="1"/>
  <c r="K43" i="179"/>
  <c r="G39" i="174"/>
  <c r="L39" i="179"/>
  <c r="L35" i="179"/>
  <c r="E43" i="179"/>
  <c r="H43" i="179"/>
  <c r="J43" i="179"/>
  <c r="G40" i="179"/>
  <c r="G41" i="179" s="1"/>
  <c r="L37" i="179"/>
  <c r="I28" i="179"/>
  <c r="I29" i="179" s="1"/>
  <c r="G38" i="174" s="1"/>
  <c r="L36" i="179"/>
  <c r="G28" i="179"/>
  <c r="G29" i="179" s="1"/>
  <c r="L34" i="179"/>
  <c r="I40" i="179"/>
  <c r="I41" i="179" s="1"/>
  <c r="I19" i="179"/>
  <c r="I20" i="179" s="1"/>
  <c r="L16" i="179"/>
  <c r="G19" i="179"/>
  <c r="G20" i="179" s="1"/>
  <c r="H171" i="29"/>
  <c r="L29" i="179" l="1"/>
  <c r="I43" i="179"/>
  <c r="D45" i="174" s="1"/>
  <c r="L40" i="179"/>
  <c r="L41" i="179" s="1"/>
  <c r="G43" i="179"/>
  <c r="E24" i="183"/>
  <c r="F24" i="183" s="1"/>
  <c r="H5" i="12"/>
  <c r="D27" i="3" l="1"/>
  <c r="L124" i="29" l="1"/>
  <c r="L44" i="29" l="1"/>
  <c r="L5"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F33" i="183" s="1"/>
  <c r="E32" i="183"/>
  <c r="E31" i="183"/>
  <c r="F31" i="183" s="1"/>
  <c r="E30" i="183"/>
  <c r="F30" i="183" s="1"/>
  <c r="E29" i="183"/>
  <c r="F29" i="183" s="1"/>
  <c r="E28" i="183"/>
  <c r="F28" i="183" s="1"/>
  <c r="E27" i="183"/>
  <c r="F27" i="183" s="1"/>
  <c r="E26" i="183"/>
  <c r="F26" i="183" s="1"/>
  <c r="E25" i="183"/>
  <c r="F25"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19" i="179"/>
  <c r="L20" i="179" s="1"/>
  <c r="L43" i="179" s="1"/>
  <c r="L18" i="179"/>
  <c r="L17" i="179"/>
  <c r="L15" i="179"/>
  <c r="L14" i="179"/>
  <c r="L28" i="179" l="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L22" i="37"/>
  <c r="D24" i="37" l="1"/>
  <c r="B4270" i="106" s="1"/>
  <c r="D4270" i="106" s="1"/>
  <c r="H28" i="118"/>
  <c r="D68" i="36"/>
  <c r="B7047" i="106"/>
  <c r="D7047" i="106" s="1"/>
  <c r="F36" i="34"/>
  <c r="B7828" i="106" s="1"/>
  <c r="D7828" i="106" s="1"/>
  <c r="F64" i="34"/>
  <c r="F37" i="34"/>
  <c r="B7829" i="106" s="1"/>
  <c r="D7829" i="106" s="1"/>
  <c r="G14" i="4"/>
  <c r="B2609" i="106" s="1"/>
  <c r="D2609" i="106" s="1"/>
  <c r="F72" i="34"/>
  <c r="D69" i="36"/>
  <c r="F77" i="4"/>
  <c r="B3255" i="106" s="1"/>
  <c r="D3255" i="106" s="1"/>
  <c r="E34" i="108"/>
  <c r="B7074" i="106"/>
  <c r="D7074" i="106" s="1"/>
  <c r="G39" i="108"/>
  <c r="B2836" i="106"/>
  <c r="D2836" i="106" s="1"/>
  <c r="B7076" i="106"/>
  <c r="D7076" i="106" s="1"/>
  <c r="I129" i="29"/>
  <c r="B7037" i="106" s="1"/>
  <c r="D7037" i="106" s="1"/>
  <c r="C342" i="29"/>
  <c r="B7216" i="106" s="1"/>
  <c r="D7216" i="106" s="1"/>
  <c r="J210" i="29"/>
  <c r="B7072" i="106" s="1"/>
  <c r="D7072" i="106" s="1"/>
  <c r="B6289" i="106"/>
  <c r="D6289" i="106" s="1"/>
  <c r="G35" i="108"/>
  <c r="F34" i="34"/>
  <c r="B7826" i="106" s="1"/>
  <c r="D7826" i="106" s="1"/>
  <c r="D22" i="37"/>
  <c r="J129" i="29"/>
  <c r="B7038" i="106" s="1"/>
  <c r="D7038" i="106" s="1"/>
  <c r="C129" i="29"/>
  <c r="B1225" i="106" s="1"/>
  <c r="D1225" i="106" s="1"/>
  <c r="H342" i="29"/>
  <c r="B7221" i="106" s="1"/>
  <c r="D7221" i="106" s="1"/>
  <c r="I210" i="29"/>
  <c r="B7071" i="106" s="1"/>
  <c r="D7071" i="106" s="1"/>
  <c r="H76" i="4"/>
  <c r="B3298" i="106" s="1"/>
  <c r="D3298" i="106" s="1"/>
  <c r="C352" i="29"/>
  <c r="C367" i="29" s="1"/>
  <c r="B3622" i="106" s="1"/>
  <c r="D3622"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I7" i="4" l="1"/>
  <c r="B4444" i="106" s="1"/>
  <c r="D4444" i="106" s="1"/>
  <c r="K28" i="118"/>
  <c r="O27" i="118" s="1"/>
  <c r="O29" i="118" s="1"/>
  <c r="F66" i="34"/>
  <c r="B3459" i="106"/>
  <c r="D3459" i="106" s="1"/>
  <c r="M20" i="3"/>
  <c r="B2864" i="106" s="1"/>
  <c r="D2864" i="106" s="1"/>
  <c r="B5770" i="106"/>
  <c r="D5770" i="106" s="1"/>
  <c r="B2056" i="106"/>
  <c r="D2056" i="106" s="1"/>
  <c r="M16" i="3"/>
  <c r="B2057" i="106"/>
  <c r="D2057" i="106" s="1"/>
  <c r="M17" i="3"/>
  <c r="B274" i="106" s="1"/>
  <c r="D274" i="106" s="1"/>
  <c r="B2058" i="106"/>
  <c r="D2058" i="106" s="1"/>
  <c r="M18" i="3"/>
  <c r="B275" i="106" s="1"/>
  <c r="D275" i="106" s="1"/>
  <c r="B2059" i="106"/>
  <c r="D2059" i="106" s="1"/>
  <c r="M19" i="3"/>
  <c r="B276" i="106" s="1"/>
  <c r="D276" i="106" s="1"/>
  <c r="L114" i="29"/>
  <c r="I151" i="29"/>
  <c r="F59" i="34" s="1"/>
  <c r="B3621" i="106"/>
  <c r="D3621" i="106" s="1"/>
  <c r="B7235" i="106"/>
  <c r="D7235" i="106" s="1"/>
  <c r="B5527" i="106"/>
  <c r="D5527" i="106" s="1"/>
  <c r="C151" i="29"/>
  <c r="B1226" i="106" s="1"/>
  <c r="D1226" i="106" s="1"/>
  <c r="K365" i="29"/>
  <c r="B1381" i="106"/>
  <c r="D1381" i="106" s="1"/>
  <c r="J16" i="4"/>
  <c r="B6226" i="106" s="1"/>
  <c r="D6226" i="106" s="1"/>
  <c r="K77" i="4"/>
  <c r="B3587" i="106" s="1"/>
  <c r="D3587" i="106" s="1"/>
  <c r="F41" i="108"/>
  <c r="G43" i="108" s="1"/>
  <c r="J151" i="29"/>
  <c r="B7052" i="106" s="1"/>
  <c r="D7052" i="106" s="1"/>
  <c r="D44" i="36"/>
  <c r="B6216" i="106"/>
  <c r="D6216" i="106" s="1"/>
  <c r="N23" i="3"/>
  <c r="B284" i="106" s="1"/>
  <c r="D284" i="106" s="1"/>
  <c r="H77" i="4"/>
  <c r="B3299" i="106" s="1"/>
  <c r="D3299" i="106" s="1"/>
  <c r="L16" i="11"/>
  <c r="B2061" i="106" s="1"/>
  <c r="D2061" i="106" s="1"/>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051" i="106" l="1"/>
  <c r="D7051" i="106" s="1"/>
  <c r="B1145" i="106"/>
  <c r="D1145" i="106" s="1"/>
  <c r="M23" i="3"/>
  <c r="M40" i="3" s="1"/>
  <c r="B273" i="106"/>
  <c r="D273" i="106" s="1"/>
  <c r="K367" i="29"/>
  <c r="K368" i="29" s="1"/>
  <c r="B3681" i="106" s="1"/>
  <c r="D3681"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J20" i="4"/>
  <c r="J78" i="4" s="1"/>
  <c r="F8" i="4"/>
  <c r="B2595" i="106" s="1"/>
  <c r="D2595" i="106" s="1"/>
  <c r="F77" i="34"/>
  <c r="B7834" i="106" s="1"/>
  <c r="D7834" i="106" s="1"/>
  <c r="K17" i="4"/>
  <c r="K19" i="4" s="1"/>
  <c r="B4144" i="106" s="1"/>
  <c r="D4144"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B6230" i="106"/>
  <c r="D6230" i="106" s="1"/>
  <c r="K20" i="4"/>
  <c r="K78" i="4" s="1"/>
  <c r="F10" i="4"/>
  <c r="B4125" i="106" s="1"/>
  <c r="D4125" i="106" s="1"/>
  <c r="D8" i="146"/>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B3576" i="106"/>
  <c r="D3576" i="106" s="1"/>
  <c r="F8" i="146"/>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<sst xmlns="http://schemas.openxmlformats.org/spreadsheetml/2006/main" count="5245" uniqueCount="2110">
  <si>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</si>
  <si>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</si>
  <si>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</si>
  <si>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</si>
  <si>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</si>
  <si>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</si>
  <si>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</si>
  <si>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</si>
  <si>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</si>
  <si>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</si>
  <si>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</si>
  <si>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</si>
  <si>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</si>
  <si>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</si>
  <si>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</si>
  <si>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</si>
  <si>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</si>
  <si>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</si>
  <si>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</si>
  <si>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</si>
  <si>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</si>
  <si>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</si>
  <si>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</si>
  <si>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</si>
  <si>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</si>
  <si>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</si>
  <si>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</si>
  <si>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</si>
  <si>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</si>
  <si>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</si>
  <si>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</si>
  <si>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</si>
  <si>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</si>
  <si>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</si>
  <si>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</si>
  <si>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</si>
  <si>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</si>
  <si>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</si>
  <si>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</si>
  <si>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</si>
  <si>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</si>
  <si>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</si>
  <si>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</si>
  <si>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</si>
  <si>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</si>
  <si>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</si>
  <si>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</si>
  <si>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</si>
  <si>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</si>
  <si>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</si>
  <si>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</si>
  <si>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</si>
  <si>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</si>
  <si>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</si>
  <si>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</si>
  <si>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</si>
  <si>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</si>
  <si>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</si>
  <si>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</si>
  <si>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</si>
  <si>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</si>
  <si>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</si>
  <si>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</si>
  <si>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</si>
  <si>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</si>
  <si>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</si>
  <si>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</si>
  <si>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</si>
  <si>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</si>
  <si>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</si>
  <si>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</si>
  <si>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</si>
  <si>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</si>
  <si>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</si>
  <si>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</si>
  <si>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</si>
  <si>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</si>
  <si>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</si>
  <si>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</si>
  <si>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</si>
  <si>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</si>
  <si>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</si>
  <si>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</si>
  <si>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</si>
  <si>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</si>
  <si>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</si>
  <si>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</si>
  <si>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</si>
  <si>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</si>
  <si>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</si>
  <si>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</si>
  <si>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</si>
  <si>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</si>
  <si>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</si>
  <si>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</si>
  <si>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</si>
  <si>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</si>
  <si>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</si>
  <si>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</si>
  <si>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</si>
  <si>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</si>
  <si>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</si>
  <si>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</si>
  <si>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</si>
  <si>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</si>
  <si>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</si>
  <si>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</si>
  <si>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</si>
  <si>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</si>
  <si>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</si>
  <si>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</si>
  <si>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</si>
  <si>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</si>
  <si>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</si>
  <si>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</si>
  <si>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</si>
  <si>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</si>
  <si>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</si>
  <si>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</si>
  <si>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</si>
  <si>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</si>
  <si>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</si>
  <si>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</si>
  <si>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</si>
  <si>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</si>
  <si>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</si>
  <si>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</si>
  <si>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</si>
  <si>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</si>
  <si>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</si>
  <si>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</si>
  <si>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</si>
  <si>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</si>
  <si>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</si>
  <si>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</si>
  <si>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</si>
  <si>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</si>
  <si>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</si>
  <si>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</si>
  <si>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</si>
  <si>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</si>
  <si>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</si>
  <si>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</si>
  <si>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</si>
  <si>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</si>
  <si>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</si>
  <si>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</si>
  <si>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</si>
  <si>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</si>
  <si>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</si>
  <si>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</si>
  <si>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</si>
  <si>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</si>
  <si>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</si>
  <si>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</si>
  <si>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</si>
  <si>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</si>
  <si>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</si>
  <si>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</si>
  <si>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</si>
  <si>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</si>
  <si>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</si>
  <si>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</si>
  <si>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</si>
  <si>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</si>
  <si>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</si>
  <si>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</si>
  <si>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</si>
  <si>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</si>
  <si>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</si>
  <si>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</si>
  <si>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</si>
  <si>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</si>
  <si>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</si>
  <si>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</si>
  <si>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</si>
  <si>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</si>
  <si>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</si>
  <si>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</si>
  <si>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</si>
  <si>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</si>
  <si>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</si>
  <si>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</si>
  <si>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</si>
  <si>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</si>
  <si>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</si>
  <si>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</si>
  <si>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</si>
  <si>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</si>
  <si>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</si>
  <si>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</si>
  <si>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</si>
  <si>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</si>
  <si>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</si>
  <si>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</si>
  <si>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</si>
  <si>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</si>
  <si>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</si>
  <si>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</si>
  <si>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</si>
  <si>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</si>
  <si>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</si>
  <si>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</si>
  <si>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</si>
  <si>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</si>
  <si>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</si>
  <si>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</si>
  <si>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</si>
  <si>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</si>
  <si>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</si>
  <si>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</si>
  <si>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</si>
  <si>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</si>
  <si>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</si>
  <si>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</si>
  <si>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</si>
  <si>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</si>
  <si>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</si>
  <si>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</si>
  <si>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</si>
  <si>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</si>
  <si>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</si>
  <si>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</si>
  <si>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</si>
  <si>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</si>
  <si>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</si>
  <si>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</si>
  <si>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</si>
  <si>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</si>
  <si>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</si>
  <si>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</si>
  <si>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</si>
  <si>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</si>
  <si>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</si>
  <si>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</si>
  <si>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</si>
  <si>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</si>
  <si>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</si>
  <si>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</si>
  <si>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</si>
  <si>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</si>
  <si>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</si>
  <si>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</si>
  <si>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</si>
  <si>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</si>
  <si>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</si>
  <si>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</si>
  <si>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</si>
  <si>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</si>
  <si>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</si>
  <si>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</si>
  <si>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</si>
  <si>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</si>
  <si>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</si>
  <si>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</si>
  <si>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</si>
  <si>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</si>
  <si>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</si>
  <si>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</si>
  <si>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</si>
  <si>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</si>
  <si>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</si>
  <si>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</si>
  <si>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</si>
  <si>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</si>
  <si>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</si>
  <si>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</si>
  <si>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</si>
  <si>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</si>
  <si>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</si>
  <si>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</si>
  <si>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</si>
  <si>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</si>
  <si>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</si>
  <si>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</si>
  <si>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</si>
  <si>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</si>
  <si>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</si>
  <si>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</si>
  <si>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</si>
  <si>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</si>
  <si>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</si>
  <si>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</si>
  <si>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</si>
  <si>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</si>
  <si>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</si>
  <si>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</si>
  <si>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</si>
  <si>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</si>
  <si>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</si>
  <si>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</si>
  <si>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</si>
  <si>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</si>
  <si>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</si>
  <si>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</si>
  <si>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</si>
  <si>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</si>
  <si>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</si>
  <si>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</si>
  <si>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</si>
  <si>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</si>
  <si>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</si>
  <si>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</si>
  <si>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</si>
  <si>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</si>
  <si>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</si>
  <si>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</si>
  <si>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</si>
  <si>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</si>
  <si>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</si>
  <si>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</si>
  <si>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</si>
  <si>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</si>
  <si>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</si>
  <si>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</si>
  <si>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</si>
  <si>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</si>
  <si>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</si>
  <si>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</si>
  <si>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</si>
  <si>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</si>
  <si>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</si>
  <si>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</si>
  <si>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</si>
  <si>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</si>
  <si>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</si>
  <si>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</si>
  <si>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</si>
  <si>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</si>
  <si>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</si>
  <si>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</si>
  <si>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</si>
  <si>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</si>
  <si>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</si>
  <si>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</si>
  <si>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</si>
  <si>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</si>
  <si>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</si>
  <si>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</si>
  <si>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</si>
  <si>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</si>
  <si>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</si>
  <si>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</si>
  <si>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</si>
  <si>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</si>
  <si>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</si>
  <si>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</si>
  <si>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</si>
  <si>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</si>
  <si>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</si>
  <si>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</si>
  <si>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</si>
  <si>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</si>
  <si>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</si>
  <si>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</si>
  <si>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</si>
  <si>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</si>
  <si>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</si>
  <si>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</si>
  <si>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</si>
  <si>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</si>
  <si>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</si>
  <si>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</si>
  <si>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</si>
  <si>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</si>
  <si>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</si>
  <si>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</si>
  <si>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</si>
  <si>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</si>
  <si>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</si>
  <si>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</si>
  <si>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</si>
  <si>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</si>
  <si>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</si>
  <si>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</si>
  <si>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</si>
  <si>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</si>
  <si>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</si>
  <si>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</si>
  <si>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</si>
  <si>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</si>
  <si>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</si>
  <si>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</si>
  <si>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</si>
  <si>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</si>
  <si>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</si>
  <si>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</si>
  <si>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</si>
  <si>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</si>
  <si>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</si>
  <si>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</si>
  <si>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</si>
  <si>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</si>
  <si>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</si>
  <si>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</si>
  <si>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</si>
  <si>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</si>
  <si>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</si>
  <si>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</si>
  <si>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</si>
  <si>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</si>
  <si>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</si>
  <si>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</si>
  <si>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</si>
  <si>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</si>
  <si>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</si>
  <si>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</si>
  <si>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</si>
  <si>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</si>
  <si>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</si>
  <si>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</si>
  <si>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</si>
  <si>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</si>
  <si>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</si>
  <si>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</si>
  <si>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</si>
  <si>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</si>
  <si>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</si>
  <si>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</si>
  <si>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</si>
  <si>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</si>
  <si>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</si>
  <si>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</si>
  <si>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</si>
  <si>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</si>
  <si>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</si>
  <si>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</si>
  <si>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</si>
  <si>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</si>
  <si>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</si>
  <si>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</si>
  <si>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</si>
  <si>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</si>
  <si>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</si>
  <si>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</si>
  <si>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</si>
  <si>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</si>
  <si>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</si>
  <si>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</si>
  <si>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</si>
  <si>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</si>
  <si>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</si>
  <si>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</si>
  <si>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</si>
  <si>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</si>
  <si>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</si>
  <si>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</si>
  <si>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</si>
  <si>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</si>
  <si>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</si>
  <si>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</si>
  <si>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</si>
  <si>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</si>
  <si>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</si>
  <si>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</si>
  <si>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</si>
  <si>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</si>
  <si>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</si>
  <si>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</si>
  <si>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</si>
  <si>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</si>
  <si>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</si>
  <si>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</si>
  <si>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</si>
  <si>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</si>
  <si>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</si>
  <si>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</si>
  <si>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</si>
  <si>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</si>
  <si>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</si>
  <si>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</si>
  <si>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</si>
  <si>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</si>
  <si>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</si>
  <si>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</si>
  <si>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</si>
  <si>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</si>
  <si>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</si>
  <si>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</si>
  <si>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</si>
  <si>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</si>
  <si>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</si>
  <si>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</si>
  <si>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</si>
  <si>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</si>
  <si>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</si>
  <si>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</si>
  <si>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</si>
  <si>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</si>
  <si>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</si>
  <si>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</si>
  <si>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</si>
  <si>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</si>
  <si>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</si>
  <si>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</si>
  <si>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</si>
  <si>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</si>
  <si>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</si>
  <si>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</si>
  <si>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</si>
  <si>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</si>
  <si>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</si>
  <si>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</si>
  <si>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</si>
  <si>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</si>
  <si>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</si>
  <si>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</si>
  <si>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</si>
  <si>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</si>
  <si>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</si>
  <si>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</si>
  <si>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</si>
  <si>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</si>
  <si>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</si>
  <si>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</si>
  <si>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</si>
  <si>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</si>
  <si>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</si>
  <si>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</si>
  <si>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</si>
  <si>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</si>
  <si>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</si>
  <si>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</si>
  <si>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</si>
  <si>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</si>
  <si>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</si>
  <si>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</si>
  <si>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</si>
  <si>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</si>
  <si>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</si>
  <si>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</si>
  <si>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</si>
  <si>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</si>
  <si>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</si>
  <si>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</si>
  <si>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</si>
  <si>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</si>
  <si>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</si>
  <si>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</si>
  <si>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</si>
  <si>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</si>
  <si>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</si>
  <si>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</si>
  <si>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</si>
  <si>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</si>
  <si>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</si>
  <si>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</si>
  <si>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</si>
  <si>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</si>
  <si>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</si>
  <si>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</si>
  <si>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</si>
  <si>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</si>
  <si>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</si>
  <si>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</si>
  <si>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</si>
  <si>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</si>
  <si>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</si>
  <si>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</si>
  <si>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</si>
  <si>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</si>
  <si>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</si>
  <si>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</si>
  <si>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</si>
  <si>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</si>
  <si>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</si>
  <si>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</si>
  <si>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</si>
  <si>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</si>
  <si>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</si>
  <si>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</si>
  <si>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</si>
  <si>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</si>
  <si>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</si>
  <si>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</si>
  <si>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</si>
  <si>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</si>
  <si>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</si>
  <si>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</si>
  <si>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</si>
  <si>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</si>
  <si>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</si>
  <si>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</si>
  <si>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</si>
  <si>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</si>
  <si>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</si>
  <si>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</si>
  <si>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</si>
  <si>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</si>
  <si>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</si>
  <si>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</si>
  <si>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</si>
  <si>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</si>
  <si>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</si>
  <si>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</si>
  <si>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</si>
  <si>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</si>
  <si>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</si>
  <si>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</si>
  <si>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</si>
  <si>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</si>
  <si>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</si>
  <si>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</si>
  <si>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</si>
  <si>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</si>
  <si>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</si>
  <si>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</si>
  <si>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</si>
  <si>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</si>
  <si>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</si>
  <si>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</si>
  <si>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</si>
  <si>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</si>
  <si>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</si>
  <si>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</si>
  <si>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</si>
  <si>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</si>
  <si>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</si>
  <si>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</si>
  <si>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</si>
  <si>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</si>
  <si>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</si>
  <si>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</si>
  <si>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</si>
  <si>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</si>
  <si>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</si>
  <si>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</si>
  <si>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</si>
  <si>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</si>
  <si>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</si>
  <si>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</si>
  <si>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</si>
  <si>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</si>
  <si>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</si>
  <si>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</si>
  <si>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</si>
  <si>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</si>
  <si>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</si>
  <si>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</si>
  <si>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</si>
  <si>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</si>
  <si>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</si>
  <si>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</si>
  <si>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</si>
  <si>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</si>
  <si>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</si>
  <si>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</si>
  <si>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</si>
  <si>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</si>
  <si>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</si>
  <si>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</si>
  <si>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</si>
  <si>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</si>
  <si>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</si>
  <si>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</si>
  <si>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</si>
  <si>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</si>
  <si>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</si>
  <si>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</si>
  <si>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</si>
  <si>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</si>
  <si>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</si>
  <si>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</si>
  <si>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</si>
  <si>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</si>
  <si>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</si>
  <si>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</si>
  <si>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</si>
  <si>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</si>
  <si>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</si>
  <si>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</si>
  <si>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</si>
  <si>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</si>
  <si>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</si>
  <si>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</si>
  <si>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</si>
  <si>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</si>
  <si>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</si>
  <si>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</si>
  <si>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</si>
  <si>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</si>
  <si>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</si>
  <si>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</si>
  <si>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</si>
  <si>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</si>
  <si>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</si>
  <si>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</si>
  <si>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</si>
  <si>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</si>
  <si>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</si>
  <si>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</si>
  <si>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</si>
  <si>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</si>
  <si>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</si>
  <si>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</si>
  <si>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</si>
  <si>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</si>
  <si>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</si>
  <si>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</si>
  <si>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</si>
  <si>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</si>
  <si>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</si>
  <si>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</si>
  <si>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</si>
  <si>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</si>
  <si>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</si>
  <si>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</si>
  <si>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</si>
  <si>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</si>
  <si>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</si>
  <si>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</si>
  <si>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</si>
  <si>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</si>
  <si>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</si>
  <si>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</si>
  <si>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</si>
  <si>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</si>
  <si>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</si>
  <si>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</si>
  <si>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</si>
  <si>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</si>
  <si>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</si>
  <si>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</si>
  <si>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</si>
  <si>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</si>
  <si>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</si>
  <si>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</si>
  <si>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</si>
  <si>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</si>
  <si>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</si>
  <si>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</si>
  <si>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</si>
  <si>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</si>
  <si>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</si>
  <si>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</si>
  <si>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</si>
  <si>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</si>
  <si>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</si>
  <si>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</si>
  <si>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</si>
  <si>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</si>
  <si>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</si>
  <si>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</si>
  <si>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</si>
  <si>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</si>
  <si>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</si>
  <si>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</si>
  <si>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</si>
  <si>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</si>
  <si>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</si>
  <si>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</si>
  <si>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</si>
  <si>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</si>
  <si>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</si>
  <si>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</si>
  <si>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</si>
  <si>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</si>
  <si>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</si>
  <si>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</si>
  <si>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</si>
  <si>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</si>
  <si>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</si>
  <si>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</si>
  <si>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</si>
  <si>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</si>
  <si>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</si>
  <si>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</si>
  <si>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</si>
  <si>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</si>
  <si>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</si>
  <si>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</si>
  <si>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</si>
  <si>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</si>
  <si>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</si>
  <si>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</si>
  <si>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</si>
  <si>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</si>
  <si>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</si>
  <si>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</si>
  <si>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</si>
  <si>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</si>
  <si>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</si>
  <si>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</si>
  <si>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</si>
  <si>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</si>
  <si>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</si>
  <si>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</si>
  <si>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</si>
  <si>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</si>
  <si>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</si>
  <si>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</si>
  <si>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</si>
  <si>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</si>
  <si>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</si>
  <si>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</si>
  <si>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</si>
  <si>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</si>
  <si>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</si>
  <si>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</si>
  <si>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</si>
  <si>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</si>
  <si>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</si>
  <si>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</si>
  <si>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</si>
  <si>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</si>
  <si>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</si>
  <si>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</si>
  <si>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</si>
  <si>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</si>
  <si>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</si>
  <si>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</si>
  <si>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</si>
  <si>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</si>
  <si>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</si>
  <si>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</si>
  <si>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</si>
  <si>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</si>
  <si>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</si>
  <si>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</si>
  <si>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</si>
  <si>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</si>
  <si>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</si>
  <si>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</si>
  <si>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</si>
  <si>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</si>
  <si>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</si>
  <si>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</si>
  <si>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</si>
  <si>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</si>
  <si>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</si>
  <si>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</si>
  <si>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</si>
  <si>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</si>
  <si>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</si>
  <si>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</si>
  <si>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</si>
  <si>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</si>
  <si>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</si>
  <si>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</si>
  <si>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</si>
  <si>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</si>
  <si>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</si>
  <si>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</si>
  <si>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</si>
  <si>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</si>
  <si>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</si>
  <si>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</si>
  <si>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</si>
  <si>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</si>
  <si>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</si>
  <si>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</si>
  <si>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</si>
  <si>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</si>
  <si>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</si>
  <si>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</si>
  <si>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</si>
  <si>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</si>
  <si>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</si>
  <si>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</si>
  <si>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</si>
  <si>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</si>
  <si>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</si>
  <si>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</si>
  <si>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</si>
  <si>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</si>
  <si>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</si>
  <si>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</si>
  <si>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</si>
  <si>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</si>
  <si>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</si>
  <si>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</si>
  <si>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</si>
  <si>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</si>
  <si>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</si>
  <si>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</si>
  <si>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</si>
  <si>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</si>
  <si>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</si>
  <si>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</si>
  <si>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</si>
  <si>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</si>
  <si>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</si>
  <si>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</si>
  <si>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</si>
  <si>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</si>
  <si>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</si>
  <si>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</si>
  <si>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</si>
  <si>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</si>
  <si>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</si>
  <si>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</si>
  <si>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</si>
  <si>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</si>
  <si>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</si>
  <si>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</si>
  <si>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</si>
  <si>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</si>
  <si>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</si>
  <si>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</si>
  <si>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</si>
  <si>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</si>
  <si>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</si>
  <si>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</si>
  <si>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</si>
  <si>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</si>
  <si>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</si>
  <si>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</si>
  <si>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</si>
  <si>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</si>
  <si>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</si>
  <si>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</si>
  <si>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</si>
  <si>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</si>
  <si>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</si>
  <si>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</si>
  <si>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</si>
  <si>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</si>
  <si>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</si>
  <si>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</si>
  <si>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</si>
  <si>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</si>
  <si>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</si>
  <si>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</si>
  <si>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</si>
  <si>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</si>
  <si>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</si>
  <si>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</si>
  <si>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</si>
  <si>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</si>
  <si>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</si>
  <si>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</si>
  <si>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</si>
  <si>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</si>
  <si>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</si>
  <si>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</si>
  <si>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</si>
  <si>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</si>
  <si>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</si>
  <si>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</si>
  <si>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</si>
  <si>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</si>
  <si>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</si>
  <si>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</si>
  <si>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</si>
  <si>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</si>
  <si>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</si>
  <si>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</si>
  <si>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</si>
  <si>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</si>
  <si>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</si>
  <si>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</si>
  <si>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</si>
  <si>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</si>
  <si>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</si>
  <si>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</si>
  <si>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</si>
  <si>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</si>
  <si>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</si>
  <si>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</si>
  <si>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</si>
  <si>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</si>
  <si>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</si>
  <si>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</si>
  <si>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</si>
  <si>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</si>
  <si>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</si>
  <si>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</si>
  <si>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</si>
  <si>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</si>
  <si>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</si>
  <si>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</si>
  <si>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</si>
  <si>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</si>
  <si>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</si>
  <si>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</si>
  <si>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</si>
  <si>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</si>
  <si>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</si>
  <si>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</si>
  <si>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</si>
  <si>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</si>
  <si>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</si>
  <si>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</si>
  <si>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</si>
  <si>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</si>
  <si>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</si>
  <si>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</si>
  <si>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</si>
  <si>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</si>
  <si>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</si>
  <si>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</si>
  <si>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</si>
  <si>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</si>
  <si>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</si>
  <si>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</si>
  <si>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</si>
  <si>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</si>
  <si>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</si>
  <si>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</si>
  <si>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</si>
  <si>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</si>
  <si>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</si>
  <si>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</si>
  <si>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</si>
  <si>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</si>
  <si>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</si>
  <si>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</si>
  <si>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</si>
  <si>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</si>
  <si>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</si>
  <si>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</si>
  <si>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</si>
  <si>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</si>
  <si>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</si>
  <si>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</si>
  <si>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</si>
  <si>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</si>
  <si>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</si>
  <si>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</si>
  <si>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</si>
  <si>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</si>
  <si>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</si>
  <si>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</si>
  <si>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</si>
  <si>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</si>
  <si>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</si>
  <si>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</si>
  <si>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</si>
  <si>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</si>
  <si>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</si>
  <si>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</si>
  <si>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</si>
  <si>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</si>
  <si>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</si>
  <si>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</si>
  <si>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</si>
  <si>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</si>
  <si>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</si>
  <si>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</si>
  <si>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</si>
  <si>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</si>
  <si>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</si>
  <si>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</si>
  <si>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</si>
  <si>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</si>
  <si>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</si>
  <si>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</si>
  <si>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</si>
  <si>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</si>
  <si>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</si>
  <si>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</si>
  <si>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</si>
  <si>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</si>
  <si>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</si>
  <si>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</si>
  <si>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</si>
  <si>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</si>
  <si>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</si>
  <si>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</si>
  <si>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</si>
  <si>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</si>
  <si>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</si>
  <si>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</si>
  <si>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</si>
  <si>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</si>
  <si>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</si>
  <si>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</si>
  <si>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</si>
  <si>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</si>
  <si>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</si>
  <si>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</si>
  <si>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</si>
  <si>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</si>
  <si>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</si>
  <si>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</si>
  <si>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</si>
  <si>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</si>
  <si>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</si>
  <si>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</si>
  <si>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</si>
  <si>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</si>
  <si>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</si>
  <si>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</si>
  <si>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</si>
  <si>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</si>
  <si>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</si>
  <si>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</si>
  <si>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</si>
  <si>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</si>
  <si>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</si>
  <si>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</si>
  <si>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</si>
  <si>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</si>
  <si>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</si>
  <si>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</si>
  <si>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</si>
  <si>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</si>
  <si>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</si>
  <si>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</si>
  <si>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</si>
  <si>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</si>
  <si>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</si>
  <si>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</si>
  <si>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</si>
  <si>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</si>
  <si>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</si>
  <si>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</si>
  <si>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</si>
  <si>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</si>
  <si>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</si>
  <si>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</si>
  <si>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</si>
  <si>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</si>
  <si>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</si>
  <si>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</si>
  <si>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</si>
  <si>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</si>
  <si>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</si>
  <si>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</si>
  <si>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</si>
  <si>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</si>
  <si>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</si>
  <si>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</si>
  <si>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</si>
  <si>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</si>
  <si>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</si>
  <si>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</si>
  <si>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</si>
  <si>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</si>
  <si>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</si>
  <si>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</si>
  <si>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</si>
  <si>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</si>
  <si>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</si>
  <si>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</si>
  <si>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</si>
  <si>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</si>
  <si>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</si>
  <si>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</si>
  <si>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</si>
  <si>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</si>
  <si>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</si>
  <si>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</si>
  <si>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</si>
  <si>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</si>
  <si>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</si>
  <si>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</si>
  <si>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</si>
  <si>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</si>
  <si>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</si>
  <si>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</si>
  <si>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</si>
  <si>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</si>
  <si>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</si>
  <si>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</si>
  <si>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</si>
  <si>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</si>
  <si>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</si>
  <si>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</si>
  <si>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</si>
  <si>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</si>
  <si>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</si>
  <si>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</si>
  <si>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</si>
  <si>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</si>
  <si>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</si>
  <si>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</si>
  <si>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</si>
  <si>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</si>
  <si>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</si>
  <si>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</si>
  <si>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</si>
  <si>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</si>
  <si>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</si>
  <si>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</si>
  <si>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</si>
  <si>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</si>
  <si>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</si>
  <si>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</si>
  <si>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</si>
  <si>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</si>
  <si>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</si>
  <si>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</si>
  <si>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</si>
  <si>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</si>
  <si>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</si>
  <si>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</si>
  <si>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</si>
  <si>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</si>
  <si>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</si>
  <si>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</si>
  <si>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</si>
  <si>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</si>
  <si>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</si>
  <si>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</si>
  <si>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</si>
  <si>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</si>
  <si>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</si>
  <si>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</si>
  <si>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</si>
  <si>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</si>
  <si>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</si>
  <si>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</si>
  <si>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</si>
  <si>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</si>
  <si>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</si>
  <si>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</si>
  <si>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</si>
  <si>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</si>
  <si>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</si>
  <si>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</si>
  <si>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</si>
  <si>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</si>
  <si>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</si>
  <si>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</si>
  <si>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</si>
  <si>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</si>
  <si>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</si>
  <si>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</si>
  <si>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</si>
  <si>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</si>
  <si>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</si>
  <si>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</si>
  <si>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</si>
  <si>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</si>
  <si>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</si>
  <si>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</si>
  <si>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</si>
  <si>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</si>
  <si>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</si>
  <si>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</si>
  <si>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</si>
  <si>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</si>
  <si>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</si>
  <si>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</si>
  <si>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</si>
  <si>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</si>
  <si>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</si>
  <si>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</si>
  <si>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</si>
  <si>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</si>
  <si>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</si>
  <si>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</si>
  <si>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</si>
  <si>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</si>
  <si>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</si>
  <si>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</si>
  <si>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</si>
  <si>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</si>
  <si>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</si>
  <si>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</si>
  <si>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</si>
  <si>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</si>
  <si>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</si>
  <si>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</si>
  <si>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</si>
  <si>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</si>
  <si>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</si>
  <si>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</si>
  <si>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</si>
  <si>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</si>
  <si>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</si>
  <si>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</si>
  <si>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</si>
  <si>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</si>
  <si>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</si>
  <si>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</si>
  <si>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</si>
  <si>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</si>
  <si>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</si>
  <si>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</si>
  <si>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</si>
  <si>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</si>
  <si>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</si>
  <si>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</si>
  <si>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</si>
  <si>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</si>
  <si>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</si>
  <si>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</si>
  <si>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</si>
  <si>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</si>
  <si>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</si>
  <si>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</si>
  <si>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</si>
  <si>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</si>
  <si>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</si>
  <si>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</si>
  <si>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</si>
  <si>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</si>
  <si>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</si>
  <si>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</si>
  <si>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</si>
  <si>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</si>
  <si>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</si>
  <si>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</si>
  <si>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</si>
  <si>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</si>
  <si>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</si>
  <si>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</si>
  <si>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</si>
  <si>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</si>
  <si>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</si>
  <si>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</si>
  <si>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</si>
  <si>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</si>
  <si>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</si>
  <si>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</si>
  <si>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</si>
  <si>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</si>
  <si>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</si>
  <si>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</si>
  <si>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</si>
  <si>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</si>
  <si>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</si>
  <si>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</si>
  <si>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</si>
  <si>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</si>
  <si>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</si>
  <si>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</si>
  <si>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</si>
  <si>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</si>
  <si>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</si>
  <si>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</si>
  <si>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</si>
  <si>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</si>
  <si>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</si>
  <si>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</si>
  <si>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</si>
  <si>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</si>
  <si>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</si>
  <si>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</si>
  <si>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</si>
  <si>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</si>
  <si>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</si>
  <si>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</si>
  <si>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</si>
  <si>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</si>
  <si>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</si>
  <si>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</si>
  <si>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</si>
  <si>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</si>
  <si>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</si>
  <si>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</si>
  <si>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</si>
  <si>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</si>
  <si>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</si>
  <si>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</si>
  <si>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</si>
  <si>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</si>
  <si>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</si>
  <si>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</si>
  <si>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</si>
  <si>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</si>
  <si>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</si>
  <si>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</si>
  <si>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</si>
  <si>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</si>
  <si>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</si>
  <si>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</si>
  <si>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</si>
  <si>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</si>
  <si>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</si>
  <si>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</si>
  <si>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</si>
  <si>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</si>
  <si>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</si>
  <si>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</si>
  <si>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</si>
  <si>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</si>
  <si>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</si>
  <si>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</si>
  <si>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</si>
  <si>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</si>
  <si>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</si>
  <si>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</si>
  <si>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</si>
  <si>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</si>
  <si>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</si>
  <si>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</si>
  <si>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</si>
  <si>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</si>
  <si>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</si>
  <si>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</si>
  <si>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</si>
  <si>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</si>
  <si>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</si>
  <si>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</si>
  <si>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</si>
  <si>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</si>
  <si>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</si>
  <si>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</si>
  <si>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</si>
  <si>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</si>
  <si>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</si>
  <si>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</si>
  <si>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</si>
  <si>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</si>
  <si>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</si>
  <si>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</si>
  <si>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</si>
  <si>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</si>
  <si>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</si>
  <si>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</si>
  <si>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</si>
  <si>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</si>
  <si>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</si>
  <si>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</si>
  <si>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</si>
  <si>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</si>
  <si>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</si>
  <si>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</si>
  <si>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</si>
  <si>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</si>
  <si>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</si>
  <si>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</si>
  <si>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</si>
  <si>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</si>
  <si>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</si>
  <si>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</si>
  <si>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</si>
  <si>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</si>
  <si>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</si>
  <si>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</si>
  <si>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</si>
  <si>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</si>
  <si>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</si>
  <si>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</si>
  <si>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</si>
  <si>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</si>
  <si>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</si>
  <si>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</si>
  <si>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</si>
  <si>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</si>
  <si>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</si>
  <si>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</si>
  <si>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</si>
  <si>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</si>
  <si>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</si>
  <si>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</si>
  <si>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</si>
  <si>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</si>
  <si>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</si>
  <si>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</si>
  <si>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</si>
  <si>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</si>
  <si>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</si>
  <si>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</si>
  <si>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</si>
  <si>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</si>
  <si>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</si>
  <si>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</si>
  <si>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</si>
  <si>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</si>
  <si>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</si>
  <si>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</si>
  <si>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</si>
  <si>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</si>
  <si>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</si>
  <si>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</si>
  <si>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</si>
  <si>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</si>
  <si>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</si>
  <si>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</si>
  <si>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</si>
  <si>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</si>
  <si>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</si>
  <si>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</si>
  <si>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</si>
  <si>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</si>
  <si>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</si>
  <si>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</si>
  <si>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</si>
  <si>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</si>
  <si>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</si>
  <si>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</si>
  <si>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</si>
  <si>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</si>
  <si>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</si>
  <si>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</si>
  <si>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</si>
  <si>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</si>
  <si>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</si>
  <si>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</si>
  <si>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</si>
  <si>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</si>
  <si>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</si>
  <si>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</si>
  <si>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</si>
  <si>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</si>
  <si>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</si>
  <si>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</si>
  <si>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</si>
  <si>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</si>
  <si>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</si>
  <si>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</si>
  <si>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</si>
  <si>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</si>
  <si>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</si>
  <si>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</si>
  <si>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</si>
  <si>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</si>
  <si>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</si>
  <si>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</si>
  <si>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</si>
  <si>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</si>
  <si>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</si>
  <si>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</si>
  <si>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</si>
  <si>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</si>
  <si>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</si>
  <si>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</si>
  <si>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</si>
  <si>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</si>
  <si>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</si>
  <si>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</si>
  <si>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</si>
  <si>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</si>
  <si>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</si>
  <si>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</si>
  <si>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</si>
  <si>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</si>
  <si>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</si>
  <si>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</si>
  <si>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</si>
  <si>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</si>
  <si>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</si>
  <si>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</si>
  <si>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</si>
  <si>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</si>
  <si>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</si>
  <si>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</si>
  <si>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</si>
  <si>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</si>
  <si>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</si>
  <si>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</si>
  <si>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</si>
  <si>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</si>
  <si>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</si>
  <si>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</si>
  <si>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</si>
  <si>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</si>
  <si>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</si>
  <si>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</si>
  <si>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</si>
  <si>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</si>
  <si>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</si>
  <si>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</si>
  <si>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</si>
  <si>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</si>
  <si>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</si>
  <si>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</si>
  <si>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</si>
  <si>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</si>
  <si>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</si>
  <si>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</si>
  <si>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</si>
  <si>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</si>
  <si>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</si>
  <si>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</si>
  <si>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</si>
  <si>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</si>
  <si>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</si>
  <si>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</si>
  <si>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</si>
  <si>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</si>
  <si>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</si>
  <si>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</si>
  <si>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</si>
  <si>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</si>
  <si>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</si>
  <si>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</si>
  <si>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</si>
  <si>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</si>
  <si>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</si>
  <si>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</si>
  <si>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</si>
  <si>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</si>
  <si>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</si>
  <si>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</si>
  <si>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</si>
  <si>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</si>
  <si>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</si>
  <si>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</si>
  <si>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</si>
  <si>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</si>
  <si>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</si>
  <si>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</si>
  <si>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</si>
  <si>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</si>
  <si>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</si>
  <si>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</si>
  <si>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</si>
  <si>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</si>
  <si>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</si>
  <si>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</si>
  <si>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</si>
  <si>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</si>
  <si>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</si>
  <si>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</si>
  <si>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</si>
  <si>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</si>
  <si>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</si>
  <si>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</si>
  <si>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</si>
  <si>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</si>
  <si>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</si>
  <si>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</si>
  <si>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</si>
  <si>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</si>
  <si>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</si>
  <si>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</si>
  <si>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</si>
  <si>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</si>
  <si>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</si>
  <si>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</si>
  <si>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</si>
  <si>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</si>
  <si>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</si>
  <si>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</si>
  <si>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</si>
  <si>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</si>
  <si>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</si>
  <si>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</si>
  <si>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</si>
  <si>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</si>
  <si>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</si>
  <si>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</si>
  <si>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</si>
  <si>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</si>
  <si>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</si>
  <si>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</si>
  <si>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</si>
  <si>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</si>
  <si>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</si>
  <si>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</si>
  <si>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</si>
  <si>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</si>
  <si>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</si>
  <si>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</si>
  <si>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</si>
  <si>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</si>
  <si>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</si>
  <si>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</si>
  <si>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</si>
  <si>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</si>
  <si>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</si>
  <si>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</si>
  <si>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</si>
  <si>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</si>
  <si>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</si>
  <si>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</si>
  <si>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</si>
  <si>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</si>
  <si>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</si>
  <si>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</si>
  <si>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</si>
  <si>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</si>
  <si>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</si>
  <si>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</si>
  <si>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</si>
  <si>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</si>
  <si>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</si>
  <si>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</si>
  <si>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</si>
  <si>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</si>
  <si>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</si>
  <si>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</si>
  <si>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</si>
  <si>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</si>
  <si>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</si>
  <si>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</si>
  <si>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</si>
  <si>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</si>
  <si>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</si>
  <si>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</si>
  <si>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</si>
  <si>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</si>
  <si>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</si>
  <si>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</si>
  <si>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</si>
  <si>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</si>
  <si>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</si>
  <si>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</si>
  <si>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</si>
  <si>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</si>
  <si>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</si>
  <si>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</si>
  <si>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</si>
  <si>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</si>
  <si>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</si>
  <si>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</si>
  <si>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</si>
  <si>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</si>
  <si>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</si>
  <si>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</si>
  <si>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</si>
  <si>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</si>
  <si>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</si>
  <si>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</si>
  <si>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</si>
  <si>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</si>
  <si>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</si>
  <si>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</si>
  <si>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</si>
  <si>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</si>
  <si>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</si>
  <si>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</si>
  <si>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</si>
  <si>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</si>
  <si>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</si>
  <si>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</si>
  <si>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</si>
  <si>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</si>
  <si>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</si>
  <si>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</si>
  <si>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</si>
  <si>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</si>
  <si>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</si>
  <si>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</si>
  <si>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</si>
  <si>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</si>
  <si>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</si>
  <si>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</si>
  <si>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</si>
  <si>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</si>
  <si>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</si>
  <si>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</si>
  <si>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</si>
  <si>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</si>
  <si>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</si>
  <si>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</si>
  <si>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</si>
  <si>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</si>
  <si>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</si>
  <si>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</si>
  <si>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</si>
  <si>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</si>
  <si>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</si>
  <si>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</si>
  <si>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</si>
  <si>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</si>
  <si>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</si>
  <si>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</si>
  <si>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</si>
  <si>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</si>
  <si>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</si>
  <si>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</si>
  <si>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</si>
  <si>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</si>
  <si>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</si>
  <si>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</si>
  <si>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</si>
  <si>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</si>
  <si>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</si>
  <si>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</si>
  <si>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</si>
  <si>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</si>
  <si>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</si>
  <si>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</si>
  <si>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</si>
  <si>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</si>
  <si>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</si>
  <si>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</si>
  <si>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</si>
  <si>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</si>
  <si>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</si>
  <si>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</si>
  <si>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</si>
  <si>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</si>
  <si>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</si>
  <si>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</si>
  <si>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</si>
  <si>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</si>
  <si>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</si>
  <si>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</si>
  <si>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</si>
  <si>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</si>
  <si>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</si>
  <si>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</si>
  <si>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</si>
  <si>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</si>
  <si>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</si>
  <si>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</si>
  <si>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</si>
  <si>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</si>
  <si>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</si>
  <si>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</si>
  <si>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</si>
  <si>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</si>
  <si>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</si>
  <si>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</si>
  <si>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</si>
  <si>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</si>
  <si>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</si>
  <si>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</si>
  <si>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</si>
  <si>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</si>
  <si>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</si>
  <si>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</si>
  <si>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</si>
  <si>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</si>
  <si>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</si>
  <si>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</si>
  <si>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</si>
  <si>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</si>
  <si>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</si>
  <si>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</si>
  <si>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</si>
  <si>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</si>
  <si>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</si>
  <si>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</si>
  <si>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</si>
  <si>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</si>
  <si>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</si>
  <si>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</si>
  <si>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</si>
  <si>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</si>
  <si>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</si>
  <si>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</si>
  <si>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</si>
  <si>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</si>
  <si>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</si>
  <si>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</si>
  <si>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</si>
  <si>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</si>
  <si>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</si>
  <si>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</si>
  <si>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</si>
  <si>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</si>
  <si>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</si>
  <si>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</si>
  <si>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</si>
  <si>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</si>
  <si>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</si>
  <si>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</si>
  <si>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</si>
  <si>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</si>
  <si>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</si>
  <si>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</si>
  <si>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</si>
  <si>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</si>
  <si>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</si>
  <si>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</si>
  <si>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</si>
  <si>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</si>
  <si>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</si>
  <si>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</si>
  <si>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</si>
  <si>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</si>
  <si>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</si>
  <si>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</si>
  <si>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</si>
  <si>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</si>
  <si>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</si>
  <si>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</si>
  <si>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</si>
  <si>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</si>
  <si>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</si>
  <si>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</si>
  <si>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</si>
  <si>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</si>
  <si>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</si>
  <si>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</si>
  <si>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</si>
  <si>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</si>
  <si>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</si>
  <si>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</si>
  <si>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</si>
  <si>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</si>
  <si>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</si>
  <si>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</si>
  <si>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</si>
  <si>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</si>
  <si>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</si>
  <si>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</si>
  <si>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</si>
  <si>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</si>
  <si>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</si>
  <si>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</si>
  <si>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</si>
  <si>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</si>
  <si>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</si>
  <si>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</si>
  <si>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</si>
  <si>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</si>
  <si>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</si>
  <si>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</si>
  <si>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</si>
  <si>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</si>
  <si>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</si>
  <si>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</si>
  <si>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</si>
  <si>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</si>
  <si>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</si>
  <si>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</si>
  <si>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</si>
  <si>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</si>
  <si>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</si>
  <si>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</si>
  <si>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</si>
  <si>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</si>
  <si>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</si>
  <si>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</si>
  <si>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</si>
  <si>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</si>
  <si>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</si>
  <si>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</si>
  <si>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</si>
  <si>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</si>
  <si>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</si>
  <si>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</si>
  <si>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</si>
  <si>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</si>
  <si>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</si>
  <si>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</si>
  <si>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</si>
  <si>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</si>
  <si>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</si>
  <si>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</si>
  <si>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</si>
  <si>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</si>
  <si>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</si>
  <si>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</si>
  <si>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</si>
  <si>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</si>
  <si>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</si>
  <si>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</si>
  <si>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</si>
  <si>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</si>
  <si>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</si>
  <si>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</si>
  <si>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</si>
  <si>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</si>
  <si>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</si>
  <si>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</si>
  <si>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</si>
  <si>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</si>
  <si>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</si>
  <si>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</si>
  <si>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</si>
  <si>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</si>
  <si>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</si>
  <si>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</si>
  <si>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</si>
  <si>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</si>
  <si>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</si>
  <si>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</si>
  <si>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</si>
  <si>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</si>
  <si>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</si>
  <si>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</si>
  <si>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</si>
  <si>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</si>
  <si>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</si>
  <si>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</si>
  <si>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</si>
  <si>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</si>
  <si>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</si>
  <si>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</si>
  <si>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</si>
  <si>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</si>
  <si>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</si>
  <si>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</si>
  <si>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</si>
  <si>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</si>
  <si>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</si>
  <si>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</si>
  <si>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</si>
  <si>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</si>
  <si>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</si>
  <si>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</si>
  <si>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</si>
  <si>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</si>
  <si>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</si>
  <si>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</si>
  <si>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</si>
  <si>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</si>
  <si>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</si>
  <si>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</si>
  <si>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</si>
  <si>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</si>
  <si>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</si>
  <si>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</si>
  <si>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</si>
  <si>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</si>
  <si>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</si>
  <si>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</si>
  <si>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</si>
  <si>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</si>
  <si>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</si>
  <si>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</si>
  <si>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</si>
  <si>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</si>
  <si>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</si>
  <si>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</si>
  <si>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</si>
  <si>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</si>
  <si>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</si>
  <si>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</si>
  <si>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</si>
  <si>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</si>
  <si>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</si>
  <si>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</si>
  <si>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</si>
  <si>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</si>
  <si>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</si>
  <si>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</si>
  <si>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</si>
  <si>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</si>
  <si>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</si>
  <si>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</si>
  <si>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</si>
  <si>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</si>
  <si>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</si>
  <si>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</si>
  <si>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</si>
  <si>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</si>
  <si>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</si>
  <si>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</si>
  <si>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</si>
  <si>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</si>
  <si>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</si>
  <si>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Cook and Dupage</t>
  </si>
  <si>
    <t>16100 West 127th Street</t>
  </si>
  <si>
    <t>Lemont</t>
  </si>
  <si>
    <t>bgermany@sd113a.org</t>
  </si>
  <si>
    <t>Dr. Anthony McConnell</t>
  </si>
  <si>
    <t>amcconnell@sd113a.org</t>
  </si>
  <si>
    <t>Lauterbach &amp; Amen, LLP</t>
  </si>
  <si>
    <t>Don Shaw</t>
  </si>
  <si>
    <t>668 N River Road</t>
  </si>
  <si>
    <t>Naperville</t>
  </si>
  <si>
    <t>IL</t>
  </si>
  <si>
    <t>065-037815</t>
  </si>
  <si>
    <t>dshaw@lauterbachamen.com</t>
  </si>
  <si>
    <t>Series 2001 D Capital Appreciation Bonds</t>
  </si>
  <si>
    <t>Series 2002 Capital Appreciation Bonds</t>
  </si>
  <si>
    <t>Series 2001 B Capital Appreciation Bonds</t>
  </si>
  <si>
    <t>TR-pupil transportation Services</t>
  </si>
  <si>
    <t>ED-Food Service Contract</t>
  </si>
  <si>
    <t>OM-Maintenance-phones</t>
  </si>
  <si>
    <t>Ed-Board of Ed services - liability</t>
  </si>
  <si>
    <t>Ed-elementary benefits</t>
  </si>
  <si>
    <t>TR-pupil transportation Services-professional services</t>
  </si>
  <si>
    <t>ED-Contracts-services</t>
  </si>
  <si>
    <t>ED-Elementary-Contracts</t>
  </si>
  <si>
    <t>ED-Board of Ed services - legal</t>
  </si>
  <si>
    <t>Ed-Technology-Consulting</t>
  </si>
  <si>
    <t>Ed-Technology-Contracts</t>
  </si>
  <si>
    <t>OM-repair &amp; maintenance-Contracts</t>
  </si>
  <si>
    <t>OM-repair &amp; maintenance-sanitation services</t>
  </si>
  <si>
    <t>Avalon</t>
  </si>
  <si>
    <t>Chartwellls</t>
  </si>
  <si>
    <t>Comcast</t>
  </si>
  <si>
    <t>CLIC</t>
  </si>
  <si>
    <t>EBC</t>
  </si>
  <si>
    <t>Midwest Transit Equipment, Inc.</t>
  </si>
  <si>
    <t>Marlin Business Banking</t>
  </si>
  <si>
    <t>Proven Business Systems</t>
  </si>
  <si>
    <t>Scariano, Himes, Petrarca</t>
  </si>
  <si>
    <t>Single Path</t>
  </si>
  <si>
    <t>Skyward</t>
  </si>
  <si>
    <t>Sentinel</t>
  </si>
  <si>
    <t>State Mechanical services</t>
  </si>
  <si>
    <t>Sunrise Southwest</t>
  </si>
  <si>
    <t>Waste Management</t>
  </si>
  <si>
    <t>Santander Leasing</t>
  </si>
  <si>
    <t>N/A</t>
  </si>
  <si>
    <t>Lemont High School</t>
  </si>
  <si>
    <t>ISC #4, Lemont High School</t>
  </si>
  <si>
    <t>Southwest Cook County Cooperative for Special Ed</t>
  </si>
  <si>
    <t>Child Nutrition Cluster</t>
  </si>
  <si>
    <t xml:space="preserve">   US Dept of Agriculture</t>
  </si>
  <si>
    <t xml:space="preserve">      Illinois State Board of Education</t>
  </si>
  <si>
    <t xml:space="preserve">         National School Lunch Program</t>
  </si>
  <si>
    <t xml:space="preserve">         Commodities (Non-cash)</t>
  </si>
  <si>
    <t xml:space="preserve">         Commodities - DoD F&amp;V (Non-cash)</t>
  </si>
  <si>
    <t>Total Child Nutrition Cluster</t>
  </si>
  <si>
    <t xml:space="preserve">   Total US Dept of Agriculture</t>
  </si>
  <si>
    <t>2019-4210</t>
  </si>
  <si>
    <t>2020-4210</t>
  </si>
  <si>
    <t>Special Education (IDEA) Cluster</t>
  </si>
  <si>
    <t>IDEA Room &amp; Board (M)</t>
  </si>
  <si>
    <t>Illinois State Board of Education</t>
  </si>
  <si>
    <t>Total Department of Education</t>
  </si>
  <si>
    <t>Total Special Education (IDEA) Cluster</t>
  </si>
  <si>
    <t>Department of Education</t>
  </si>
  <si>
    <t>Other Programs</t>
  </si>
  <si>
    <t>Title III - Language Instruction Program - LIPLEP</t>
  </si>
  <si>
    <t>2020-4225</t>
  </si>
  <si>
    <t>2020-4625</t>
  </si>
  <si>
    <t>2020-4620</t>
  </si>
  <si>
    <t>2020-4600</t>
  </si>
  <si>
    <t>2019-4300</t>
  </si>
  <si>
    <t>2020-4300</t>
  </si>
  <si>
    <t>2019-4932</t>
  </si>
  <si>
    <t>2020-4932</t>
  </si>
  <si>
    <t>2019-4909</t>
  </si>
  <si>
    <t>2020-4909</t>
  </si>
  <si>
    <t>Total Other Programs</t>
  </si>
  <si>
    <t>Total Federal Awards</t>
  </si>
  <si>
    <t>Title II - Teacher Quality (M)</t>
  </si>
  <si>
    <t>Unmodified</t>
  </si>
  <si>
    <t>84.027/ 84.173</t>
  </si>
  <si>
    <t>IDEA Cluster</t>
  </si>
  <si>
    <t>Special Education - Grants to States (IDEA Flow through)</t>
  </si>
  <si>
    <t>Title I - Low Income (M)</t>
  </si>
  <si>
    <t>Miscellaneous rounding</t>
  </si>
  <si>
    <t xml:space="preserve">  Lemont-Bromberek CSD</t>
  </si>
  <si>
    <t xml:space="preserve">07016113A02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</si>
</sst>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2" fillId="0" borderId="155" xfId="19" applyFont="1" applyBorder="1" applyAlignment="1" applyProtection="1">
      <alignment horizontal="left" vertical="top" wrapText="1"/>
      <protection locked="0"/>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vertical="top" wrapText="1"/>
      <protection locked="0"/>
    </xf>
    <xf numFmtId="3" fontId="63"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3" fontId="63" fillId="0" borderId="22"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9">
        <f>+'AFR20'!E4</f>
        <v>44119</v>
      </c>
      <c r="C1" s="1999"/>
      <c r="D1" s="2000"/>
      <c r="I1" s="2078" t="s">
        <v>402</v>
      </c>
      <c r="J1" s="2079"/>
      <c r="K1" s="2079"/>
      <c r="L1" s="2079"/>
      <c r="M1" s="2079"/>
      <c r="N1" s="2079"/>
      <c r="O1" s="2079"/>
      <c r="P1" s="2079"/>
      <c r="Q1" s="2079"/>
      <c r="R1" s="2079"/>
      <c r="S1" s="2079"/>
    </row>
    <row r="2" spans="1:32" ht="12" customHeight="1" x14ac:dyDescent="0.2">
      <c r="A2" s="1889" t="str">
        <f>"Due to ISBE on "</f>
        <v xml:space="preserve">Due to ISBE on </v>
      </c>
      <c r="B2" s="2001">
        <f>+'AFR20'!F4</f>
        <v>44151</v>
      </c>
      <c r="C2" s="2001"/>
      <c r="D2" s="2002"/>
      <c r="I2" s="2080" t="s">
        <v>2006</v>
      </c>
      <c r="J2" s="2079"/>
      <c r="K2" s="2079"/>
      <c r="L2" s="2079"/>
      <c r="M2" s="2079"/>
      <c r="N2" s="2079"/>
      <c r="O2" s="2079"/>
      <c r="P2" s="2079"/>
      <c r="Q2" s="2079"/>
      <c r="R2" s="2079"/>
      <c r="S2" s="2079"/>
    </row>
    <row r="3" spans="1:32" ht="12" customHeight="1" x14ac:dyDescent="0.2">
      <c r="A3" s="1892"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2021</v>
      </c>
      <c r="C5" s="26" t="s">
        <v>904</v>
      </c>
      <c r="D5" s="81"/>
      <c r="E5" s="81"/>
      <c r="H5" s="38"/>
      <c r="I5" s="2087" t="s">
        <v>675</v>
      </c>
      <c r="J5" s="2032"/>
      <c r="K5" s="2032"/>
      <c r="L5" s="2032"/>
      <c r="M5" s="2032"/>
      <c r="N5" s="2032"/>
      <c r="O5" s="2032"/>
      <c r="P5" s="2032"/>
      <c r="Q5" s="2032"/>
      <c r="R5" s="2032"/>
      <c r="S5" s="2032"/>
      <c r="AF5" s="1885"/>
    </row>
    <row r="6" spans="1:32" ht="14.1" customHeight="1" x14ac:dyDescent="0.2">
      <c r="B6" s="101"/>
      <c r="C6" s="26" t="s">
        <v>905</v>
      </c>
      <c r="D6" s="81"/>
      <c r="E6" s="81"/>
      <c r="I6" s="2086" t="s">
        <v>877</v>
      </c>
      <c r="J6" s="2032"/>
      <c r="K6" s="2032"/>
      <c r="L6" s="2032"/>
      <c r="M6" s="2032"/>
      <c r="N6" s="2032"/>
      <c r="O6" s="2032"/>
      <c r="P6" s="2032"/>
      <c r="Q6" s="2032"/>
      <c r="R6" s="2032"/>
      <c r="S6" s="2032"/>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028" t="s">
        <v>530</v>
      </c>
      <c r="U9" s="2029"/>
      <c r="V9" s="2029"/>
      <c r="W9" s="2029"/>
      <c r="X9" s="2029"/>
      <c r="Y9" s="2029"/>
      <c r="Z9" s="2029"/>
      <c r="AA9" s="2030"/>
    </row>
    <row r="10" spans="1:32" ht="13.5" customHeight="1" x14ac:dyDescent="0.2">
      <c r="A10" s="2037" t="s">
        <v>670</v>
      </c>
      <c r="B10" s="2038"/>
      <c r="C10" s="2038"/>
      <c r="D10" s="2038"/>
      <c r="E10" s="2038"/>
      <c r="F10" s="2038"/>
      <c r="G10" s="2038"/>
      <c r="H10" s="2039"/>
      <c r="I10" s="29"/>
      <c r="J10" s="30"/>
      <c r="K10" s="28"/>
      <c r="R10" s="30"/>
      <c r="S10" s="30"/>
      <c r="T10" s="2031"/>
      <c r="U10" s="2032"/>
      <c r="V10" s="2032"/>
      <c r="W10" s="2032"/>
      <c r="X10" s="2032"/>
      <c r="Y10" s="2032"/>
      <c r="Z10" s="2032"/>
      <c r="AA10" s="2033"/>
    </row>
    <row r="11" spans="1:32" ht="14.25" customHeight="1" x14ac:dyDescent="0.2">
      <c r="A11" s="2040" t="s">
        <v>949</v>
      </c>
      <c r="B11" s="2041"/>
      <c r="C11" s="2041"/>
      <c r="D11" s="2041"/>
      <c r="E11" s="2041"/>
      <c r="F11" s="2041"/>
      <c r="G11" s="2041"/>
      <c r="H11" s="2042"/>
      <c r="I11" s="27"/>
      <c r="J11" s="71"/>
      <c r="K11" s="27"/>
      <c r="O11" s="144"/>
      <c r="P11" s="97" t="s">
        <v>199</v>
      </c>
      <c r="Q11" s="30"/>
      <c r="R11" s="28"/>
      <c r="S11" s="27"/>
      <c r="T11" s="2034"/>
      <c r="U11" s="2035"/>
      <c r="V11" s="2035"/>
      <c r="W11" s="2035"/>
      <c r="X11" s="2035"/>
      <c r="Y11" s="2035"/>
      <c r="Z11" s="2035"/>
      <c r="AA11" s="2036"/>
    </row>
    <row r="12" spans="1:32" ht="13.5" customHeight="1" x14ac:dyDescent="0.2">
      <c r="A12" s="82" t="s">
        <v>919</v>
      </c>
      <c r="B12" s="73"/>
      <c r="C12" s="73"/>
      <c r="D12" s="73"/>
      <c r="E12" s="73"/>
      <c r="F12" s="73"/>
      <c r="G12" s="73"/>
      <c r="H12" s="50"/>
      <c r="I12" s="29"/>
      <c r="J12" s="30"/>
      <c r="K12" s="28"/>
      <c r="O12" s="145" t="s">
        <v>2021</v>
      </c>
      <c r="P12" s="97" t="s">
        <v>200</v>
      </c>
      <c r="Q12" s="71"/>
      <c r="R12" s="30"/>
      <c r="S12" s="30"/>
      <c r="T12" s="82" t="s">
        <v>263</v>
      </c>
      <c r="U12" s="48"/>
      <c r="V12" s="48"/>
      <c r="W12" s="48"/>
      <c r="X12" s="48"/>
      <c r="Y12" s="43"/>
      <c r="Z12" s="43"/>
      <c r="AA12" s="44"/>
    </row>
    <row r="13" spans="1:32" ht="13.5" customHeight="1" x14ac:dyDescent="0.2">
      <c r="A13" s="2048" t="s">
        <v>2109</v>
      </c>
      <c r="B13" s="2049"/>
      <c r="C13" s="2049"/>
      <c r="D13" s="2049"/>
      <c r="E13" s="2049"/>
      <c r="F13" s="2049"/>
      <c r="G13" s="2049"/>
      <c r="H13" s="2050"/>
      <c r="I13" s="31"/>
      <c r="J13" s="30"/>
      <c r="K13" s="28"/>
      <c r="L13" s="30"/>
      <c r="M13" s="30"/>
      <c r="N13" s="30"/>
      <c r="O13" s="30"/>
      <c r="P13" s="30"/>
      <c r="Q13" s="30"/>
      <c r="R13" s="30"/>
      <c r="S13" s="30"/>
      <c r="T13" s="2053" t="s">
        <v>2028</v>
      </c>
      <c r="U13" s="2054"/>
      <c r="V13" s="2054"/>
      <c r="W13" s="2054"/>
      <c r="X13" s="2054"/>
      <c r="Y13" s="2055"/>
      <c r="Z13" s="2055"/>
      <c r="AA13" s="205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46" t="s">
        <v>2022</v>
      </c>
      <c r="B15" s="2051"/>
      <c r="C15" s="2051"/>
      <c r="D15" s="2051"/>
      <c r="E15" s="2051"/>
      <c r="F15" s="2051"/>
      <c r="G15" s="2051"/>
      <c r="H15" s="2052"/>
      <c r="T15" s="2014" t="s">
        <v>2029</v>
      </c>
      <c r="U15" s="2015"/>
      <c r="V15" s="2015"/>
      <c r="W15" s="2015"/>
      <c r="X15" s="2015"/>
      <c r="Y15" s="2057"/>
      <c r="Z15" s="2057"/>
      <c r="AA15" s="205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06" t="s">
        <v>2108</v>
      </c>
      <c r="B17" s="2076"/>
      <c r="C17" s="2076"/>
      <c r="D17" s="2076"/>
      <c r="E17" s="2076"/>
      <c r="F17" s="2076"/>
      <c r="G17" s="2076"/>
      <c r="H17" s="2077"/>
      <c r="T17" s="2063" t="s">
        <v>2030</v>
      </c>
      <c r="U17" s="2064"/>
      <c r="V17" s="2064"/>
      <c r="W17" s="2064"/>
      <c r="X17" s="2064"/>
      <c r="Y17" s="2064"/>
      <c r="Z17" s="2064"/>
      <c r="AA17" s="2065"/>
    </row>
    <row r="18" spans="1:27" ht="13.5" customHeight="1" x14ac:dyDescent="0.2">
      <c r="A18" s="82" t="s">
        <v>527</v>
      </c>
      <c r="B18" s="73"/>
      <c r="C18" s="69"/>
      <c r="D18" s="73"/>
      <c r="E18" s="73"/>
      <c r="F18" s="73"/>
      <c r="G18" s="73"/>
      <c r="H18" s="53"/>
      <c r="I18" s="2073" t="s">
        <v>671</v>
      </c>
      <c r="J18" s="2074"/>
      <c r="K18" s="2074"/>
      <c r="L18" s="2074"/>
      <c r="M18" s="2074"/>
      <c r="N18" s="2074"/>
      <c r="O18" s="2074"/>
      <c r="P18" s="2074"/>
      <c r="Q18" s="2074"/>
      <c r="R18" s="2074"/>
      <c r="S18" s="2075"/>
      <c r="T18" s="82" t="s">
        <v>706</v>
      </c>
      <c r="U18" s="48"/>
      <c r="V18" s="69"/>
      <c r="W18" s="47"/>
      <c r="X18" s="82" t="s">
        <v>264</v>
      </c>
      <c r="Y18" s="78"/>
      <c r="Z18" s="154" t="s">
        <v>672</v>
      </c>
      <c r="AA18" s="44"/>
    </row>
    <row r="19" spans="1:27" ht="13.5" customHeight="1" x14ac:dyDescent="0.2">
      <c r="A19" s="2046" t="s">
        <v>2023</v>
      </c>
      <c r="B19" s="2047"/>
      <c r="C19" s="2047"/>
      <c r="D19" s="2047"/>
      <c r="E19" s="2047"/>
      <c r="F19" s="2047"/>
      <c r="G19" s="2047"/>
      <c r="H19" s="2045"/>
      <c r="I19" s="30"/>
      <c r="J19" s="96"/>
      <c r="K19" s="40"/>
      <c r="L19" s="38"/>
      <c r="M19" s="109" t="s">
        <v>312</v>
      </c>
      <c r="P19" s="27"/>
      <c r="Q19" s="27"/>
      <c r="R19" s="27"/>
      <c r="S19" s="31"/>
      <c r="T19" s="2046" t="s">
        <v>2031</v>
      </c>
      <c r="U19" s="2044"/>
      <c r="V19" s="2044"/>
      <c r="W19" s="2045"/>
      <c r="X19" s="2061" t="s">
        <v>2032</v>
      </c>
      <c r="Y19" s="2062"/>
      <c r="Z19" s="2059">
        <v>60563</v>
      </c>
      <c r="AA19" s="206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3" t="s">
        <v>2024</v>
      </c>
      <c r="B21" s="2044"/>
      <c r="C21" s="2044"/>
      <c r="D21" s="2044"/>
      <c r="E21" s="2044"/>
      <c r="F21" s="2044"/>
      <c r="G21" s="2044"/>
      <c r="H21" s="2045"/>
      <c r="I21" s="2069" t="s">
        <v>673</v>
      </c>
      <c r="J21" s="2032"/>
      <c r="K21" s="2032"/>
      <c r="L21" s="2032"/>
      <c r="M21" s="2032"/>
      <c r="N21" s="2032"/>
      <c r="O21" s="2032"/>
      <c r="P21" s="2032"/>
      <c r="Q21" s="2032"/>
      <c r="R21" s="2032"/>
      <c r="S21" s="2033"/>
      <c r="T21" s="2011">
        <v>6303931483</v>
      </c>
      <c r="U21" s="2012"/>
      <c r="V21" s="2012"/>
      <c r="W21" s="2012"/>
      <c r="X21" s="2025">
        <v>6303932516</v>
      </c>
      <c r="Y21" s="2026"/>
      <c r="Z21" s="2026"/>
      <c r="AA21" s="2027"/>
    </row>
    <row r="22" spans="1:27" ht="13.5" customHeight="1" x14ac:dyDescent="0.2">
      <c r="A22" s="84" t="s">
        <v>528</v>
      </c>
      <c r="B22" s="56"/>
      <c r="C22" s="56"/>
      <c r="D22" s="56"/>
      <c r="E22" s="56"/>
      <c r="F22" s="56"/>
      <c r="G22" s="56"/>
      <c r="H22" s="57"/>
      <c r="I22" s="2070" t="s">
        <v>1415</v>
      </c>
      <c r="J22" s="2071"/>
      <c r="K22" s="2071"/>
      <c r="L22" s="2071"/>
      <c r="M22" s="2071"/>
      <c r="N22" s="2071"/>
      <c r="O22" s="2071"/>
      <c r="P22" s="2071"/>
      <c r="Q22" s="2071"/>
      <c r="R22" s="2071"/>
      <c r="S22" s="2072"/>
      <c r="T22" s="82" t="s">
        <v>1502</v>
      </c>
      <c r="U22" s="48"/>
      <c r="V22" s="69"/>
      <c r="W22" s="48"/>
      <c r="X22" s="155" t="s">
        <v>1309</v>
      </c>
      <c r="Z22" s="43"/>
      <c r="AA22" s="44"/>
    </row>
    <row r="23" spans="1:27" ht="13.5" customHeight="1" x14ac:dyDescent="0.2">
      <c r="A23" s="2066" t="s">
        <v>2025</v>
      </c>
      <c r="B23" s="2067"/>
      <c r="C23" s="2067"/>
      <c r="D23" s="2067"/>
      <c r="E23" s="2067"/>
      <c r="F23" s="2067"/>
      <c r="G23" s="2067"/>
      <c r="H23" s="2068"/>
      <c r="T23" s="2006" t="s">
        <v>2033</v>
      </c>
      <c r="U23" s="2007"/>
      <c r="V23" s="2007"/>
      <c r="W23" s="2007"/>
      <c r="X23" s="2022">
        <v>44469</v>
      </c>
      <c r="Y23" s="2023"/>
      <c r="Z23" s="2023"/>
      <c r="AA23" s="2024"/>
    </row>
    <row r="24" spans="1:27" ht="14.1" customHeight="1" x14ac:dyDescent="0.2">
      <c r="A24" s="85" t="s">
        <v>672</v>
      </c>
      <c r="B24" s="46"/>
      <c r="C24" s="46"/>
      <c r="D24" s="46"/>
      <c r="E24" s="46"/>
      <c r="F24" s="46"/>
      <c r="G24" s="46"/>
      <c r="H24" s="58"/>
      <c r="J24" s="2108">
        <f>IF(B5="x",IF(AUDITCHECK!D29="AFR form Incomplete.","",IF(AUDITCHECK!D29="Deficit reduction plan is required.","School District must complete a deficit reduction plan in the 2019-2020 Budget",)),"")</f>
        <v>0</v>
      </c>
      <c r="K24" s="2108"/>
      <c r="L24" s="2108"/>
      <c r="M24" s="2108"/>
      <c r="N24" s="2108"/>
      <c r="O24" s="2108"/>
      <c r="P24" s="2108"/>
      <c r="Q24" s="2108"/>
      <c r="R24" s="2108"/>
      <c r="S24" s="2109"/>
      <c r="T24" s="102" t="s">
        <v>528</v>
      </c>
      <c r="U24" s="103"/>
      <c r="V24" s="103"/>
      <c r="W24" s="103"/>
      <c r="X24" s="104"/>
      <c r="Y24" s="104"/>
      <c r="Z24" s="104"/>
      <c r="AA24" s="105"/>
    </row>
    <row r="25" spans="1:27" ht="14.1" customHeight="1" x14ac:dyDescent="0.2">
      <c r="A25" s="2043">
        <v>60439</v>
      </c>
      <c r="B25" s="2044"/>
      <c r="C25" s="2044"/>
      <c r="D25" s="2044"/>
      <c r="E25" s="2044"/>
      <c r="F25" s="2044"/>
      <c r="G25" s="2044"/>
      <c r="H25" s="2045"/>
      <c r="I25" s="110"/>
      <c r="J25" s="2110"/>
      <c r="K25" s="2110"/>
      <c r="L25" s="2110"/>
      <c r="M25" s="2110"/>
      <c r="N25" s="2110"/>
      <c r="O25" s="2110"/>
      <c r="P25" s="2110"/>
      <c r="Q25" s="2110"/>
      <c r="R25" s="2110"/>
      <c r="S25" s="2111"/>
      <c r="T25" s="2003" t="s">
        <v>2034</v>
      </c>
      <c r="U25" s="2004"/>
      <c r="V25" s="2004"/>
      <c r="W25" s="2004"/>
      <c r="X25" s="2004"/>
      <c r="Y25" s="2004"/>
      <c r="Z25" s="2004"/>
      <c r="AA25" s="200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01" t="s">
        <v>1497</v>
      </c>
      <c r="J27" s="2074"/>
      <c r="K27" s="2074"/>
      <c r="L27" s="2074"/>
      <c r="M27" s="2074"/>
      <c r="N27" s="2074"/>
      <c r="O27" s="2074"/>
      <c r="P27" s="2074"/>
      <c r="Q27" s="2074"/>
      <c r="R27" s="2074"/>
      <c r="S27" s="207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t="s">
        <v>2021</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t="s">
        <v>2021</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7"/>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06" t="s">
        <v>2026</v>
      </c>
      <c r="B38" s="2076"/>
      <c r="C38" s="2076"/>
      <c r="D38" s="2076"/>
      <c r="E38" s="2076"/>
      <c r="F38" s="2044"/>
      <c r="G38" s="2044"/>
      <c r="H38" s="2045"/>
      <c r="I38" s="2095"/>
      <c r="J38" s="2015"/>
      <c r="K38" s="2015"/>
      <c r="L38" s="2015"/>
      <c r="M38" s="2015"/>
      <c r="N38" s="2015"/>
      <c r="O38" s="2015"/>
      <c r="P38" s="2016"/>
      <c r="Q38" s="2016"/>
      <c r="R38" s="2016"/>
      <c r="S38" s="2017"/>
      <c r="T38" s="2014"/>
      <c r="U38" s="2015"/>
      <c r="V38" s="2015"/>
      <c r="W38" s="2015"/>
      <c r="X38" s="2016"/>
      <c r="Y38" s="2016"/>
      <c r="Z38" s="2016"/>
      <c r="AA38" s="2017"/>
    </row>
    <row r="39" spans="1:27" ht="12" customHeight="1" x14ac:dyDescent="0.2">
      <c r="A39" s="2099" t="s">
        <v>528</v>
      </c>
      <c r="B39" s="2100"/>
      <c r="C39" s="69"/>
      <c r="D39" s="66"/>
      <c r="E39" s="66"/>
      <c r="F39" s="76"/>
      <c r="G39" s="66"/>
      <c r="H39" s="53"/>
      <c r="I39" s="2099" t="s">
        <v>528</v>
      </c>
      <c r="J39" s="2100"/>
      <c r="K39" s="2100"/>
      <c r="L39" s="2100"/>
      <c r="M39" s="2100"/>
      <c r="N39" s="64"/>
      <c r="O39" s="69"/>
      <c r="P39" s="69"/>
      <c r="Q39" s="75"/>
      <c r="R39" s="69"/>
      <c r="S39" s="53"/>
      <c r="T39" s="69" t="s">
        <v>528</v>
      </c>
      <c r="U39" s="48"/>
      <c r="V39" s="69"/>
      <c r="W39" s="47"/>
      <c r="X39" s="75"/>
      <c r="Y39" s="43"/>
      <c r="Z39" s="43"/>
      <c r="AA39" s="44"/>
    </row>
    <row r="40" spans="1:27" ht="13.5" customHeight="1" x14ac:dyDescent="0.2">
      <c r="A40" s="2102" t="s">
        <v>2027</v>
      </c>
      <c r="B40" s="2103"/>
      <c r="C40" s="2104"/>
      <c r="D40" s="2104"/>
      <c r="E40" s="2104"/>
      <c r="F40" s="2105"/>
      <c r="G40" s="2105"/>
      <c r="H40" s="2106"/>
      <c r="I40" s="2018"/>
      <c r="J40" s="2020"/>
      <c r="K40" s="2020"/>
      <c r="L40" s="2020"/>
      <c r="M40" s="2020"/>
      <c r="N40" s="2020"/>
      <c r="O40" s="2020"/>
      <c r="P40" s="2020"/>
      <c r="Q40" s="2020"/>
      <c r="R40" s="2020"/>
      <c r="S40" s="2021"/>
      <c r="T40" s="2018"/>
      <c r="U40" s="2019"/>
      <c r="V40" s="2020"/>
      <c r="W40" s="2020"/>
      <c r="X40" s="2020"/>
      <c r="Y40" s="2020"/>
      <c r="Z40" s="2020"/>
      <c r="AA40" s="202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2">
        <v>6302572286</v>
      </c>
      <c r="B42" s="2093"/>
      <c r="C42" s="2094"/>
      <c r="D42" s="2107"/>
      <c r="E42" s="2093"/>
      <c r="F42" s="2093"/>
      <c r="G42" s="2093"/>
      <c r="H42" s="2094"/>
      <c r="I42" s="2013"/>
      <c r="J42" s="2009"/>
      <c r="K42" s="2009"/>
      <c r="L42" s="2009"/>
      <c r="M42" s="2009"/>
      <c r="N42" s="2009"/>
      <c r="O42" s="2010"/>
      <c r="P42" s="2008"/>
      <c r="Q42" s="2009"/>
      <c r="R42" s="2009"/>
      <c r="S42" s="2010"/>
      <c r="T42" s="2013"/>
      <c r="U42" s="2009"/>
      <c r="V42" s="2009"/>
      <c r="W42" s="2010"/>
      <c r="X42" s="2008"/>
      <c r="Y42" s="2009"/>
      <c r="Z42" s="2009"/>
      <c r="AA42" s="201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6"/>
      <c r="B44" s="2097"/>
      <c r="C44" s="2097"/>
      <c r="D44" s="2097"/>
      <c r="E44" s="2097"/>
      <c r="F44" s="2097"/>
      <c r="G44" s="2097"/>
      <c r="H44" s="2098"/>
      <c r="I44" s="2088"/>
      <c r="J44" s="2090"/>
      <c r="K44" s="2090"/>
      <c r="L44" s="2090"/>
      <c r="M44" s="2090"/>
      <c r="N44" s="2090"/>
      <c r="O44" s="2090"/>
      <c r="P44" s="2090"/>
      <c r="Q44" s="2090"/>
      <c r="R44" s="2090"/>
      <c r="S44" s="2091"/>
      <c r="T44" s="2088"/>
      <c r="U44" s="2089"/>
      <c r="V44" s="2089"/>
      <c r="W44" s="2089"/>
      <c r="X44" s="2089"/>
      <c r="Y44" s="2089"/>
      <c r="Z44" s="2090"/>
      <c r="AA44" s="209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7" sqref="C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50"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51"/>
      <c r="B3" s="1339"/>
      <c r="C3" s="1340"/>
      <c r="D3" s="1341" t="s">
        <v>254</v>
      </c>
      <c r="E3" s="1340"/>
      <c r="F3" s="1341" t="s">
        <v>255</v>
      </c>
    </row>
    <row r="4" spans="1:8" ht="13.7" customHeight="1" x14ac:dyDescent="0.2">
      <c r="A4" s="579" t="s">
        <v>1147</v>
      </c>
      <c r="B4" s="1771">
        <f>'Revenues 9-14'!C5</f>
        <v>16563227</v>
      </c>
      <c r="C4" s="1772">
        <v>8970274</v>
      </c>
      <c r="D4" s="1773">
        <f>B4-C4</f>
        <v>7592953</v>
      </c>
      <c r="E4" s="1772">
        <v>17511352</v>
      </c>
      <c r="F4" s="1773">
        <f>E4-C4</f>
        <v>8541078</v>
      </c>
    </row>
    <row r="5" spans="1:8" ht="13.7" customHeight="1" x14ac:dyDescent="0.2">
      <c r="A5" s="579" t="s">
        <v>865</v>
      </c>
      <c r="B5" s="1774">
        <f>'Revenues 9-14'!D5</f>
        <v>2460886</v>
      </c>
      <c r="C5" s="1714">
        <v>1325812</v>
      </c>
      <c r="D5" s="1775">
        <f t="shared" ref="D5:D18" si="0">B5-C5</f>
        <v>1135074</v>
      </c>
      <c r="E5" s="1714">
        <v>2587418</v>
      </c>
      <c r="F5" s="1775">
        <f>E5-C5</f>
        <v>1261606</v>
      </c>
    </row>
    <row r="6" spans="1:8" ht="13.7" customHeight="1" x14ac:dyDescent="0.2">
      <c r="A6" s="579" t="s">
        <v>408</v>
      </c>
      <c r="B6" s="1774">
        <f>'Revenues 9-14'!E5</f>
        <v>5101690</v>
      </c>
      <c r="C6" s="1714">
        <v>2738295</v>
      </c>
      <c r="D6" s="1775">
        <f t="shared" si="0"/>
        <v>2363395</v>
      </c>
      <c r="E6" s="1714">
        <v>5344630</v>
      </c>
      <c r="F6" s="1775">
        <f t="shared" ref="F6:F18" si="1">E6-C6</f>
        <v>2606335</v>
      </c>
    </row>
    <row r="7" spans="1:8" ht="13.7" customHeight="1" x14ac:dyDescent="0.2">
      <c r="A7" s="579" t="s">
        <v>154</v>
      </c>
      <c r="B7" s="1774">
        <f>'Revenues 9-14'!F5</f>
        <v>1063411</v>
      </c>
      <c r="C7" s="1714">
        <v>565622</v>
      </c>
      <c r="D7" s="1775">
        <f t="shared" si="0"/>
        <v>497789</v>
      </c>
      <c r="E7" s="1714">
        <v>1103850</v>
      </c>
      <c r="F7" s="1775">
        <f t="shared" si="1"/>
        <v>538228</v>
      </c>
    </row>
    <row r="8" spans="1:8" ht="13.7" customHeight="1" x14ac:dyDescent="0.2">
      <c r="A8" s="579" t="s">
        <v>1171</v>
      </c>
      <c r="B8" s="1774">
        <f>'Revenues 9-14'!G5</f>
        <v>329194</v>
      </c>
      <c r="C8" s="1714">
        <v>176796</v>
      </c>
      <c r="D8" s="1775">
        <f t="shared" si="0"/>
        <v>152398</v>
      </c>
      <c r="E8" s="1714">
        <v>345031</v>
      </c>
      <c r="F8" s="1775">
        <f t="shared" si="1"/>
        <v>168235</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240519</v>
      </c>
      <c r="C14" s="1714">
        <v>129194</v>
      </c>
      <c r="D14" s="1775">
        <f t="shared" si="0"/>
        <v>111325</v>
      </c>
      <c r="E14" s="1714">
        <v>252113</v>
      </c>
      <c r="F14" s="1775">
        <f t="shared" si="1"/>
        <v>122919</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419598</v>
      </c>
      <c r="C16" s="1714">
        <v>227264</v>
      </c>
      <c r="D16" s="1775">
        <f t="shared" si="0"/>
        <v>192334</v>
      </c>
      <c r="E16" s="1714">
        <v>443523</v>
      </c>
      <c r="F16" s="1775">
        <f t="shared" si="1"/>
        <v>216259</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26178525</v>
      </c>
      <c r="C19" s="1776">
        <f>SUM(C4:C18)</f>
        <v>14133257</v>
      </c>
      <c r="D19" s="1776">
        <f>SUM(D4:D18)</f>
        <v>12045268</v>
      </c>
      <c r="E19" s="1776">
        <f>SUM(E4:E18)</f>
        <v>27587917</v>
      </c>
      <c r="F19" s="1776">
        <f>SUM(F4:F18)</f>
        <v>13454660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H33" sqref="H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6" t="s">
        <v>625</v>
      </c>
      <c r="B1" s="2257"/>
      <c r="C1" s="585"/>
    </row>
    <row r="2" spans="1:7" ht="33.75" x14ac:dyDescent="0.2">
      <c r="A2" s="2265" t="s">
        <v>1782</v>
      </c>
      <c r="B2" s="2266"/>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9" t="s">
        <v>1106</v>
      </c>
      <c r="B3" s="2270"/>
      <c r="C3" s="2258"/>
      <c r="D3" s="2259"/>
      <c r="E3" s="2259"/>
      <c r="F3" s="2260"/>
    </row>
    <row r="4" spans="1:7" ht="12.75" customHeight="1" thickBot="1" x14ac:dyDescent="0.25">
      <c r="A4" s="2267" t="s">
        <v>626</v>
      </c>
      <c r="B4" s="2268"/>
      <c r="C4" s="1706"/>
      <c r="D4" s="1706"/>
      <c r="E4" s="1706"/>
      <c r="F4" s="1782">
        <f>SUM(C4+D4)-E4</f>
        <v>0</v>
      </c>
    </row>
    <row r="5" spans="1:7" ht="15.75" customHeight="1" thickTop="1" x14ac:dyDescent="0.2">
      <c r="A5" s="2252" t="s">
        <v>1103</v>
      </c>
      <c r="B5" s="2253"/>
      <c r="C5" s="2261"/>
      <c r="D5" s="2262"/>
      <c r="E5" s="2262"/>
      <c r="F5" s="226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54" t="s">
        <v>627</v>
      </c>
      <c r="B15" s="2255"/>
      <c r="C15" s="1782">
        <f>SUM(C6:C14)</f>
        <v>0</v>
      </c>
      <c r="D15" s="1782">
        <f>SUM(D6:D14)</f>
        <v>0</v>
      </c>
      <c r="E15" s="1782">
        <f>SUM(E6:E14)</f>
        <v>0</v>
      </c>
      <c r="F15" s="1782">
        <f>SUM(F6:F14)</f>
        <v>0</v>
      </c>
      <c r="G15" s="473"/>
    </row>
    <row r="16" spans="1:7" s="197" customFormat="1" ht="15.75" customHeight="1" thickTop="1" x14ac:dyDescent="0.2">
      <c r="A16" s="2264" t="s">
        <v>1104</v>
      </c>
      <c r="B16" s="2253"/>
      <c r="C16" s="2261"/>
      <c r="D16" s="2262"/>
      <c r="E16" s="2262"/>
      <c r="F16" s="2263"/>
    </row>
    <row r="17" spans="1:11" ht="12.75" customHeight="1" thickBot="1" x14ac:dyDescent="0.25">
      <c r="A17" s="2277" t="s">
        <v>64</v>
      </c>
      <c r="B17" s="2278"/>
      <c r="C17" s="1783"/>
      <c r="D17" s="1714"/>
      <c r="E17" s="1783"/>
      <c r="F17" s="1782">
        <f>SUM(C17+D17)-E17</f>
        <v>0</v>
      </c>
    </row>
    <row r="18" spans="1:11" ht="12.75" customHeight="1" thickTop="1" thickBot="1" x14ac:dyDescent="0.25">
      <c r="A18" s="2277" t="s">
        <v>6</v>
      </c>
      <c r="B18" s="2278"/>
      <c r="C18" s="1783"/>
      <c r="D18" s="1714"/>
      <c r="E18" s="1783"/>
      <c r="F18" s="1782">
        <f>SUM(C18+D18)-E18</f>
        <v>0</v>
      </c>
    </row>
    <row r="19" spans="1:11" ht="12.75" customHeight="1" thickTop="1" thickBot="1" x14ac:dyDescent="0.25">
      <c r="A19" s="2277" t="s">
        <v>385</v>
      </c>
      <c r="B19" s="2278"/>
      <c r="C19" s="1783"/>
      <c r="D19" s="1714"/>
      <c r="E19" s="1783"/>
      <c r="F19" s="1782">
        <f>SUM(C19+D19)-E19</f>
        <v>0</v>
      </c>
    </row>
    <row r="20" spans="1:11" ht="12.75" customHeight="1" thickTop="1" thickBot="1" x14ac:dyDescent="0.25">
      <c r="A20" s="2277" t="s">
        <v>445</v>
      </c>
      <c r="B20" s="2278"/>
      <c r="C20" s="1783"/>
      <c r="D20" s="1714"/>
      <c r="E20" s="1783"/>
      <c r="F20" s="1782">
        <f>SUM(C20+D20)-E20</f>
        <v>0</v>
      </c>
    </row>
    <row r="21" spans="1:11" ht="14.25" thickTop="1" thickBot="1" x14ac:dyDescent="0.25">
      <c r="A21" s="2254" t="s">
        <v>628</v>
      </c>
      <c r="B21" s="2255"/>
      <c r="C21" s="1782">
        <f>SUM(C17:C20)</f>
        <v>0</v>
      </c>
      <c r="D21" s="1782">
        <f>SUM(D17:D20)</f>
        <v>0</v>
      </c>
      <c r="E21" s="1782">
        <f>SUM(E17:E20)</f>
        <v>0</v>
      </c>
      <c r="F21" s="1782">
        <f>SUM(F17:F20)</f>
        <v>0</v>
      </c>
      <c r="G21" s="473"/>
    </row>
    <row r="22" spans="1:11" ht="15.75" customHeight="1" thickTop="1" x14ac:dyDescent="0.2">
      <c r="A22" s="2279" t="s">
        <v>1105</v>
      </c>
      <c r="B22" s="2253"/>
      <c r="C22" s="2261"/>
      <c r="D22" s="2262"/>
      <c r="E22" s="2262"/>
      <c r="F22" s="2263"/>
    </row>
    <row r="23" spans="1:11" ht="13.5" thickBot="1" x14ac:dyDescent="0.25">
      <c r="A23" s="2267" t="s">
        <v>629</v>
      </c>
      <c r="B23" s="2268"/>
      <c r="C23" s="1706"/>
      <c r="D23" s="1706"/>
      <c r="E23" s="1706"/>
      <c r="F23" s="1782">
        <f>SUM(C23+D23)-E23</f>
        <v>0</v>
      </c>
      <c r="G23" s="473"/>
    </row>
    <row r="24" spans="1:11" ht="15.75" customHeight="1" thickTop="1" x14ac:dyDescent="0.2">
      <c r="A24" s="2279" t="s">
        <v>2009</v>
      </c>
      <c r="B24" s="2253"/>
      <c r="C24" s="2261"/>
      <c r="D24" s="2262"/>
      <c r="E24" s="2262"/>
      <c r="F24" s="2263"/>
    </row>
    <row r="25" spans="1:11" ht="13.5" thickBot="1" x14ac:dyDescent="0.25">
      <c r="A25" s="2267" t="s">
        <v>2010</v>
      </c>
      <c r="B25" s="2268"/>
      <c r="C25" s="1706"/>
      <c r="D25" s="1706"/>
      <c r="E25" s="1706"/>
      <c r="F25" s="1782">
        <f>SUM(C25+D25)-E25</f>
        <v>0</v>
      </c>
      <c r="G25" s="473"/>
    </row>
    <row r="26" spans="1:11" ht="15.75" customHeight="1" thickTop="1" x14ac:dyDescent="0.2">
      <c r="A26" s="2252" t="s">
        <v>652</v>
      </c>
      <c r="B26" s="2253"/>
      <c r="C26" s="589"/>
      <c r="D26" s="589"/>
      <c r="E26" s="589"/>
      <c r="F26" s="590"/>
    </row>
    <row r="27" spans="1:11" ht="13.5" thickBot="1" x14ac:dyDescent="0.25">
      <c r="A27" s="2254" t="s">
        <v>1063</v>
      </c>
      <c r="B27" s="2255"/>
      <c r="C27" s="1714"/>
      <c r="D27" s="1714"/>
      <c r="E27" s="1714"/>
      <c r="F27" s="1782">
        <f>SUM(C27+D27)-E27</f>
        <v>0</v>
      </c>
      <c r="G27" s="473"/>
    </row>
    <row r="28" spans="1:11" ht="7.5" customHeight="1" thickTop="1" x14ac:dyDescent="0.2">
      <c r="A28" s="489"/>
    </row>
    <row r="29" spans="1:11" ht="23.25" customHeight="1" x14ac:dyDescent="0.2">
      <c r="A29" s="2280" t="s">
        <v>578</v>
      </c>
      <c r="B29" s="225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2035</v>
      </c>
      <c r="B31" s="595">
        <v>36937</v>
      </c>
      <c r="C31" s="1784">
        <v>6487322</v>
      </c>
      <c r="D31" s="1785">
        <v>2</v>
      </c>
      <c r="E31" s="1784">
        <v>1082294</v>
      </c>
      <c r="F31" s="1784"/>
      <c r="G31" s="1784"/>
      <c r="H31" s="1784">
        <v>1082294</v>
      </c>
      <c r="I31" s="1786">
        <f>((E31+F31)-H31)+G31</f>
        <v>0</v>
      </c>
      <c r="J31" s="1784"/>
      <c r="K31" s="596"/>
    </row>
    <row r="32" spans="1:11" ht="12" customHeight="1" x14ac:dyDescent="0.2">
      <c r="A32" s="594" t="s">
        <v>2036</v>
      </c>
      <c r="B32" s="595">
        <v>37262</v>
      </c>
      <c r="C32" s="1784">
        <v>4329323</v>
      </c>
      <c r="D32" s="1785">
        <v>2</v>
      </c>
      <c r="E32" s="1784">
        <v>4329323</v>
      </c>
      <c r="F32" s="1784"/>
      <c r="G32" s="1784"/>
      <c r="H32" s="1784">
        <v>633217</v>
      </c>
      <c r="I32" s="1786">
        <f>((E32+F32)-H32)+G32</f>
        <v>3696106</v>
      </c>
      <c r="J32" s="1784">
        <f>I32</f>
        <v>3696106</v>
      </c>
      <c r="K32" s="596"/>
    </row>
    <row r="33" spans="1:11" ht="12" customHeight="1" x14ac:dyDescent="0.2">
      <c r="A33" s="594" t="s">
        <v>2037</v>
      </c>
      <c r="B33" s="595">
        <v>36937</v>
      </c>
      <c r="C33" s="1784">
        <v>1068071</v>
      </c>
      <c r="D33" s="1785">
        <v>2</v>
      </c>
      <c r="E33" s="1784">
        <v>75210</v>
      </c>
      <c r="F33" s="1784"/>
      <c r="G33" s="1784"/>
      <c r="H33" s="1784">
        <v>38481</v>
      </c>
      <c r="I33" s="1786">
        <f t="shared" ref="I33:I48" si="1">((E33+F33)-H33)+G33</f>
        <v>36729</v>
      </c>
      <c r="J33" s="1784">
        <f>I33</f>
        <v>36729</v>
      </c>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11884716</v>
      </c>
      <c r="D49" s="1792"/>
      <c r="E49" s="1786">
        <f t="shared" ref="E49:J49" si="2">SUM(E31:E48)</f>
        <v>5486827</v>
      </c>
      <c r="F49" s="1786">
        <f t="shared" si="2"/>
        <v>0</v>
      </c>
      <c r="G49" s="1786">
        <f t="shared" si="2"/>
        <v>0</v>
      </c>
      <c r="H49" s="1786">
        <f t="shared" si="2"/>
        <v>1753992</v>
      </c>
      <c r="I49" s="1786">
        <f t="shared" si="2"/>
        <v>3732835</v>
      </c>
      <c r="J49" s="1786">
        <f t="shared" si="2"/>
        <v>3732835</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71" t="s">
        <v>580</v>
      </c>
      <c r="C52" s="2272"/>
      <c r="D52" s="2272"/>
      <c r="E52" s="603" t="s">
        <v>840</v>
      </c>
      <c r="F52" s="2273"/>
      <c r="G52" s="2274"/>
      <c r="H52" s="596"/>
      <c r="I52" s="596"/>
      <c r="J52" s="600"/>
    </row>
    <row r="53" spans="1:11" ht="11.25" customHeight="1" x14ac:dyDescent="0.2">
      <c r="A53" s="604" t="s">
        <v>907</v>
      </c>
      <c r="B53" s="605" t="s">
        <v>945</v>
      </c>
      <c r="C53" s="600"/>
      <c r="D53" s="597"/>
      <c r="E53" s="603" t="s">
        <v>494</v>
      </c>
      <c r="F53" s="2275"/>
      <c r="G53" s="2276"/>
      <c r="H53" s="596"/>
      <c r="I53" s="596"/>
      <c r="J53" s="600"/>
    </row>
    <row r="54" spans="1:11" ht="11.25" customHeight="1" x14ac:dyDescent="0.2">
      <c r="A54" s="606" t="s">
        <v>908</v>
      </c>
      <c r="B54" s="601" t="s">
        <v>946</v>
      </c>
      <c r="C54" s="600"/>
      <c r="D54" s="597"/>
      <c r="E54" s="603" t="s">
        <v>495</v>
      </c>
      <c r="F54" s="2275"/>
      <c r="G54" s="227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83" t="s">
        <v>1878</v>
      </c>
      <c r="B1" s="2284"/>
      <c r="C1" s="2285"/>
      <c r="D1" s="666"/>
      <c r="E1" s="667"/>
      <c r="F1" s="667"/>
      <c r="G1" s="668"/>
      <c r="H1" s="669"/>
      <c r="I1" s="670"/>
      <c r="J1" s="2281"/>
      <c r="K1" s="2282"/>
      <c r="L1" s="228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1507280</v>
      </c>
      <c r="D5" s="1820"/>
      <c r="E5" s="1820"/>
      <c r="F5" s="1815">
        <f>(C5+D5)-E5</f>
        <v>1507280</v>
      </c>
      <c r="G5" s="676"/>
      <c r="H5" s="680"/>
      <c r="I5" s="680"/>
      <c r="J5" s="680"/>
      <c r="K5" s="637"/>
      <c r="L5" s="1491">
        <f>F5-K5</f>
        <v>1507280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33544704</v>
      </c>
      <c r="D8" s="1821"/>
      <c r="E8" s="1821"/>
      <c r="F8" s="1815">
        <f>(C8+D8)-E8</f>
        <v>33544704</v>
      </c>
      <c r="G8" s="681">
        <v>50</v>
      </c>
      <c r="H8" s="619">
        <v>17871249</v>
      </c>
      <c r="I8" s="619">
        <v>858413</v>
      </c>
      <c r="J8" s="619"/>
      <c r="K8" s="1491">
        <f>(H8+I8)-J8</f>
        <v>18729662</v>
      </c>
      <c r="L8" s="1491">
        <f>F8-K8</f>
        <v>14815042</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1665009</v>
      </c>
      <c r="D10" s="1822">
        <v>411053</v>
      </c>
      <c r="E10" s="1822"/>
      <c r="F10" s="1823">
        <f>(C10+D10)-E10</f>
        <v>2076062</v>
      </c>
      <c r="G10" s="681">
        <v>20</v>
      </c>
      <c r="H10" s="683">
        <v>884357</v>
      </c>
      <c r="I10" s="683">
        <v>64328</v>
      </c>
      <c r="J10" s="683"/>
      <c r="K10" s="1491">
        <f>(H10+I10)-J10</f>
        <v>948685</v>
      </c>
      <c r="L10" s="1491">
        <f>F10-K10</f>
        <v>1127377</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4357791</v>
      </c>
      <c r="D12" s="1821">
        <v>119114</v>
      </c>
      <c r="E12" s="1821">
        <v>49088</v>
      </c>
      <c r="F12" s="1815">
        <f>(C12+D12)-E12</f>
        <v>4427817</v>
      </c>
      <c r="G12" s="681">
        <v>10</v>
      </c>
      <c r="H12" s="619">
        <v>3013011</v>
      </c>
      <c r="I12" s="619">
        <v>195413</v>
      </c>
      <c r="J12" s="619">
        <v>20110</v>
      </c>
      <c r="K12" s="1491">
        <f>(H12+I12)-J12</f>
        <v>3188314</v>
      </c>
      <c r="L12" s="1491">
        <f>F12-K12</f>
        <v>1239503</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v>0</v>
      </c>
      <c r="D15" s="1821">
        <v>770200</v>
      </c>
      <c r="E15" s="1821"/>
      <c r="F15" s="1815">
        <f>(C15+D15)-E15</f>
        <v>770200</v>
      </c>
      <c r="G15" s="685" t="s">
        <v>857</v>
      </c>
      <c r="H15" s="632"/>
      <c r="I15" s="632"/>
      <c r="J15" s="632"/>
      <c r="K15" s="632"/>
      <c r="L15" s="1491">
        <f>F15-K15</f>
        <v>770200</v>
      </c>
    </row>
    <row r="16" spans="1:14" ht="15" customHeight="1" thickTop="1" thickBot="1" x14ac:dyDescent="0.25">
      <c r="A16" s="1487" t="s">
        <v>638</v>
      </c>
      <c r="B16" s="1488">
        <v>200</v>
      </c>
      <c r="C16" s="1815">
        <f>SUM(C3,C5:C6,C8:C10,C12:C15)</f>
        <v>41074784</v>
      </c>
      <c r="D16" s="1815">
        <f>SUM(D3,D5:D6,D8:D10,D12:D15)</f>
        <v>1300367</v>
      </c>
      <c r="E16" s="1815">
        <f>SUM(E3,E5:E6,E8:E10,E12:E15)</f>
        <v>49088</v>
      </c>
      <c r="F16" s="1815">
        <f>SUM(F3,F5:F6,F8:F10,F12:F15)</f>
        <v>42326063</v>
      </c>
      <c r="G16" s="681"/>
      <c r="H16" s="1484">
        <f>SUM(H3,H6,H8:H10,H12:H14,)</f>
        <v>21768617</v>
      </c>
      <c r="I16" s="1484">
        <f>SUM(I3,I6,I8:I10,I12:I14,)</f>
        <v>1118154</v>
      </c>
      <c r="J16" s="1484">
        <f>SUM(J3,J6,J8:J10,J12:J14,)</f>
        <v>20110</v>
      </c>
      <c r="K16" s="1484">
        <f>(H16+I16)-J16</f>
        <v>22866661</v>
      </c>
      <c r="L16" s="1484">
        <f>F16-K16</f>
        <v>19459402</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343176</v>
      </c>
      <c r="G17" s="676">
        <v>10</v>
      </c>
      <c r="H17" s="621"/>
      <c r="I17" s="1491">
        <f>F17/G17</f>
        <v>34317.599999999999</v>
      </c>
      <c r="J17" s="621"/>
      <c r="K17" s="638"/>
      <c r="L17" s="638"/>
    </row>
    <row r="18" spans="1:12" ht="14.25" thickTop="1" thickBot="1" x14ac:dyDescent="0.25">
      <c r="A18" s="1489" t="s">
        <v>680</v>
      </c>
      <c r="B18" s="1490"/>
      <c r="C18" s="623"/>
      <c r="D18" s="623"/>
      <c r="E18" s="623"/>
      <c r="F18" s="686"/>
      <c r="G18" s="687"/>
      <c r="H18" s="624"/>
      <c r="I18" s="1484">
        <f>SUM(I16,I17)</f>
        <v>1152471.6000000001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2" t="s">
        <v>851</v>
      </c>
      <c r="B1" s="2313"/>
      <c r="C1" s="2313"/>
      <c r="D1" s="2313"/>
      <c r="E1" s="2313"/>
      <c r="F1" s="2313"/>
      <c r="G1" s="2314"/>
      <c r="H1" s="1343"/>
      <c r="I1" s="614"/>
      <c r="J1" s="400"/>
    </row>
    <row r="2" spans="1:11" ht="26.25" x14ac:dyDescent="0.2">
      <c r="A2" s="2289" t="s">
        <v>1661</v>
      </c>
      <c r="B2" s="2290"/>
      <c r="C2" s="2290"/>
      <c r="D2" s="2290"/>
      <c r="E2" s="2291"/>
      <c r="F2" s="615" t="s">
        <v>898</v>
      </c>
      <c r="G2" s="616" t="s">
        <v>1658</v>
      </c>
      <c r="H2" s="616" t="s">
        <v>407</v>
      </c>
      <c r="I2" s="616" t="s">
        <v>1150</v>
      </c>
      <c r="J2" s="616" t="s">
        <v>1792</v>
      </c>
      <c r="K2" s="616" t="s">
        <v>137</v>
      </c>
    </row>
    <row r="3" spans="1:11" x14ac:dyDescent="0.2">
      <c r="A3" s="2292" t="str">
        <f>"Cash Basis Fund Balance as of July 1, "&amp;'AFR20'!E2-1</f>
        <v>Cash Basis Fund Balance as of July 1, 2019</v>
      </c>
      <c r="B3" s="2293"/>
      <c r="C3" s="2293"/>
      <c r="D3" s="2293"/>
      <c r="E3" s="2294"/>
      <c r="F3" s="617"/>
      <c r="G3" s="1794"/>
      <c r="H3" s="1794"/>
      <c r="I3" s="1794"/>
      <c r="J3" s="1795"/>
      <c r="K3" s="1795"/>
    </row>
    <row r="4" spans="1:11" x14ac:dyDescent="0.2">
      <c r="A4" s="2295" t="s">
        <v>366</v>
      </c>
      <c r="B4" s="2296"/>
      <c r="C4" s="2296"/>
      <c r="D4" s="2296"/>
      <c r="E4" s="2272"/>
      <c r="F4" s="620"/>
      <c r="G4" s="1796"/>
      <c r="H4" s="1797"/>
      <c r="I4" s="1796"/>
      <c r="J4" s="1798"/>
      <c r="K4" s="1798"/>
    </row>
    <row r="5" spans="1:11" x14ac:dyDescent="0.2">
      <c r="A5" s="2315" t="s">
        <v>1062</v>
      </c>
      <c r="B5" s="2286"/>
      <c r="C5" s="2286"/>
      <c r="D5" s="2286"/>
      <c r="E5" s="2316"/>
      <c r="F5" s="622" t="s">
        <v>843</v>
      </c>
      <c r="G5" s="1799"/>
      <c r="H5" s="1794">
        <f>'Revenues 9-14'!C7</f>
        <v>240519</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15" t="s">
        <v>1793</v>
      </c>
      <c r="B10" s="2286"/>
      <c r="C10" s="2286"/>
      <c r="D10" s="2286"/>
      <c r="E10" s="2317"/>
      <c r="F10" s="633" t="s">
        <v>857</v>
      </c>
      <c r="G10" s="1803"/>
      <c r="H10" s="1804"/>
      <c r="I10" s="1794"/>
      <c r="J10" s="1795"/>
      <c r="K10" s="1795"/>
    </row>
    <row r="11" spans="1:11" x14ac:dyDescent="0.2">
      <c r="A11" s="2315" t="s">
        <v>159</v>
      </c>
      <c r="B11" s="2286"/>
      <c r="C11" s="2286"/>
      <c r="D11" s="2286"/>
      <c r="E11" s="2316"/>
      <c r="F11" s="622" t="s">
        <v>847</v>
      </c>
      <c r="G11" s="1799"/>
      <c r="H11" s="1794"/>
      <c r="I11" s="1794"/>
      <c r="J11" s="1795"/>
      <c r="K11" s="1801"/>
    </row>
    <row r="12" spans="1:11" ht="13.5" thickBot="1" x14ac:dyDescent="0.25">
      <c r="A12" s="2303" t="s">
        <v>899</v>
      </c>
      <c r="B12" s="2304"/>
      <c r="C12" s="2304"/>
      <c r="D12" s="2304"/>
      <c r="E12" s="2305"/>
      <c r="F12" s="1482"/>
      <c r="G12" s="1805">
        <f>SUM(G5:G11)</f>
        <v>0</v>
      </c>
      <c r="H12" s="1805">
        <f>SUM(H5:H11)</f>
        <v>240519</v>
      </c>
      <c r="I12" s="1805">
        <f>SUM(I5:I11)</f>
        <v>0</v>
      </c>
      <c r="J12" s="1805">
        <f>SUM(J5:J11)</f>
        <v>0</v>
      </c>
      <c r="K12" s="1805">
        <f>SUM(K5:K11)</f>
        <v>0</v>
      </c>
    </row>
    <row r="13" spans="1:11" ht="13.5" thickTop="1" x14ac:dyDescent="0.2">
      <c r="A13" s="2297" t="s">
        <v>367</v>
      </c>
      <c r="B13" s="2298"/>
      <c r="C13" s="2298"/>
      <c r="D13" s="2298"/>
      <c r="E13" s="2299"/>
      <c r="F13" s="634"/>
      <c r="G13" s="1806"/>
      <c r="H13" s="1807"/>
      <c r="I13" s="1808"/>
      <c r="J13" s="1808"/>
      <c r="K13" s="1808"/>
    </row>
    <row r="14" spans="1:11" x14ac:dyDescent="0.2">
      <c r="A14" s="2321" t="s">
        <v>453</v>
      </c>
      <c r="B14" s="2321"/>
      <c r="C14" s="2321"/>
      <c r="D14" s="2321"/>
      <c r="E14" s="2322"/>
      <c r="F14" s="635" t="s">
        <v>849</v>
      </c>
      <c r="G14" s="1803"/>
      <c r="H14" s="1794">
        <f>H12</f>
        <v>240519</v>
      </c>
      <c r="I14" s="1799"/>
      <c r="J14" s="1801"/>
      <c r="K14" s="1795"/>
    </row>
    <row r="15" spans="1:11" x14ac:dyDescent="0.2">
      <c r="A15" s="2286" t="s">
        <v>4</v>
      </c>
      <c r="B15" s="2286"/>
      <c r="C15" s="2286"/>
      <c r="D15" s="2286"/>
      <c r="E15" s="2316"/>
      <c r="F15" s="635" t="s">
        <v>850</v>
      </c>
      <c r="G15" s="1799"/>
      <c r="H15" s="1794"/>
      <c r="I15" s="1794"/>
      <c r="J15" s="1795"/>
      <c r="K15" s="1795"/>
    </row>
    <row r="16" spans="1:11" x14ac:dyDescent="0.2">
      <c r="A16" s="2286" t="s">
        <v>295</v>
      </c>
      <c r="B16" s="2286"/>
      <c r="C16" s="2286"/>
      <c r="D16" s="2286"/>
      <c r="E16" s="2316"/>
      <c r="F16" s="635" t="s">
        <v>917</v>
      </c>
      <c r="G16" s="1800"/>
      <c r="H16" s="1796"/>
      <c r="I16" s="1796"/>
      <c r="J16" s="1798"/>
      <c r="K16" s="1798"/>
    </row>
    <row r="17" spans="1:15" x14ac:dyDescent="0.2">
      <c r="A17" s="2310" t="s">
        <v>929</v>
      </c>
      <c r="B17" s="2310"/>
      <c r="C17" s="2310"/>
      <c r="D17" s="2310"/>
      <c r="E17" s="2311"/>
      <c r="F17" s="636"/>
      <c r="G17" s="1809"/>
      <c r="H17" s="1810"/>
      <c r="I17" s="1810"/>
      <c r="J17" s="1811"/>
      <c r="K17" s="1812"/>
    </row>
    <row r="18" spans="1:15" x14ac:dyDescent="0.2">
      <c r="A18" s="2300" t="s">
        <v>365</v>
      </c>
      <c r="B18" s="2301"/>
      <c r="C18" s="2301"/>
      <c r="D18" s="2301"/>
      <c r="E18" s="2302"/>
      <c r="F18" s="635" t="s">
        <v>926</v>
      </c>
      <c r="G18" s="1803"/>
      <c r="H18" s="1803"/>
      <c r="I18" s="1803"/>
      <c r="J18" s="1795"/>
      <c r="K18" s="1813"/>
    </row>
    <row r="19" spans="1:15" ht="21.75" customHeight="1" x14ac:dyDescent="0.2">
      <c r="A19" s="2323" t="s">
        <v>1789</v>
      </c>
      <c r="B19" s="2323"/>
      <c r="C19" s="2323"/>
      <c r="D19" s="2323"/>
      <c r="E19" s="2324"/>
      <c r="F19" s="635" t="s">
        <v>927</v>
      </c>
      <c r="G19" s="1803"/>
      <c r="H19" s="1803"/>
      <c r="I19" s="1803"/>
      <c r="J19" s="1795"/>
      <c r="K19" s="1813"/>
    </row>
    <row r="20" spans="1:15" x14ac:dyDescent="0.2">
      <c r="A20" s="2300" t="s">
        <v>1794</v>
      </c>
      <c r="B20" s="2301"/>
      <c r="C20" s="2301"/>
      <c r="D20" s="2301"/>
      <c r="E20" s="2302"/>
      <c r="F20" s="635" t="s">
        <v>928</v>
      </c>
      <c r="G20" s="1803"/>
      <c r="H20" s="1803"/>
      <c r="I20" s="1803"/>
      <c r="J20" s="1795"/>
      <c r="K20" s="1813"/>
    </row>
    <row r="21" spans="1:15" ht="13.5" thickBot="1" x14ac:dyDescent="0.25">
      <c r="A21" s="2306" t="s">
        <v>633</v>
      </c>
      <c r="B21" s="2306"/>
      <c r="C21" s="2306"/>
      <c r="D21" s="2306"/>
      <c r="E21" s="2306"/>
      <c r="F21" s="1483"/>
      <c r="G21" s="1810"/>
      <c r="H21" s="1814"/>
      <c r="I21" s="1814"/>
      <c r="J21" s="1815">
        <f>SUM(J18:J20)</f>
        <v>0</v>
      </c>
      <c r="K21" s="1811"/>
    </row>
    <row r="22" spans="1:15" ht="13.5" thickTop="1" x14ac:dyDescent="0.2">
      <c r="A22" s="2286" t="s">
        <v>1795</v>
      </c>
      <c r="B22" s="2286"/>
      <c r="C22" s="2286"/>
      <c r="D22" s="2286"/>
      <c r="E22" s="2316"/>
      <c r="F22" s="635" t="s">
        <v>857</v>
      </c>
      <c r="G22" s="1803"/>
      <c r="H22" s="1794"/>
      <c r="I22" s="1794"/>
      <c r="J22" s="1816"/>
      <c r="K22" s="1795"/>
    </row>
    <row r="23" spans="1:15" ht="13.5" thickBot="1" x14ac:dyDescent="0.25">
      <c r="A23" s="2307" t="s">
        <v>900</v>
      </c>
      <c r="B23" s="2306"/>
      <c r="C23" s="2306"/>
      <c r="D23" s="2306"/>
      <c r="E23" s="2306"/>
      <c r="F23" s="1485"/>
      <c r="G23" s="1805">
        <f>SUM(G14:G16,G21,G22)</f>
        <v>0</v>
      </c>
      <c r="H23" s="1805">
        <f>SUM(H14:H16,H21,H22)</f>
        <v>240519</v>
      </c>
      <c r="I23" s="1805">
        <f>SUM(I14:I16,I21,I22)</f>
        <v>0</v>
      </c>
      <c r="J23" s="1805">
        <f>SUM(J14:J16,J21,J22)</f>
        <v>0</v>
      </c>
      <c r="K23" s="1805">
        <f>SUM(K14:K16,K21,K22)</f>
        <v>0</v>
      </c>
      <c r="M23" s="1904"/>
      <c r="N23" s="1904"/>
      <c r="O23" s="1904"/>
    </row>
    <row r="24" spans="1:15" ht="14.25" thickTop="1" thickBot="1" x14ac:dyDescent="0.25">
      <c r="A24" s="2308" t="str">
        <f>"Ending Cash Basis Fund Balance as of June 30, "&amp;'AFR20'!E2</f>
        <v>Ending Cash Basis Fund Balance as of June 30, 2020</v>
      </c>
      <c r="B24" s="2309"/>
      <c r="C24" s="2309"/>
      <c r="D24" s="2309"/>
      <c r="E24" s="2309"/>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8"/>
      <c r="I31" s="2319"/>
      <c r="J31" s="2319"/>
      <c r="K31" s="2319"/>
    </row>
    <row r="32" spans="1:15" x14ac:dyDescent="0.2">
      <c r="A32" s="649"/>
      <c r="B32" s="232"/>
      <c r="C32" s="232"/>
      <c r="D32" s="232"/>
      <c r="E32" s="645"/>
      <c r="F32" s="651" t="s">
        <v>537</v>
      </c>
      <c r="G32" s="618"/>
      <c r="H32" s="2320"/>
      <c r="I32" s="2319"/>
      <c r="J32" s="2319"/>
      <c r="K32" s="2319"/>
    </row>
    <row r="33" spans="1:11" ht="1.5" customHeight="1" x14ac:dyDescent="0.2">
      <c r="A33" s="652" t="s">
        <v>1161</v>
      </c>
      <c r="B33" s="341"/>
      <c r="C33" s="341"/>
      <c r="D33" s="341"/>
      <c r="E33" s="341"/>
      <c r="F33" s="341"/>
      <c r="G33" s="653"/>
      <c r="H33" s="2320"/>
      <c r="I33" s="2319"/>
      <c r="J33" s="2319"/>
      <c r="K33" s="231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6" t="s">
        <v>538</v>
      </c>
      <c r="B41" s="2287"/>
      <c r="C41" s="2287"/>
      <c r="D41" s="2287"/>
      <c r="E41" s="2287"/>
      <c r="F41" s="228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A47" sqref="A47"/>
      <selection pane="bottomLeft"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8" t="str">
        <f>"ESTIMATED OPERATING EXPENSE PER PUPIL (OEPP)/PER CAPITA TUITION CHARGE (PCTC) COMPUTATIONS ("&amp;'AFR20'!E2-1&amp;" - "&amp;'AFR20'!E2&amp;")"</f>
        <v>ESTIMATED OPERATING EXPENSE PER PUPIL (OEPP)/PER CAPITA TUITION CHARGE (PCTC) COMPUTATIONS (2019 - 2020)</v>
      </c>
      <c r="B1" s="2329"/>
      <c r="C1" s="2329"/>
      <c r="D1" s="2329"/>
      <c r="E1" s="2329"/>
      <c r="F1" s="2330"/>
      <c r="G1" s="691"/>
      <c r="I1" s="701"/>
    </row>
    <row r="2" spans="1:9" ht="15" customHeight="1" thickBot="1" x14ac:dyDescent="0.25">
      <c r="A2" s="2331" t="s">
        <v>474</v>
      </c>
      <c r="B2" s="2332"/>
      <c r="C2" s="2332"/>
      <c r="D2" s="2332"/>
      <c r="E2" s="2332"/>
      <c r="F2" s="233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4"/>
      <c r="B5" s="2335"/>
      <c r="C5" s="2335"/>
      <c r="D5" s="2335"/>
      <c r="E5" s="2335"/>
      <c r="F5" s="2335"/>
    </row>
    <row r="6" spans="1:9" ht="13.5" customHeight="1" thickBot="1" x14ac:dyDescent="0.25">
      <c r="A6" s="2325" t="s">
        <v>1097</v>
      </c>
      <c r="B6" s="2326"/>
      <c r="C6" s="2326"/>
      <c r="D6" s="2326"/>
      <c r="E6" s="2326"/>
      <c r="F6" s="232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19851538</v>
      </c>
      <c r="G8" s="701"/>
    </row>
    <row r="9" spans="1:9" x14ac:dyDescent="0.2">
      <c r="A9" s="705" t="s">
        <v>457</v>
      </c>
      <c r="B9" s="706" t="s">
        <v>1851</v>
      </c>
      <c r="C9" s="707"/>
      <c r="D9" s="705" t="s">
        <v>498</v>
      </c>
      <c r="E9" s="704"/>
      <c r="F9" s="1825">
        <f>'Expenditures 15-22'!K151</f>
        <v>3432025</v>
      </c>
      <c r="G9" s="708"/>
    </row>
    <row r="10" spans="1:9" x14ac:dyDescent="0.2">
      <c r="A10" s="705" t="s">
        <v>496</v>
      </c>
      <c r="B10" s="706" t="s">
        <v>1852</v>
      </c>
      <c r="C10" s="707"/>
      <c r="D10" s="705" t="s">
        <v>498</v>
      </c>
      <c r="E10" s="704"/>
      <c r="F10" s="1825">
        <f>'Expenditures 15-22'!K174</f>
        <v>5004711</v>
      </c>
      <c r="G10" s="708"/>
    </row>
    <row r="11" spans="1:9" x14ac:dyDescent="0.2">
      <c r="A11" s="705" t="s">
        <v>458</v>
      </c>
      <c r="B11" s="706" t="s">
        <v>1853</v>
      </c>
      <c r="C11" s="707"/>
      <c r="D11" s="705" t="s">
        <v>498</v>
      </c>
      <c r="E11" s="704"/>
      <c r="F11" s="1825">
        <f>'Expenditures 15-22'!K210</f>
        <v>1387872</v>
      </c>
      <c r="G11" s="708"/>
    </row>
    <row r="12" spans="1:9" x14ac:dyDescent="0.2">
      <c r="A12" s="705" t="s">
        <v>459</v>
      </c>
      <c r="B12" s="706" t="s">
        <v>1854</v>
      </c>
      <c r="C12" s="707"/>
      <c r="D12" s="705" t="s">
        <v>498</v>
      </c>
      <c r="E12" s="704"/>
      <c r="F12" s="1825">
        <f>'Expenditures 15-22'!K295</f>
        <v>702748</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30378894</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3769</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207688</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649096</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32113</v>
      </c>
      <c r="G52" s="701"/>
    </row>
    <row r="53" spans="1:7" x14ac:dyDescent="0.2">
      <c r="A53" s="705" t="s">
        <v>456</v>
      </c>
      <c r="B53" s="705" t="s">
        <v>1461</v>
      </c>
      <c r="C53" s="724">
        <f>'Expenditures 15-22'!B102</f>
        <v>4000</v>
      </c>
      <c r="D53" s="723" t="str">
        <f>'Expenditures 15-22'!A102</f>
        <v>Total Payments to Other Govt Units</v>
      </c>
      <c r="E53" s="704"/>
      <c r="F53" s="1832">
        <f>'Expenditures 15-22'!K102</f>
        <v>755823</v>
      </c>
      <c r="G53" s="701"/>
    </row>
    <row r="54" spans="1:7" x14ac:dyDescent="0.2">
      <c r="A54" s="705" t="s">
        <v>456</v>
      </c>
      <c r="B54" s="705" t="s">
        <v>1462</v>
      </c>
      <c r="C54" s="724" t="s">
        <v>975</v>
      </c>
      <c r="D54" s="720" t="s">
        <v>1088</v>
      </c>
      <c r="E54" s="704"/>
      <c r="F54" s="1832">
        <f>'Expenditures 15-22'!G114</f>
        <v>90033</v>
      </c>
      <c r="G54" s="701"/>
    </row>
    <row r="55" spans="1:7" x14ac:dyDescent="0.2">
      <c r="A55" s="705" t="s">
        <v>456</v>
      </c>
      <c r="B55" s="705" t="s">
        <v>1463</v>
      </c>
      <c r="C55" s="724" t="s">
        <v>975</v>
      </c>
      <c r="D55" s="720" t="s">
        <v>288</v>
      </c>
      <c r="E55" s="704"/>
      <c r="F55" s="1832">
        <f>'Expenditures 15-22'!I114</f>
        <v>343176</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1268580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1753992</v>
      </c>
      <c r="G61" s="701"/>
    </row>
    <row r="62" spans="1:7" x14ac:dyDescent="0.2">
      <c r="A62" s="705" t="s">
        <v>458</v>
      </c>
      <c r="B62" s="705" t="s">
        <v>1861</v>
      </c>
      <c r="C62" s="721">
        <f>'Expenditures 15-22'!B185</f>
        <v>3000</v>
      </c>
      <c r="D62" s="712" t="s">
        <v>446</v>
      </c>
      <c r="E62" s="704"/>
      <c r="F62" s="1832">
        <f>'Expenditures 15-22'!K185-SUM('Expenditures 15-22'!G185,'Expenditures 15-22'!I185)</f>
        <v>7818</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54</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5112142</v>
      </c>
      <c r="G77" s="701"/>
    </row>
    <row r="78" spans="1:9" s="728" customFormat="1" ht="12" customHeight="1" thickTop="1" thickBot="1" x14ac:dyDescent="0.25">
      <c r="A78" s="1499"/>
      <c r="B78" s="1497"/>
      <c r="C78" s="1494"/>
      <c r="D78" s="1498" t="s">
        <v>2015</v>
      </c>
      <c r="E78" s="1496"/>
      <c r="F78" s="1838">
        <f>(F14-F77)</f>
        <v>25266752</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1992.2</v>
      </c>
      <c r="G79" s="733"/>
      <c r="H79" s="705"/>
      <c r="I79" s="705"/>
    </row>
    <row r="80" spans="1:9" s="728" customFormat="1" ht="12" customHeight="1" thickBot="1" x14ac:dyDescent="0.25">
      <c r="A80" s="1501"/>
      <c r="B80" s="1497"/>
      <c r="C80" s="1494"/>
      <c r="D80" s="1498" t="s">
        <v>2016</v>
      </c>
      <c r="E80" s="1496" t="s">
        <v>952</v>
      </c>
      <c r="F80" s="1840">
        <f>IF(F79&gt;0,F78/F79," Complete Line 79")</f>
        <v>12682.83907238229</v>
      </c>
      <c r="G80" s="705"/>
    </row>
    <row r="81" spans="1:7" s="728" customFormat="1" ht="8.25" customHeight="1" thickTop="1" x14ac:dyDescent="0.2">
      <c r="A81" s="734"/>
      <c r="B81" s="705"/>
      <c r="C81" s="707"/>
      <c r="D81" s="735"/>
      <c r="E81" s="704"/>
      <c r="F81" s="1841"/>
      <c r="G81" s="705"/>
    </row>
    <row r="82" spans="1:7" s="728" customFormat="1" ht="12" thickBot="1" x14ac:dyDescent="0.25">
      <c r="A82" s="2325" t="s">
        <v>1098</v>
      </c>
      <c r="B82" s="2326"/>
      <c r="C82" s="2326"/>
      <c r="D82" s="2326"/>
      <c r="E82" s="2326"/>
      <c r="F82" s="232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22792</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189589</v>
      </c>
      <c r="G95" s="745"/>
    </row>
    <row r="96" spans="1:7" x14ac:dyDescent="0.2">
      <c r="A96" s="741" t="s">
        <v>139</v>
      </c>
      <c r="B96" s="741" t="s">
        <v>174</v>
      </c>
      <c r="C96" s="743">
        <v>1700</v>
      </c>
      <c r="D96" s="751" t="str">
        <f>'Revenues 9-14'!A82</f>
        <v>Total District/School Activity Income</v>
      </c>
      <c r="E96" s="739"/>
      <c r="F96" s="1843">
        <f>SUM('Revenues 9-14'!C82,'Revenues 9-14'!D82)</f>
        <v>175131</v>
      </c>
      <c r="G96" s="745"/>
    </row>
    <row r="97" spans="1:7" x14ac:dyDescent="0.2">
      <c r="A97" s="741" t="s">
        <v>456</v>
      </c>
      <c r="B97" s="741" t="s">
        <v>175</v>
      </c>
      <c r="C97" s="743">
        <f>'Revenues 9-14'!B84</f>
        <v>1811</v>
      </c>
      <c r="D97" s="744" t="str">
        <f>'Revenues 9-14'!A84</f>
        <v>Rentals - Regular Textbooks</v>
      </c>
      <c r="E97" s="739"/>
      <c r="F97" s="1843">
        <f>'Revenues 9-14'!C84</f>
        <v>456261</v>
      </c>
      <c r="G97" s="745"/>
    </row>
    <row r="98" spans="1:7" x14ac:dyDescent="0.2">
      <c r="A98" s="741" t="s">
        <v>456</v>
      </c>
      <c r="B98" s="741" t="s">
        <v>176</v>
      </c>
      <c r="C98" s="743">
        <f>'Revenues 9-14'!B87</f>
        <v>1819</v>
      </c>
      <c r="D98" s="744" t="str">
        <f>'Revenues 9-14'!A87</f>
        <v>Rentals - Other (Describe &amp; Itemize)</v>
      </c>
      <c r="E98" s="739"/>
      <c r="F98" s="1843">
        <f>'Revenues 9-14'!C87</f>
        <v>136158</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11000</v>
      </c>
      <c r="G101" s="745"/>
    </row>
    <row r="102" spans="1:7" x14ac:dyDescent="0.2">
      <c r="A102" s="741" t="s">
        <v>139</v>
      </c>
      <c r="B102" s="741" t="s">
        <v>180</v>
      </c>
      <c r="C102" s="743">
        <f>'Revenues 9-14'!B95</f>
        <v>1910</v>
      </c>
      <c r="D102" s="744" t="str">
        <f>'Revenues 9-14'!A95</f>
        <v>Rentals</v>
      </c>
      <c r="E102" s="739"/>
      <c r="F102" s="1843">
        <f>SUM('Revenues 9-14'!C95:D95)</f>
        <v>176173</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60004</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382670</v>
      </c>
      <c r="G105" s="745"/>
    </row>
    <row r="106" spans="1:7" x14ac:dyDescent="0.2">
      <c r="A106" s="741" t="s">
        <v>500</v>
      </c>
      <c r="B106" s="741" t="s">
        <v>1913</v>
      </c>
      <c r="C106" s="746">
        <v>3100</v>
      </c>
      <c r="D106" s="752" t="str">
        <f>'Revenues 9-14'!A132</f>
        <v>Total Special Education</v>
      </c>
      <c r="E106" s="739"/>
      <c r="F106" s="1843">
        <f>SUM('Revenues 9-14'!C132:D132,'Revenues 9-14'!F132)</f>
        <v>170447</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105135</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1083</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416864</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155367</v>
      </c>
      <c r="G126" s="763"/>
    </row>
    <row r="127" spans="1:7" x14ac:dyDescent="0.2">
      <c r="A127" s="760" t="s">
        <v>663</v>
      </c>
      <c r="B127" s="760" t="s">
        <v>1934</v>
      </c>
      <c r="C127" s="765">
        <v>4300</v>
      </c>
      <c r="D127" s="766" t="str">
        <f>'Revenues 9-14'!A204</f>
        <v>Total Title I</v>
      </c>
      <c r="E127" s="739"/>
      <c r="F127" s="1843">
        <f>SUM('Revenues 9-14'!C204,'Revenues 9-14'!D204,'Revenues 9-14'!F204,'Revenues 9-14'!G204)</f>
        <v>231411</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525682</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122360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18634</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77727</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4535</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588101.43000000005</v>
      </c>
      <c r="G172" s="760"/>
    </row>
    <row r="173" spans="1:7" x14ac:dyDescent="0.2">
      <c r="A173" s="1579" t="s">
        <v>659</v>
      </c>
      <c r="B173" s="1580" t="s">
        <v>1888</v>
      </c>
      <c r="C173" s="1581">
        <v>3300</v>
      </c>
      <c r="D173" s="1582" t="s">
        <v>1891</v>
      </c>
      <c r="E173" s="739"/>
      <c r="F173" s="1844">
        <v>35436.1</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4112560.5300000003</v>
      </c>
    </row>
    <row r="176" spans="1:7" ht="12" customHeight="1" x14ac:dyDescent="0.2">
      <c r="A176" s="1492"/>
      <c r="B176" s="1502"/>
      <c r="C176" s="1503"/>
      <c r="D176" s="1504" t="s">
        <v>2017</v>
      </c>
      <c r="E176" s="1505"/>
      <c r="F176" s="1843">
        <f>'PCTC-OEPP 27-28'!F78-F175</f>
        <v>21154191.469999999</v>
      </c>
    </row>
    <row r="177" spans="1:9" ht="12" customHeight="1" x14ac:dyDescent="0.2">
      <c r="A177" s="1492"/>
      <c r="B177" s="1502"/>
      <c r="C177" s="1503"/>
      <c r="D177" s="1504" t="s">
        <v>1797</v>
      </c>
      <c r="E177" s="1505"/>
      <c r="F177" s="1843">
        <f>'Cap Outlay Deprec 26'!I18</f>
        <v>1152471.6000000001</v>
      </c>
    </row>
    <row r="178" spans="1:9" ht="12" customHeight="1" x14ac:dyDescent="0.2">
      <c r="A178" s="1492"/>
      <c r="B178" s="1502"/>
      <c r="C178" s="1503"/>
      <c r="D178" s="1504" t="s">
        <v>2018</v>
      </c>
      <c r="E178" s="1505"/>
      <c r="F178" s="1843">
        <f>F176+F177</f>
        <v>22306663.07</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1992.2</v>
      </c>
      <c r="G179" s="763"/>
      <c r="I179" s="701"/>
    </row>
    <row r="180" spans="1:9" ht="12" customHeight="1" thickBot="1" x14ac:dyDescent="0.25">
      <c r="A180" s="1492"/>
      <c r="B180" s="1506"/>
      <c r="C180" s="1503"/>
      <c r="D180" s="1504" t="s">
        <v>2020</v>
      </c>
      <c r="E180" s="1505" t="s">
        <v>1531</v>
      </c>
      <c r="F180" s="1848">
        <f>F178/F179</f>
        <v>11196.999834353981</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5" zoomScaleNormal="100" workbookViewId="0">
      <selection activeCell="B21" sqref="B21"/>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9" t="s">
        <v>1798</v>
      </c>
      <c r="B4" s="2340"/>
      <c r="C4" s="2340"/>
      <c r="D4" s="2340"/>
      <c r="E4" s="2340"/>
      <c r="F4" s="2341"/>
    </row>
    <row r="5" spans="1:6" x14ac:dyDescent="0.25">
      <c r="A5" s="2342"/>
      <c r="B5" s="2343"/>
      <c r="C5" s="2343"/>
      <c r="D5" s="2343"/>
      <c r="E5" s="2343"/>
      <c r="F5" s="2344"/>
    </row>
    <row r="6" spans="1:6" ht="18.75" x14ac:dyDescent="0.25">
      <c r="A6" s="1930" t="s">
        <v>1799</v>
      </c>
      <c r="B6" s="1931"/>
      <c r="C6" s="1932"/>
      <c r="D6" s="1932"/>
      <c r="E6" s="1932"/>
      <c r="F6" s="1933"/>
    </row>
    <row r="7" spans="1:6" ht="47.25" customHeight="1" x14ac:dyDescent="0.25">
      <c r="A7" s="2345" t="s">
        <v>1988</v>
      </c>
      <c r="B7" s="2346"/>
      <c r="C7" s="2346"/>
      <c r="D7" s="2346"/>
      <c r="E7" s="2346"/>
      <c r="F7" s="2347"/>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48" t="s">
        <v>1984</v>
      </c>
      <c r="B10" s="2349"/>
      <c r="C10" s="2349"/>
      <c r="D10" s="2349"/>
      <c r="E10" s="2349"/>
      <c r="F10" s="2350"/>
    </row>
    <row r="11" spans="1:6" ht="33" customHeight="1" x14ac:dyDescent="0.25">
      <c r="A11" s="2345" t="s">
        <v>1989</v>
      </c>
      <c r="B11" s="2346"/>
      <c r="C11" s="2346"/>
      <c r="D11" s="2346"/>
      <c r="E11" s="2346"/>
      <c r="F11" s="2347"/>
    </row>
    <row r="12" spans="1:6" ht="15" customHeight="1" x14ac:dyDescent="0.25">
      <c r="A12" s="1936" t="s">
        <v>1985</v>
      </c>
      <c r="B12" s="1937"/>
      <c r="C12" s="1938"/>
      <c r="D12" s="1938"/>
      <c r="E12" s="1938"/>
      <c r="F12" s="1939"/>
    </row>
    <row r="13" spans="1:6" ht="17.25" customHeight="1" x14ac:dyDescent="0.25">
      <c r="A13" s="2345" t="s">
        <v>1986</v>
      </c>
      <c r="B13" s="2346"/>
      <c r="C13" s="2346"/>
      <c r="D13" s="2346"/>
      <c r="E13" s="2346"/>
      <c r="F13" s="2347"/>
    </row>
    <row r="14" spans="1:6" ht="15" customHeight="1" x14ac:dyDescent="0.25">
      <c r="A14" s="1936" t="s">
        <v>1803</v>
      </c>
      <c r="B14" s="1937"/>
      <c r="C14" s="1938"/>
      <c r="D14" s="1938"/>
      <c r="E14" s="1938"/>
      <c r="F14" s="1939"/>
    </row>
    <row r="15" spans="1:6" ht="32.25" customHeight="1" x14ac:dyDescent="0.25">
      <c r="A15" s="233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7"/>
      <c r="C15" s="2337"/>
      <c r="D15" s="2337"/>
      <c r="E15" s="2337"/>
      <c r="F15" s="2338"/>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2" t="s">
        <v>2038</v>
      </c>
      <c r="B18" s="1971">
        <v>402550400</v>
      </c>
      <c r="C18" s="1989" t="s">
        <v>2051</v>
      </c>
      <c r="D18" s="1949">
        <v>99925</v>
      </c>
      <c r="E18" s="1969" t="str">
        <f t="shared" ref="E18:E81" si="0">IF(D18&lt;25000,D18,"25,000")</f>
        <v>25,000</v>
      </c>
      <c r="F18" s="1969">
        <f t="shared" ref="F18:F81" si="1">IF(D18&gt;=25000,(D18-E18),"0")</f>
        <v>74925</v>
      </c>
      <c r="G18" s="1950"/>
    </row>
    <row r="19" spans="1:7" x14ac:dyDescent="0.25">
      <c r="A19" s="1951" t="s">
        <v>2039</v>
      </c>
      <c r="B19" s="1971">
        <v>102560300</v>
      </c>
      <c r="C19" s="1948" t="s">
        <v>2052</v>
      </c>
      <c r="D19" s="1949">
        <v>284029</v>
      </c>
      <c r="E19" s="1969" t="str">
        <f t="shared" si="0"/>
        <v>25,000</v>
      </c>
      <c r="F19" s="1969">
        <f t="shared" si="1"/>
        <v>259029</v>
      </c>
    </row>
    <row r="20" spans="1:7" x14ac:dyDescent="0.25">
      <c r="A20" s="1951" t="s">
        <v>2040</v>
      </c>
      <c r="B20" s="1971">
        <v>202540300</v>
      </c>
      <c r="C20" s="1948" t="s">
        <v>2053</v>
      </c>
      <c r="D20" s="1949">
        <v>45761</v>
      </c>
      <c r="E20" s="1969" t="str">
        <f t="shared" si="0"/>
        <v>25,000</v>
      </c>
      <c r="F20" s="1969">
        <f t="shared" si="1"/>
        <v>20761</v>
      </c>
    </row>
    <row r="21" spans="1:7" x14ac:dyDescent="0.25">
      <c r="A21" s="1951" t="s">
        <v>2041</v>
      </c>
      <c r="B21" s="1971">
        <v>102300300</v>
      </c>
      <c r="C21" s="1948" t="s">
        <v>2054</v>
      </c>
      <c r="D21" s="1949">
        <v>223126</v>
      </c>
      <c r="E21" s="1969" t="str">
        <f t="shared" si="0"/>
        <v>25,000</v>
      </c>
      <c r="F21" s="1969">
        <f t="shared" si="1"/>
        <v>198126</v>
      </c>
    </row>
    <row r="22" spans="1:7" x14ac:dyDescent="0.25">
      <c r="A22" s="1951" t="s">
        <v>2042</v>
      </c>
      <c r="B22" s="1971">
        <v>101000300</v>
      </c>
      <c r="C22" s="1948" t="s">
        <v>2055</v>
      </c>
      <c r="D22" s="1949">
        <v>2481137</v>
      </c>
      <c r="E22" s="1969" t="str">
        <f t="shared" si="0"/>
        <v>25,000</v>
      </c>
      <c r="F22" s="1969">
        <f t="shared" si="1"/>
        <v>2456137</v>
      </c>
    </row>
    <row r="23" spans="1:7" x14ac:dyDescent="0.25">
      <c r="A23" s="1951" t="s">
        <v>2043</v>
      </c>
      <c r="B23" s="1971">
        <v>402550300</v>
      </c>
      <c r="C23" s="1948" t="s">
        <v>2056</v>
      </c>
      <c r="D23" s="1949">
        <v>61687</v>
      </c>
      <c r="E23" s="1969" t="str">
        <f t="shared" si="0"/>
        <v>25,000</v>
      </c>
      <c r="F23" s="1969">
        <f t="shared" si="1"/>
        <v>36687</v>
      </c>
    </row>
    <row r="24" spans="1:7" x14ac:dyDescent="0.25">
      <c r="A24" s="1951" t="s">
        <v>2044</v>
      </c>
      <c r="B24" s="1971">
        <v>102300600</v>
      </c>
      <c r="C24" s="1948" t="s">
        <v>2057</v>
      </c>
      <c r="D24" s="1949">
        <v>49183</v>
      </c>
      <c r="E24" s="1969" t="str">
        <f t="shared" si="0"/>
        <v>25,000</v>
      </c>
      <c r="F24" s="1969">
        <f t="shared" si="1"/>
        <v>24183</v>
      </c>
    </row>
    <row r="25" spans="1:7" x14ac:dyDescent="0.25">
      <c r="A25" s="1951" t="s">
        <v>2045</v>
      </c>
      <c r="B25" s="1971">
        <v>101000300</v>
      </c>
      <c r="C25" s="1948" t="s">
        <v>2058</v>
      </c>
      <c r="D25" s="1949">
        <v>30817</v>
      </c>
      <c r="E25" s="1969" t="str">
        <f t="shared" si="0"/>
        <v>25,000</v>
      </c>
      <c r="F25" s="1969">
        <f t="shared" si="1"/>
        <v>5817</v>
      </c>
    </row>
    <row r="26" spans="1:7" x14ac:dyDescent="0.25">
      <c r="A26" s="1951" t="s">
        <v>2046</v>
      </c>
      <c r="B26" s="1971">
        <v>102300300</v>
      </c>
      <c r="C26" s="1948" t="s">
        <v>2059</v>
      </c>
      <c r="D26" s="1949">
        <v>56976</v>
      </c>
      <c r="E26" s="1969" t="str">
        <f t="shared" si="0"/>
        <v>25,000</v>
      </c>
      <c r="F26" s="1969">
        <f t="shared" si="1"/>
        <v>31976</v>
      </c>
    </row>
    <row r="27" spans="1:7" x14ac:dyDescent="0.25">
      <c r="A27" s="1951" t="s">
        <v>2047</v>
      </c>
      <c r="B27" s="1971">
        <v>102200300</v>
      </c>
      <c r="C27" s="1952" t="s">
        <v>2060</v>
      </c>
      <c r="D27" s="1949">
        <v>325763</v>
      </c>
      <c r="E27" s="1969" t="str">
        <f t="shared" si="0"/>
        <v>25,000</v>
      </c>
      <c r="F27" s="1969">
        <f t="shared" si="1"/>
        <v>300763</v>
      </c>
    </row>
    <row r="28" spans="1:7" x14ac:dyDescent="0.25">
      <c r="A28" s="1951" t="s">
        <v>2048</v>
      </c>
      <c r="B28" s="1971">
        <v>102200300</v>
      </c>
      <c r="C28" s="1952" t="s">
        <v>2061</v>
      </c>
      <c r="D28" s="1949">
        <v>49630</v>
      </c>
      <c r="E28" s="1969" t="str">
        <f t="shared" si="0"/>
        <v>25,000</v>
      </c>
      <c r="F28" s="1969">
        <f t="shared" si="1"/>
        <v>24630</v>
      </c>
    </row>
    <row r="29" spans="1:7" x14ac:dyDescent="0.25">
      <c r="A29" s="1951" t="s">
        <v>2048</v>
      </c>
      <c r="B29" s="1971">
        <v>102200300</v>
      </c>
      <c r="C29" s="1952" t="s">
        <v>2062</v>
      </c>
      <c r="D29" s="1949">
        <v>81661</v>
      </c>
      <c r="E29" s="1969" t="str">
        <f t="shared" si="0"/>
        <v>25,000</v>
      </c>
      <c r="F29" s="1969">
        <f t="shared" si="1"/>
        <v>56661</v>
      </c>
    </row>
    <row r="30" spans="1:7" x14ac:dyDescent="0.25">
      <c r="A30" s="1951" t="s">
        <v>2049</v>
      </c>
      <c r="B30" s="1971">
        <v>202540300</v>
      </c>
      <c r="C30" s="1952" t="s">
        <v>2063</v>
      </c>
      <c r="D30" s="1949">
        <v>124147</v>
      </c>
      <c r="E30" s="1969" t="str">
        <f t="shared" si="0"/>
        <v>25,000</v>
      </c>
      <c r="F30" s="1969">
        <f t="shared" si="1"/>
        <v>99147</v>
      </c>
    </row>
    <row r="31" spans="1:7" x14ac:dyDescent="0.25">
      <c r="A31" s="1951" t="s">
        <v>2043</v>
      </c>
      <c r="B31" s="1971">
        <v>402550300</v>
      </c>
      <c r="C31" s="1952" t="s">
        <v>2064</v>
      </c>
      <c r="D31" s="1949">
        <v>322135</v>
      </c>
      <c r="E31" s="1969" t="str">
        <f t="shared" si="0"/>
        <v>25,000</v>
      </c>
      <c r="F31" s="1969">
        <f t="shared" si="1"/>
        <v>297135</v>
      </c>
    </row>
    <row r="32" spans="1:7" x14ac:dyDescent="0.25">
      <c r="A32" s="1951" t="s">
        <v>2050</v>
      </c>
      <c r="B32" s="1971">
        <v>202540300</v>
      </c>
      <c r="C32" s="1952" t="s">
        <v>2065</v>
      </c>
      <c r="D32" s="1949">
        <v>21270</v>
      </c>
      <c r="E32" s="1969">
        <f t="shared" si="0"/>
        <v>21270</v>
      </c>
      <c r="F32" s="1969" t="str">
        <f t="shared" si="1"/>
        <v>0</v>
      </c>
    </row>
    <row r="33" spans="1:6" x14ac:dyDescent="0.25">
      <c r="A33" s="1951" t="s">
        <v>2043</v>
      </c>
      <c r="B33" s="1971">
        <v>402550300</v>
      </c>
      <c r="C33" s="1952" t="s">
        <v>2066</v>
      </c>
      <c r="D33" s="1949">
        <v>235064</v>
      </c>
      <c r="E33" s="1969" t="str">
        <f t="shared" si="0"/>
        <v>25,000</v>
      </c>
      <c r="F33" s="1969">
        <f t="shared" si="1"/>
        <v>210064</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4492311</v>
      </c>
      <c r="E142" s="1956">
        <f>SUM(E18:E141)</f>
        <v>21270</v>
      </c>
      <c r="F142" s="1957">
        <f>SUM(F18:F141)</f>
        <v>4096041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51" t="s">
        <v>1663</v>
      </c>
      <c r="B5" s="2352"/>
      <c r="C5" s="2352"/>
      <c r="D5" s="2352"/>
      <c r="E5" s="2352"/>
      <c r="F5" s="2352"/>
      <c r="G5" s="235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5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7"/>
      <c r="C11" s="2357"/>
      <c r="D11" s="2358"/>
      <c r="E11" s="1851">
        <v>25326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13757191</v>
      </c>
      <c r="F19" s="1852"/>
      <c r="G19" s="1854">
        <f>'Expenditures 15-22'!K33-SUM('Expenditures 15-22'!G33,'Expenditures 15-22'!I33)+'Expenditures 15-22'!D229</f>
        <v>13757191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1221941</v>
      </c>
      <c r="F21" s="1855"/>
      <c r="G21" s="1858">
        <f>'Expenditures 15-22'!K42-SUM('Expenditures 15-22'!G42,'Expenditures 15-22'!I42)+'Expenditures 15-22'!K120-SUM('Expenditures 15-22'!G120,'Expenditures 15-22'!I120)+'Expenditures 15-22'!K180-SUM('Expenditures 15-22'!G180,'Expenditures 15-22'!I180)+'Expenditures 15-22'!D238</f>
        <v>1221941</v>
      </c>
      <c r="H21" s="817"/>
      <c r="I21" s="157"/>
    </row>
    <row r="22" spans="1:9" s="542" customFormat="1" ht="12" customHeight="1" x14ac:dyDescent="0.2">
      <c r="A22" s="824" t="s">
        <v>560</v>
      </c>
      <c r="B22" s="825"/>
      <c r="C22" s="823">
        <v>2200</v>
      </c>
      <c r="D22" s="1855"/>
      <c r="E22" s="1857">
        <f>'Expenditures 15-22'!K47-SUM('Expenditures 15-22'!G47,'Expenditures 15-22'!I47)+'Expenditures 15-22'!D243</f>
        <v>1730953</v>
      </c>
      <c r="F22" s="1855"/>
      <c r="G22" s="1858">
        <f>'Expenditures 15-22'!K47-SUM('Expenditures 15-22'!G47,'Expenditures 15-22'!I47)+'Expenditures 15-22'!D243</f>
        <v>1730953</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776307</v>
      </c>
      <c r="F23" s="1855"/>
      <c r="G23" s="1857">
        <f>'Expenditures 15-22'!K53-SUM('Expenditures 15-22'!G53,'Expenditures 15-22'!I53)+'Expenditures 15-22'!D257+'Expenditures 15-22'!K330-SUM('Expenditures 15-22'!G330,'Expenditures 15-22'!I330)</f>
        <v>776307</v>
      </c>
      <c r="H23" s="817"/>
      <c r="I23" s="157"/>
    </row>
    <row r="24" spans="1:9" s="542" customFormat="1" ht="12" customHeight="1" x14ac:dyDescent="0.2">
      <c r="A24" s="824" t="s">
        <v>562</v>
      </c>
      <c r="B24" s="825"/>
      <c r="C24" s="823">
        <v>2400</v>
      </c>
      <c r="D24" s="1855"/>
      <c r="E24" s="1857">
        <f>'Expenditures 15-22'!K57-SUM('Expenditures 15-22'!G57,'Expenditures 15-22'!I57)+'Expenditures 15-22'!D261</f>
        <v>1102053</v>
      </c>
      <c r="F24" s="1855"/>
      <c r="G24" s="1858">
        <f>'Expenditures 15-22'!K57-SUM('Expenditures 15-22'!G57,'Expenditures 15-22'!I57)+'Expenditures 15-22'!D261</f>
        <v>1102053</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153777</v>
      </c>
      <c r="E26" s="1857">
        <f>'Expenditures 15-22'!K122-SUM('Expenditures 15-22'!G122,'Expenditures 15-22'!I122)+E7</f>
        <v>0</v>
      </c>
      <c r="F26" s="1857">
        <f>'Expenditures 15-22'!K59-SUM('Expenditures 15-22'!G59,'Expenditures 15-22'!I59)+'Expenditures 15-22'!D263-E7</f>
        <v>153777</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125566</v>
      </c>
      <c r="E27" s="1857">
        <f>E8</f>
        <v>0</v>
      </c>
      <c r="F27" s="1857">
        <f>'Expenditures 15-22'!K60-SUM('Expenditures 15-22'!G60,'Expenditures 15-22'!I60)+'Expenditures 15-22'!D264-E8</f>
        <v>125566</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2264076</v>
      </c>
      <c r="F28" s="1859">
        <f>'Expenditures 15-22'!K61-SUM('Expenditures 15-22'!G61,'Expenditures 15-22'!I61)+'Expenditures 15-22'!K124-SUM('Expenditures 15-22'!G124,'Expenditures 15-22'!I124)+'Expenditures 15-22'!D266-E9</f>
        <v>2264076</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1454159</v>
      </c>
      <c r="F29" s="1855"/>
      <c r="G29" s="1858">
        <f>'Expenditures 15-22'!K62-SUM('Expenditures 15-22'!G62,'Expenditures 15-22'!I62)+'Expenditures 15-22'!K125-SUM('Expenditures 15-22'!G125,'Expenditures 15-22'!I125)+'Expenditures 15-22'!K182-SUM('Expenditures 15-22'!G182,'Expenditures 15-22'!I182)+'Expenditures 15-22'!D267</f>
        <v>1454159</v>
      </c>
      <c r="H29" s="815"/>
    </row>
    <row r="30" spans="1:9" ht="12" customHeight="1" x14ac:dyDescent="0.2">
      <c r="A30" s="824" t="s">
        <v>100</v>
      </c>
      <c r="B30" s="827"/>
      <c r="C30" s="823">
        <v>2560</v>
      </c>
      <c r="D30" s="1855"/>
      <c r="E30" s="1857">
        <f>'Expenditures 15-22'!K63-SUM('Expenditures 15-22'!G63,'Expenditures 15-22'!I63)+'Expenditures 15-22'!D268-E10</f>
        <v>290263</v>
      </c>
      <c r="F30" s="1855"/>
      <c r="G30" s="1857">
        <f>'Expenditures 15-22'!K63-SUM('Expenditures 15-22'!G63,'Expenditures 15-22'!I63)+'Expenditures 15-22'!D268-E10</f>
        <v>290263</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300</v>
      </c>
      <c r="E37" s="1857">
        <f>E14</f>
        <v>0</v>
      </c>
      <c r="F37" s="1857">
        <f>'Expenditures 15-22'!K71-SUM('Expenditures 15-22'!G71,'Expenditures 15-22'!I71)+'Expenditures 15-22'!D276-E14</f>
        <v>300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39985</v>
      </c>
      <c r="F39" s="1855"/>
      <c r="G39" s="1857">
        <f>'Expenditures 15-22'!K75-SUM('Expenditures 15-22'!G75,'Expenditures 15-22'!I75)+'Expenditures 15-22'!K130-SUM('Expenditures 15-22'!G130,'Expenditures 15-22'!I130)+'Expenditures 15-22'!K185-SUM('Expenditures 15-22'!G185,'Expenditures 15-22'!I185)+'Expenditures 15-22'!D280</f>
        <v>39985</v>
      </c>
    </row>
    <row r="40" spans="1:7" ht="12" customHeight="1" x14ac:dyDescent="0.2">
      <c r="A40" s="820" t="s">
        <v>1801</v>
      </c>
      <c r="B40" s="821"/>
      <c r="C40" s="823"/>
      <c r="D40" s="1855"/>
      <c r="E40" s="1859">
        <f>-'Contracts Paid in CY 29'!F142</f>
        <v>-4096041</v>
      </c>
      <c r="F40" s="1855"/>
      <c r="G40" s="1859">
        <f>-'Contracts Paid in CY 29'!F142</f>
        <v>-4096041</v>
      </c>
    </row>
    <row r="41" spans="1:7" ht="12" customHeight="1" x14ac:dyDescent="0.2">
      <c r="A41" s="828" t="s">
        <v>155</v>
      </c>
      <c r="B41" s="829"/>
      <c r="C41" s="830"/>
      <c r="D41" s="1859">
        <f>SUM(D19:D39)</f>
        <v>279643</v>
      </c>
      <c r="E41" s="1859">
        <f>SUM(E19:E40)</f>
        <v>18540887</v>
      </c>
      <c r="F41" s="1859">
        <f>SUM(F19:F39)</f>
        <v>2543719</v>
      </c>
      <c r="G41" s="1859">
        <f>SUM(G19:G40)</f>
        <v>16276811</v>
      </c>
    </row>
    <row r="42" spans="1:7" x14ac:dyDescent="0.2">
      <c r="A42" s="817"/>
      <c r="B42" s="157"/>
      <c r="C42" s="831"/>
      <c r="D42" s="2354" t="s">
        <v>519</v>
      </c>
      <c r="E42" s="2355"/>
      <c r="F42" s="832" t="s">
        <v>520</v>
      </c>
      <c r="G42" s="833"/>
    </row>
    <row r="43" spans="1:7" ht="12" customHeight="1" x14ac:dyDescent="0.2">
      <c r="A43" s="817"/>
      <c r="B43" s="157"/>
      <c r="C43" s="831"/>
      <c r="D43" s="1507" t="s">
        <v>470</v>
      </c>
      <c r="E43" s="1860">
        <f>D41</f>
        <v>279643</v>
      </c>
      <c r="F43" s="1507" t="s">
        <v>470</v>
      </c>
      <c r="G43" s="1860">
        <f>F41</f>
        <v>2543719</v>
      </c>
    </row>
    <row r="44" spans="1:7" ht="12" customHeight="1" x14ac:dyDescent="0.2">
      <c r="A44" s="817"/>
      <c r="B44" s="157"/>
      <c r="C44" s="831"/>
      <c r="D44" s="1507" t="s">
        <v>471</v>
      </c>
      <c r="E44" s="1860">
        <f>E41</f>
        <v>18540887</v>
      </c>
      <c r="F44" s="1507" t="s">
        <v>471</v>
      </c>
      <c r="G44" s="1860">
        <f>G41</f>
        <v>16276811</v>
      </c>
    </row>
    <row r="45" spans="1:7" ht="12" customHeight="1" x14ac:dyDescent="0.2">
      <c r="A45" s="817"/>
      <c r="B45" s="157"/>
      <c r="C45" s="157"/>
      <c r="D45" s="1508" t="s">
        <v>999</v>
      </c>
      <c r="E45" s="1861">
        <f>(E43/E44)</f>
        <v>1.5082503873735923E-2</v>
      </c>
      <c r="F45" s="1508" t="s">
        <v>999</v>
      </c>
      <c r="G45" s="1861">
        <f>(G43/G44)</f>
        <v>0.1562787084030158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47" sqref="A47"/>
      <selection pane="bottomLeft" activeCell="E27" sqref="E27"/>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2" t="s">
        <v>1365</v>
      </c>
      <c r="B1" s="2362"/>
      <c r="C1" s="2362"/>
      <c r="D1" s="2362"/>
      <c r="E1" s="2362"/>
      <c r="F1" s="2362"/>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63" t="s">
        <v>1532</v>
      </c>
      <c r="B5" s="2364"/>
      <c r="C5" s="2365"/>
      <c r="D5" s="2365"/>
      <c r="E5" s="2365"/>
      <c r="F5" s="2365"/>
      <c r="G5" s="1556"/>
      <c r="L5" s="1556"/>
      <c r="M5" s="1913"/>
      <c r="N5" s="1913"/>
      <c r="O5" s="1913"/>
    </row>
    <row r="6" spans="1:15" ht="12" customHeight="1" x14ac:dyDescent="0.25">
      <c r="A6" s="1529"/>
      <c r="B6" s="1530"/>
      <c r="C6" s="2366" t="str">
        <f>COVER!A17</f>
        <v xml:space="preserve">  Lemont-Bromberek CSD</v>
      </c>
      <c r="D6" s="2366"/>
      <c r="E6" s="2366"/>
      <c r="F6" s="1531"/>
      <c r="G6" s="1556"/>
      <c r="L6" s="1556"/>
      <c r="M6" s="1913"/>
      <c r="N6" s="1913"/>
      <c r="O6" s="1913"/>
    </row>
    <row r="7" spans="1:15" ht="11.25" customHeight="1" thickBot="1" x14ac:dyDescent="0.3">
      <c r="A7" s="1529"/>
      <c r="B7" s="1530"/>
      <c r="C7" s="2367" t="str">
        <f>COVER!A13</f>
        <v xml:space="preserve">07016113A02 </v>
      </c>
      <c r="D7" s="2367"/>
      <c r="E7" s="2367"/>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t="s">
        <v>2021</v>
      </c>
      <c r="D21" s="1544" t="s">
        <v>2021</v>
      </c>
      <c r="E21" s="1547" t="s">
        <v>2067</v>
      </c>
      <c r="F21" s="1546" t="s">
        <v>2068</v>
      </c>
      <c r="G21" s="1556"/>
      <c r="H21" s="1556">
        <f t="shared" si="0"/>
        <v>5</v>
      </c>
      <c r="I21" s="1556">
        <f t="shared" si="1"/>
        <v>5</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t="s">
        <v>2021</v>
      </c>
      <c r="D24" s="1544" t="s">
        <v>2021</v>
      </c>
      <c r="E24" s="1547" t="s">
        <v>2067</v>
      </c>
      <c r="F24" s="1546" t="s">
        <v>2069</v>
      </c>
      <c r="G24" s="1556"/>
      <c r="H24" s="1556">
        <f t="shared" si="0"/>
        <v>5</v>
      </c>
      <c r="I24" s="1556">
        <f t="shared" si="1"/>
        <v>5</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2021</v>
      </c>
      <c r="D26" s="1544" t="s">
        <v>2021</v>
      </c>
      <c r="E26" s="1547" t="s">
        <v>2067</v>
      </c>
      <c r="F26" s="1546" t="s">
        <v>2070</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1378</v>
      </c>
      <c r="B35" s="1550"/>
      <c r="C35" s="2368"/>
      <c r="D35" s="2368"/>
      <c r="E35" s="2368"/>
      <c r="F35" s="2369"/>
    </row>
    <row r="36" spans="1:15" ht="12" customHeight="1" x14ac:dyDescent="0.2">
      <c r="A36" s="2359"/>
      <c r="B36" s="2360"/>
      <c r="C36" s="2360"/>
      <c r="D36" s="2360"/>
      <c r="E36" s="2360"/>
      <c r="F36" s="2361"/>
    </row>
    <row r="37" spans="1:15" ht="12" customHeight="1" x14ac:dyDescent="0.2">
      <c r="A37" s="2359"/>
      <c r="B37" s="2360"/>
      <c r="C37" s="2360"/>
      <c r="D37" s="2360"/>
      <c r="E37" s="2360"/>
      <c r="F37" s="2361"/>
    </row>
    <row r="38" spans="1:15" ht="12" customHeight="1" x14ac:dyDescent="0.2">
      <c r="A38" s="2373"/>
      <c r="B38" s="2374"/>
      <c r="C38" s="2374"/>
      <c r="D38" s="2374"/>
      <c r="E38" s="2374"/>
      <c r="F38" s="2375"/>
    </row>
    <row r="39" spans="1:15" ht="4.5" hidden="1" customHeight="1" x14ac:dyDescent="0.2">
      <c r="A39" s="1551"/>
      <c r="B39" s="1551"/>
      <c r="C39" s="1551"/>
      <c r="D39" s="1551"/>
      <c r="E39" s="1551"/>
      <c r="F39" s="1551"/>
    </row>
    <row r="40" spans="1:15" s="1548" customFormat="1" ht="12" customHeight="1" x14ac:dyDescent="0.25">
      <c r="A40" s="1552" t="s">
        <v>1377</v>
      </c>
      <c r="B40" s="1553"/>
      <c r="C40" s="2376"/>
      <c r="D40" s="2376"/>
      <c r="E40" s="2376"/>
      <c r="F40" s="2377"/>
      <c r="H40" s="1557"/>
      <c r="I40" s="1557"/>
      <c r="J40" s="1557"/>
      <c r="K40" s="1557"/>
    </row>
    <row r="41" spans="1:15" s="1548" customFormat="1" ht="12" customHeight="1" x14ac:dyDescent="0.25">
      <c r="A41" s="2378"/>
      <c r="B41" s="2379"/>
      <c r="C41" s="2379"/>
      <c r="D41" s="2379"/>
      <c r="E41" s="2379"/>
      <c r="F41" s="2380"/>
      <c r="H41" s="1557"/>
      <c r="I41" s="1557"/>
      <c r="J41" s="1557"/>
      <c r="K41" s="1557"/>
    </row>
    <row r="42" spans="1:15" s="1548" customFormat="1" ht="12" customHeight="1" x14ac:dyDescent="0.25">
      <c r="A42" s="2378"/>
      <c r="B42" s="2379"/>
      <c r="C42" s="2379"/>
      <c r="D42" s="2379"/>
      <c r="E42" s="2379"/>
      <c r="F42" s="2380"/>
      <c r="H42" s="1557"/>
      <c r="I42" s="1557"/>
      <c r="J42" s="1557"/>
      <c r="K42" s="1557"/>
    </row>
    <row r="43" spans="1:15" s="1548" customFormat="1" ht="15" x14ac:dyDescent="0.25">
      <c r="A43" s="2370"/>
      <c r="B43" s="2371"/>
      <c r="C43" s="2371"/>
      <c r="D43" s="2371"/>
      <c r="E43" s="2371"/>
      <c r="F43" s="2372"/>
      <c r="H43" s="1557"/>
      <c r="I43" s="1557"/>
      <c r="J43" s="1557"/>
      <c r="K43" s="1557"/>
    </row>
    <row r="44" spans="1:15" s="1548" customFormat="1" ht="12" hidden="1" customHeight="1" x14ac:dyDescent="0.25">
      <c r="A44" s="2370"/>
      <c r="B44" s="2371"/>
      <c r="C44" s="2371"/>
      <c r="D44" s="2371"/>
      <c r="E44" s="2371"/>
      <c r="F44" s="237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J12" sqref="J1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86" t="str">
        <f>COVER!A17</f>
        <v xml:space="preserve">  Lemont-Bromberek CSD</v>
      </c>
      <c r="J6" s="2387"/>
      <c r="K6" s="2388"/>
      <c r="R6" s="1427"/>
    </row>
    <row r="7" spans="1:18" x14ac:dyDescent="0.2">
      <c r="A7" s="2389" t="s">
        <v>864</v>
      </c>
      <c r="B7" s="2390"/>
      <c r="C7" s="2390"/>
      <c r="D7" s="2390"/>
      <c r="E7" s="2391"/>
      <c r="F7" s="847"/>
      <c r="G7" s="839"/>
      <c r="H7" s="846" t="s">
        <v>369</v>
      </c>
      <c r="I7" s="2392" t="str">
        <f>COVER!A13</f>
        <v xml:space="preserve">07016113A02 </v>
      </c>
      <c r="J7" s="2392"/>
      <c r="K7" s="2392"/>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93" t="s">
        <v>478</v>
      </c>
      <c r="B11" s="2394"/>
      <c r="C11" s="2395"/>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397254</v>
      </c>
      <c r="F12" s="1864"/>
      <c r="G12" s="1863">
        <f t="shared" ref="G12:G18" si="0">SUM(E12:F12)</f>
        <v>397254</v>
      </c>
      <c r="H12" s="1865">
        <v>411029</v>
      </c>
      <c r="I12" s="1864"/>
      <c r="J12" s="1865">
        <v>0</v>
      </c>
      <c r="K12" s="1863">
        <f t="shared" ref="K12:K18" si="1">SUM(H12:J12)</f>
        <v>411029</v>
      </c>
    </row>
    <row r="13" spans="1:18" ht="15" customHeight="1" x14ac:dyDescent="0.2">
      <c r="A13" s="863">
        <v>2</v>
      </c>
      <c r="B13" s="864" t="s">
        <v>42</v>
      </c>
      <c r="C13" s="865"/>
      <c r="D13" s="866">
        <v>2330</v>
      </c>
      <c r="E13" s="1863">
        <f>'Expenditures 15-22'!K51</f>
        <v>0</v>
      </c>
      <c r="F13" s="1864"/>
      <c r="G13" s="1863">
        <f t="shared" si="0"/>
        <v>0</v>
      </c>
      <c r="H13" s="1865"/>
      <c r="I13" s="1864"/>
      <c r="J13" s="1865">
        <v>0</v>
      </c>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v>0</v>
      </c>
      <c r="K14" s="1863">
        <f t="shared" si="1"/>
        <v>0</v>
      </c>
    </row>
    <row r="15" spans="1:18" ht="15" customHeight="1" x14ac:dyDescent="0.2">
      <c r="A15" s="863">
        <v>4</v>
      </c>
      <c r="B15" s="864" t="s">
        <v>1061</v>
      </c>
      <c r="C15" s="865"/>
      <c r="D15" s="866">
        <v>2510</v>
      </c>
      <c r="E15" s="1863">
        <f>'Expenditures 15-22'!K59</f>
        <v>151958</v>
      </c>
      <c r="F15" s="1863">
        <f>'Expenditures 15-22'!K122</f>
        <v>0</v>
      </c>
      <c r="G15" s="1863">
        <f t="shared" si="0"/>
        <v>151958</v>
      </c>
      <c r="H15" s="1865">
        <v>158561</v>
      </c>
      <c r="I15" s="1865"/>
      <c r="J15" s="1865">
        <v>0</v>
      </c>
      <c r="K15" s="1863">
        <f t="shared" si="1"/>
        <v>158561</v>
      </c>
    </row>
    <row r="16" spans="1:18" ht="15" customHeight="1" x14ac:dyDescent="0.2">
      <c r="A16" s="863">
        <v>5</v>
      </c>
      <c r="B16" s="864" t="s">
        <v>101</v>
      </c>
      <c r="C16" s="865"/>
      <c r="D16" s="866">
        <v>2570</v>
      </c>
      <c r="E16" s="1863">
        <f>'Expenditures 15-22'!K64</f>
        <v>0</v>
      </c>
      <c r="F16" s="1864"/>
      <c r="G16" s="1863">
        <f t="shared" si="0"/>
        <v>0</v>
      </c>
      <c r="H16" s="1865"/>
      <c r="I16" s="1864"/>
      <c r="J16" s="1865">
        <v>0</v>
      </c>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v>0</v>
      </c>
      <c r="K17" s="1863">
        <f t="shared" si="1"/>
        <v>0</v>
      </c>
    </row>
    <row r="18" spans="1:11" ht="22.5" customHeight="1" x14ac:dyDescent="0.2">
      <c r="A18" s="868">
        <v>7</v>
      </c>
      <c r="B18" s="2396" t="s">
        <v>7</v>
      </c>
      <c r="C18" s="2397"/>
      <c r="D18" s="2398"/>
      <c r="E18" s="1866"/>
      <c r="F18" s="1866"/>
      <c r="G18" s="1867">
        <f t="shared" si="0"/>
        <v>0</v>
      </c>
      <c r="H18" s="1865"/>
      <c r="I18" s="1865"/>
      <c r="J18" s="1865">
        <v>0</v>
      </c>
      <c r="K18" s="1863">
        <f t="shared" si="1"/>
        <v>0</v>
      </c>
    </row>
    <row r="19" spans="1:11" ht="12.75" customHeight="1" thickBot="1" x14ac:dyDescent="0.25">
      <c r="A19" s="863">
        <v>8</v>
      </c>
      <c r="B19" s="869" t="s">
        <v>1153</v>
      </c>
      <c r="D19" s="870"/>
      <c r="E19" s="1868">
        <f t="shared" ref="E19:K19" si="2">SUM(E12:E17)-E18</f>
        <v>549212</v>
      </c>
      <c r="F19" s="1868">
        <f t="shared" si="2"/>
        <v>0</v>
      </c>
      <c r="G19" s="1868">
        <f t="shared" si="2"/>
        <v>549212</v>
      </c>
      <c r="H19" s="1868">
        <f t="shared" si="2"/>
        <v>569590</v>
      </c>
      <c r="I19" s="1868">
        <f t="shared" si="2"/>
        <v>0</v>
      </c>
      <c r="J19" s="1868">
        <f t="shared" si="2"/>
        <v>0</v>
      </c>
      <c r="K19" s="1868">
        <f t="shared" si="2"/>
        <v>569590</v>
      </c>
    </row>
    <row r="20" spans="1:11" ht="13.5" thickTop="1" x14ac:dyDescent="0.2">
      <c r="A20" s="863">
        <v>9</v>
      </c>
      <c r="B20" s="2399" t="str">
        <f>"Percent Increase (Decrease) for FY"&amp;'AFR20'!E2+1&amp;" (Budgeted) over FY"&amp;'AFR20'!E2&amp;" (Actual)"</f>
        <v>Percent Increase (Decrease) for FY2021 (Budgeted) over FY2020 (Actual)</v>
      </c>
      <c r="C20" s="2399"/>
      <c r="D20" s="2400"/>
      <c r="E20" s="1869"/>
      <c r="F20" s="1869"/>
      <c r="G20" s="1869"/>
      <c r="H20" s="1869"/>
      <c r="I20" s="1869"/>
      <c r="J20" s="1978"/>
      <c r="K20" s="1870">
        <f>IF(AND(G19&gt;0,K19&gt;0),(((K19-G19)/G19)),"Enter Budget Data")</f>
        <v>3.71040691026416E-2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405"/>
      <c r="D26" s="2405"/>
      <c r="E26" s="874"/>
      <c r="F26" s="2404"/>
      <c r="G26" s="2404"/>
    </row>
    <row r="27" spans="1:11" x14ac:dyDescent="0.2">
      <c r="B27" s="871"/>
      <c r="C27" s="875" t="s">
        <v>1026</v>
      </c>
      <c r="D27" s="876"/>
      <c r="E27" s="877"/>
      <c r="F27" s="2401" t="s">
        <v>1495</v>
      </c>
      <c r="G27" s="2401"/>
    </row>
    <row r="28" spans="1:11" ht="28.5" customHeight="1" x14ac:dyDescent="0.2">
      <c r="B28" s="871"/>
      <c r="C28" s="2403"/>
      <c r="D28" s="2403"/>
      <c r="E28" s="878"/>
      <c r="F28" s="2403"/>
      <c r="G28" s="2403"/>
    </row>
    <row r="29" spans="1:11" x14ac:dyDescent="0.2">
      <c r="B29" s="871"/>
      <c r="C29" s="879" t="s">
        <v>1547</v>
      </c>
      <c r="E29" s="880"/>
      <c r="F29" s="2402" t="s">
        <v>1496</v>
      </c>
      <c r="G29" s="240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8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4"/>
      <c r="E33" s="2384"/>
      <c r="F33" s="2384"/>
      <c r="G33" s="2384"/>
      <c r="H33" s="2384"/>
      <c r="I33" s="2384"/>
      <c r="J33" s="1976"/>
    </row>
    <row r="34" spans="1:11" ht="10.35" customHeight="1" x14ac:dyDescent="0.2">
      <c r="C34" s="2384"/>
      <c r="D34" s="2384"/>
      <c r="E34" s="2384"/>
      <c r="F34" s="2384"/>
      <c r="G34" s="2384"/>
      <c r="H34" s="2384"/>
      <c r="I34" s="2384"/>
      <c r="J34" s="1976"/>
    </row>
    <row r="35" spans="1:11" ht="7.5" customHeight="1" x14ac:dyDescent="0.2">
      <c r="C35" s="886"/>
    </row>
    <row r="36" spans="1:11" ht="13.5" customHeight="1" x14ac:dyDescent="0.2">
      <c r="B36" s="885"/>
      <c r="C36" s="238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4"/>
      <c r="E36" s="2384"/>
      <c r="F36" s="2384"/>
      <c r="G36" s="2384"/>
      <c r="H36" s="2384"/>
      <c r="I36" s="2384"/>
      <c r="J36" s="1976"/>
      <c r="K36" s="887"/>
    </row>
    <row r="37" spans="1:11" ht="22.5" customHeight="1" x14ac:dyDescent="0.2">
      <c r="C37" s="2384"/>
      <c r="D37" s="2384"/>
      <c r="E37" s="2384"/>
      <c r="F37" s="2384"/>
      <c r="G37" s="2384"/>
      <c r="H37" s="2384"/>
      <c r="I37" s="2384"/>
      <c r="J37" s="1976"/>
      <c r="K37" s="887"/>
    </row>
    <row r="38" spans="1:11" ht="7.5" customHeight="1" x14ac:dyDescent="0.2">
      <c r="C38" s="886"/>
      <c r="D38" s="888"/>
      <c r="E38" s="889"/>
      <c r="F38" s="890"/>
      <c r="G38" s="889"/>
    </row>
    <row r="39" spans="1:11" ht="13.5" customHeight="1" x14ac:dyDescent="0.2">
      <c r="B39" s="885"/>
      <c r="C39" s="2381" t="str">
        <f>"The district will amend their budget to become in compliance with the limitation."</f>
        <v>The district will amend their budget to become in compliance with the limitation.</v>
      </c>
      <c r="D39" s="2382"/>
      <c r="E39" s="2382"/>
      <c r="F39" s="2382"/>
      <c r="G39" s="2382"/>
      <c r="H39" s="2382"/>
      <c r="I39" s="2382"/>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Lemont-Bromberek CSD</v>
      </c>
    </row>
    <row r="65" spans="2:2" x14ac:dyDescent="0.2">
      <c r="B65" s="894" t="str">
        <f>COVER!A13</f>
        <v xml:space="preserve">07016113A02 </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15" t="s">
        <v>1058</v>
      </c>
      <c r="B35" s="2115"/>
      <c r="C35" s="2115"/>
      <c r="D35" s="2115"/>
      <c r="E35" s="211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2" t="s">
        <v>686</v>
      </c>
      <c r="B40" s="2112"/>
      <c r="C40" s="2112"/>
      <c r="D40" s="2112"/>
      <c r="E40" s="2112"/>
    </row>
    <row r="41" spans="1:5" x14ac:dyDescent="0.2">
      <c r="A41" s="2113" t="s">
        <v>1594</v>
      </c>
      <c r="B41" s="2113"/>
      <c r="C41" s="2113"/>
      <c r="D41" s="2113"/>
      <c r="E41" s="2113"/>
    </row>
    <row r="42" spans="1:5" ht="12.75" customHeight="1" x14ac:dyDescent="0.2">
      <c r="A42" s="2114" t="s">
        <v>1015</v>
      </c>
      <c r="B42" s="2114"/>
      <c r="C42" s="2114"/>
      <c r="D42" s="2114"/>
      <c r="E42" s="211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6" sqref="H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406" t="s">
        <v>1668</v>
      </c>
      <c r="B18" s="240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7" t="s">
        <v>1672</v>
      </c>
      <c r="B1" s="2408"/>
      <c r="C1" s="2408"/>
      <c r="D1" s="2408"/>
      <c r="E1" s="2408"/>
      <c r="F1" s="2409"/>
    </row>
    <row r="2" spans="1:8" ht="45" customHeight="1" x14ac:dyDescent="0.2">
      <c r="A2" s="241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8"/>
      <c r="C2" s="2418"/>
      <c r="D2" s="2418"/>
      <c r="E2" s="2418"/>
      <c r="F2" s="2419"/>
      <c r="G2" s="898"/>
      <c r="H2" s="898"/>
    </row>
    <row r="3" spans="1:8" ht="57" customHeight="1" x14ac:dyDescent="0.2">
      <c r="A3" s="2420" t="s">
        <v>1975</v>
      </c>
      <c r="B3" s="2421"/>
      <c r="C3" s="2421"/>
      <c r="D3" s="2421"/>
      <c r="E3" s="2421"/>
      <c r="F3" s="2422"/>
      <c r="G3" s="898"/>
      <c r="H3" s="898"/>
    </row>
    <row r="4" spans="1:8" ht="14.25" customHeight="1" x14ac:dyDescent="0.2">
      <c r="A4" s="242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7"/>
      <c r="C4" s="2427"/>
      <c r="D4" s="2427"/>
      <c r="E4" s="2427"/>
      <c r="F4" s="2428"/>
      <c r="G4" s="898"/>
      <c r="H4" s="898"/>
    </row>
    <row r="5" spans="1:8" ht="14.25" customHeight="1" x14ac:dyDescent="0.2">
      <c r="A5" s="242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0"/>
      <c r="C5" s="2430"/>
      <c r="D5" s="2430"/>
      <c r="E5" s="2430"/>
      <c r="F5" s="2431"/>
      <c r="G5" s="898"/>
      <c r="H5" s="898"/>
    </row>
    <row r="6" spans="1:8" s="899" customFormat="1" ht="41.25" customHeight="1" x14ac:dyDescent="0.2">
      <c r="A6" s="2423" t="s">
        <v>1673</v>
      </c>
      <c r="B6" s="2424"/>
      <c r="C6" s="2424"/>
      <c r="D6" s="2424"/>
      <c r="E6" s="2424"/>
      <c r="F6" s="2425"/>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22436181</v>
      </c>
      <c r="C8" s="1871">
        <f>'Acct Summary 7-8'!D8</f>
        <v>2828496</v>
      </c>
      <c r="D8" s="1871">
        <f>'Acct Summary 7-8'!F8</f>
        <v>1506836</v>
      </c>
      <c r="E8" s="1871">
        <f>'Acct Summary 7-8'!I8</f>
        <v>0</v>
      </c>
      <c r="F8" s="1871">
        <f>SUM(B8:E8)</f>
        <v>26771513</v>
      </c>
    </row>
    <row r="9" spans="1:8" s="903" customFormat="1" ht="14.25" customHeight="1" thickBot="1" x14ac:dyDescent="0.25">
      <c r="A9" s="902" t="s">
        <v>1355</v>
      </c>
      <c r="B9" s="1872">
        <f>'Acct Summary 7-8'!C17</f>
        <v>19851538</v>
      </c>
      <c r="C9" s="1872">
        <f>'Acct Summary 7-8'!D17</f>
        <v>3432025</v>
      </c>
      <c r="D9" s="1872">
        <f>'Acct Summary 7-8'!F17</f>
        <v>1387872</v>
      </c>
      <c r="E9" s="1871"/>
      <c r="F9" s="1871">
        <f>SUM(B9:E9)</f>
        <v>24671435</v>
      </c>
    </row>
    <row r="10" spans="1:8" s="903" customFormat="1" ht="14.25" thickTop="1" thickBot="1" x14ac:dyDescent="0.25">
      <c r="A10" s="904" t="s">
        <v>1356</v>
      </c>
      <c r="B10" s="1873">
        <f>(B8-B9)</f>
        <v>2584643</v>
      </c>
      <c r="C10" s="1873">
        <f>(C8-C9)</f>
        <v>-603529</v>
      </c>
      <c r="D10" s="1873">
        <f>(D8-D9)</f>
        <v>118964</v>
      </c>
      <c r="E10" s="1872">
        <f>(E8-E9)</f>
        <v>0</v>
      </c>
      <c r="F10" s="1874">
        <f>SUM(F8-F9)</f>
        <v>2100078</v>
      </c>
    </row>
    <row r="11" spans="1:8" s="903" customFormat="1" ht="14.25" thickTop="1" thickBot="1" x14ac:dyDescent="0.25">
      <c r="A11" s="905" t="s">
        <v>1906</v>
      </c>
      <c r="B11" s="1875">
        <f>'Acct Summary 7-8'!C81</f>
        <v>17532085</v>
      </c>
      <c r="C11" s="1875">
        <f>'Acct Summary 7-8'!D81</f>
        <v>2047174</v>
      </c>
      <c r="D11" s="1875">
        <f>'Acct Summary 7-8'!F81</f>
        <v>1458230</v>
      </c>
      <c r="E11" s="1875">
        <f>'Acct Summary 7-8'!I81</f>
        <v>0</v>
      </c>
      <c r="F11" s="1876">
        <f>SUM(B11:E11)</f>
        <v>21037489</v>
      </c>
    </row>
    <row r="12" spans="1:8" ht="16.5" customHeight="1" thickTop="1" x14ac:dyDescent="0.2">
      <c r="A12" s="906"/>
      <c r="B12" s="907"/>
      <c r="C12" s="2411" t="str">
        <f>IF(AND(F10&lt;0,F11&gt;=0,ABS(F10*3)&gt;ABS(F11)),A16,IF(AND(F10&lt;0,F11&gt;0,ABS(F10*3)&lt;=ABS(F11)),A17,IF(AND(F10&lt;0,F11&lt;0),A16,IF(F11=0,A19,A18))))</f>
        <v>Balanced - no deficit reduction plan is required.</v>
      </c>
      <c r="D12" s="2412"/>
      <c r="E12" s="2412"/>
      <c r="F12" s="2413"/>
    </row>
    <row r="13" spans="1:8" ht="19.5" customHeight="1" x14ac:dyDescent="0.2">
      <c r="A13" s="908"/>
      <c r="B13" s="909"/>
      <c r="C13" s="2411"/>
      <c r="D13" s="2412"/>
      <c r="E13" s="2412"/>
      <c r="F13" s="2413"/>
      <c r="H13" s="898"/>
    </row>
    <row r="14" spans="1:8" ht="19.5" customHeight="1" x14ac:dyDescent="0.2">
      <c r="A14" s="908"/>
      <c r="B14" s="909"/>
      <c r="C14" s="2411"/>
      <c r="D14" s="2412"/>
      <c r="E14" s="2412"/>
      <c r="F14" s="2413"/>
      <c r="H14" s="898"/>
    </row>
    <row r="15" spans="1:8" ht="17.25" customHeight="1" x14ac:dyDescent="0.2">
      <c r="A15" s="908"/>
      <c r="B15" s="909"/>
      <c r="C15" s="2414"/>
      <c r="D15" s="2415"/>
      <c r="E15" s="2415"/>
      <c r="F15" s="2416"/>
      <c r="H15" s="898"/>
    </row>
    <row r="16" spans="1:8" s="288" customFormat="1" ht="51.75" hidden="1" customHeight="1" x14ac:dyDescent="0.2">
      <c r="A16" s="2410" t="s">
        <v>1669</v>
      </c>
      <c r="B16" s="2410"/>
      <c r="C16" s="2410"/>
      <c r="D16" s="2410"/>
      <c r="E16" s="2410"/>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A15" sqref="A15:D15"/>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32" t="s">
        <v>660</v>
      </c>
      <c r="B3" s="2433"/>
      <c r="C3" s="2433"/>
      <c r="D3" s="2434"/>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43" t="s">
        <v>1490</v>
      </c>
      <c r="D7" s="2444"/>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35" t="s">
        <v>1001</v>
      </c>
      <c r="B15" s="2436"/>
      <c r="C15" s="2436"/>
      <c r="D15" s="2437"/>
    </row>
    <row r="16" spans="1:4" s="542" customFormat="1" ht="24" customHeight="1" x14ac:dyDescent="0.2">
      <c r="A16" s="2438" t="s">
        <v>658</v>
      </c>
      <c r="B16" s="2439"/>
      <c r="C16" s="2439"/>
      <c r="D16" s="2440"/>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47" t="s">
        <v>311</v>
      </c>
      <c r="D21" s="2448"/>
    </row>
    <row r="22" spans="1:10" ht="12.75" x14ac:dyDescent="0.2">
      <c r="A22" s="963"/>
      <c r="B22" s="964">
        <v>2</v>
      </c>
      <c r="C22" s="2445" t="s">
        <v>1510</v>
      </c>
      <c r="D22" s="2446"/>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9" t="s">
        <v>533</v>
      </c>
      <c r="D43" s="2450"/>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41" t="s">
        <v>779</v>
      </c>
      <c r="D56" s="2442"/>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41" t="s">
        <v>1677</v>
      </c>
      <c r="D70" s="2442"/>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t="str">
        <f>COVER!A13</f>
        <v xml:space="preserve">07016113A02 </v>
      </c>
      <c r="E2" s="1592">
        <v>2020</v>
      </c>
      <c r="F2" s="1592">
        <v>1</v>
      </c>
      <c r="G2" s="1962">
        <v>101000300</v>
      </c>
    </row>
    <row r="3" spans="1:7" ht="15" x14ac:dyDescent="0.25">
      <c r="A3" t="s">
        <v>950</v>
      </c>
      <c r="B3" s="135" t="str">
        <f>COVER!A15</f>
        <v>Cook and Dupage</v>
      </c>
      <c r="E3" s="1888" t="s">
        <v>1974</v>
      </c>
      <c r="F3" s="1888" t="s">
        <v>1973</v>
      </c>
      <c r="G3" s="1962">
        <v>101000400</v>
      </c>
    </row>
    <row r="4" spans="1:7" ht="15" x14ac:dyDescent="0.25">
      <c r="A4" t="s">
        <v>1000</v>
      </c>
      <c r="B4" s="135" t="str">
        <f>COVER!A17</f>
        <v xml:space="preserve">  Lemont-Bromberek CSD</v>
      </c>
      <c r="E4" s="1886">
        <v>44119</v>
      </c>
      <c r="F4" s="1887">
        <v>44151</v>
      </c>
      <c r="G4" s="1962">
        <v>101000600</v>
      </c>
    </row>
    <row r="5" spans="1:7" ht="15" x14ac:dyDescent="0.25">
      <c r="A5" t="s">
        <v>699</v>
      </c>
      <c r="B5" s="135" t="str">
        <f>COVER!A38</f>
        <v>Dr. Anthony McConnell</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 xml:space="preserve">ACCRUAL </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Yes</v>
      </c>
      <c r="G12" s="1962">
        <v>202100600</v>
      </c>
    </row>
    <row r="13" spans="1:7" ht="15" x14ac:dyDescent="0.25">
      <c r="A13" s="1" t="s">
        <v>1530</v>
      </c>
      <c r="B13" s="135" t="str">
        <f>IF(COVER!J30="x","Yes",IF(COVER!L30="x","No",0))</f>
        <v>Yes</v>
      </c>
      <c r="G13" s="1962">
        <v>202100800</v>
      </c>
    </row>
    <row r="14" spans="1:7" ht="15" x14ac:dyDescent="0.25">
      <c r="A14" t="s">
        <v>473</v>
      </c>
      <c r="B14" s="135" t="str">
        <f>IF(COVER!J31="x","Yes",IF(COVER!L31="x","No",0))</f>
        <v>No</v>
      </c>
      <c r="G14" s="1962">
        <v>402100300</v>
      </c>
    </row>
    <row r="15" spans="1:7" ht="15" x14ac:dyDescent="0.25">
      <c r="A15" t="s">
        <v>573</v>
      </c>
      <c r="B15" s="135" t="str">
        <f>COVER!T23</f>
        <v>065-037815</v>
      </c>
      <c r="G15" s="1962">
        <v>402100400</v>
      </c>
    </row>
    <row r="16" spans="1:7" ht="15" x14ac:dyDescent="0.25">
      <c r="A16" t="s">
        <v>419</v>
      </c>
      <c r="B16" s="135" t="str">
        <f>COVER!T13</f>
        <v>Lauterbach &amp; Amen, LLP</v>
      </c>
      <c r="G16" s="1962">
        <v>402100600</v>
      </c>
    </row>
    <row r="17" spans="1:7" ht="15" x14ac:dyDescent="0.25">
      <c r="A17" t="s">
        <v>878</v>
      </c>
      <c r="B17" s="135" t="str">
        <f>COVER!T15</f>
        <v>Don Shaw</v>
      </c>
      <c r="G17" s="1962">
        <v>402100800</v>
      </c>
    </row>
    <row r="18" spans="1:7" ht="15" x14ac:dyDescent="0.25">
      <c r="A18" t="s">
        <v>1142</v>
      </c>
      <c r="B18" s="135" t="str">
        <f>COVER!T17</f>
        <v>668 N River Road</v>
      </c>
      <c r="G18" s="1962">
        <v>102200300</v>
      </c>
    </row>
    <row r="19" spans="1:7" ht="15" x14ac:dyDescent="0.25">
      <c r="A19" t="s">
        <v>880</v>
      </c>
      <c r="B19" s="135" t="str">
        <f>COVER!T25</f>
        <v>dshaw@lauterbachamen.com</v>
      </c>
      <c r="G19" s="1962">
        <v>102200400</v>
      </c>
    </row>
    <row r="20" spans="1:7" ht="15" x14ac:dyDescent="0.25">
      <c r="A20" t="s">
        <v>881</v>
      </c>
      <c r="B20" s="135" t="str">
        <f>COVER!T19</f>
        <v>Naperville</v>
      </c>
      <c r="G20" s="1962">
        <v>102200600</v>
      </c>
    </row>
    <row r="21" spans="1:7" ht="15" x14ac:dyDescent="0.25">
      <c r="A21" t="s">
        <v>476</v>
      </c>
      <c r="B21" s="135" t="str">
        <f>COVER!X19</f>
        <v>IL</v>
      </c>
      <c r="G21" s="1962">
        <v>102200800</v>
      </c>
    </row>
    <row r="22" spans="1:7" ht="15" x14ac:dyDescent="0.25">
      <c r="A22" t="s">
        <v>882</v>
      </c>
      <c r="B22" s="135">
        <f>COVER!Z19</f>
        <v>60563</v>
      </c>
      <c r="G22" s="1962">
        <v>102300300</v>
      </c>
    </row>
    <row r="23" spans="1:7" ht="15" x14ac:dyDescent="0.25">
      <c r="A23" t="s">
        <v>1144</v>
      </c>
      <c r="B23" s="135">
        <f>COVER!T21</f>
        <v>6303931483</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33512</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8663996</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28230177</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581</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8978683</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10698092</v>
      </c>
      <c r="C91" s="2" t="s">
        <v>569</v>
      </c>
      <c r="D91" s="2" t="str">
        <f t="shared" si="0"/>
        <v>Error?</v>
      </c>
      <c r="G91" s="1962">
        <v>102640400</v>
      </c>
    </row>
    <row r="92" spans="1:7" ht="15" x14ac:dyDescent="0.25">
      <c r="A92" s="5">
        <v>31</v>
      </c>
      <c r="B92" s="1890">
        <f>'Assets-Liab 5-6'!C39</f>
        <v>17532085</v>
      </c>
      <c r="D92" s="2" t="str">
        <f t="shared" si="0"/>
        <v>Error?</v>
      </c>
      <c r="G92" s="1962">
        <v>102640600</v>
      </c>
    </row>
    <row r="93" spans="1:7" ht="15" x14ac:dyDescent="0.25">
      <c r="A93" s="5">
        <v>32</v>
      </c>
      <c r="B93" s="1890">
        <f>'Assets-Liab 5-6'!C41</f>
        <v>28230177</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1261606</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3475888</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1293709</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1428714</v>
      </c>
      <c r="C122" s="2" t="s">
        <v>569</v>
      </c>
      <c r="D122" s="2" t="str">
        <f t="shared" si="0"/>
        <v>Error?</v>
      </c>
      <c r="G122" s="1962">
        <v>203000300</v>
      </c>
    </row>
    <row r="123" spans="1:7" ht="15" x14ac:dyDescent="0.25">
      <c r="A123" s="5">
        <v>62</v>
      </c>
      <c r="B123" s="1890">
        <f>'Assets-Liab 5-6'!D39</f>
        <v>0</v>
      </c>
      <c r="D123" s="2" t="str">
        <f t="shared" si="0"/>
        <v>Error?</v>
      </c>
      <c r="G123" s="1962">
        <v>203000400</v>
      </c>
    </row>
    <row r="124" spans="1:7" ht="15" x14ac:dyDescent="0.25">
      <c r="A124" s="5">
        <v>63</v>
      </c>
      <c r="B124" s="1890">
        <f>'Assets-Liab 5-6'!D41</f>
        <v>3475888</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2606335</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7426251</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2672315</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2672315</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7426251</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538229</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2055388</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526</v>
      </c>
      <c r="D164" s="2" t="str">
        <f t="shared" si="1"/>
        <v>Error?</v>
      </c>
    </row>
    <row r="165" spans="1:4" x14ac:dyDescent="0.2">
      <c r="A165" s="10">
        <v>104</v>
      </c>
      <c r="B165" s="1890"/>
      <c r="D165" s="2" t="str">
        <f t="shared" si="1"/>
        <v>OK</v>
      </c>
    </row>
    <row r="166" spans="1:4" x14ac:dyDescent="0.2">
      <c r="A166" s="5">
        <v>105</v>
      </c>
      <c r="B166" s="1890">
        <f>'Assets-Liab 5-6'!F32</f>
        <v>551926</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597158</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2055388</v>
      </c>
      <c r="C171" s="2" t="s">
        <v>569</v>
      </c>
      <c r="D171" s="2" t="str">
        <f t="shared" si="1"/>
        <v>Error?</v>
      </c>
    </row>
    <row r="172" spans="1:4" x14ac:dyDescent="0.2">
      <c r="A172" s="10">
        <v>111</v>
      </c>
      <c r="B172" s="1890"/>
      <c r="D172" s="2" t="str">
        <f t="shared" si="1"/>
        <v>OK</v>
      </c>
    </row>
    <row r="173" spans="1:4" x14ac:dyDescent="0.2">
      <c r="A173" s="5">
        <v>112</v>
      </c>
      <c r="B173" s="1890">
        <f>'Assets-Liab 5-6'!G6</f>
        <v>384492</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946759</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394277</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517937</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946759</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1906420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1906420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1507280</v>
      </c>
      <c r="D273" s="2" t="str">
        <f t="shared" si="3"/>
        <v>Error?</v>
      </c>
    </row>
    <row r="274" spans="1:4" x14ac:dyDescent="0.2">
      <c r="A274" s="5">
        <v>213</v>
      </c>
      <c r="B274" s="1890">
        <f>'Assets-Liab 5-6'!M17</f>
        <v>14815042</v>
      </c>
      <c r="D274" s="2" t="str">
        <f t="shared" si="3"/>
        <v>Error?</v>
      </c>
    </row>
    <row r="275" spans="1:4" x14ac:dyDescent="0.2">
      <c r="A275" s="5">
        <v>214</v>
      </c>
      <c r="B275" s="1890">
        <f>'Assets-Liab 5-6'!M18</f>
        <v>1127377</v>
      </c>
      <c r="D275" s="2" t="str">
        <f t="shared" si="3"/>
        <v>Error?</v>
      </c>
    </row>
    <row r="276" spans="1:4" x14ac:dyDescent="0.2">
      <c r="A276" s="5">
        <v>215</v>
      </c>
      <c r="B276" s="1890">
        <f>'Assets-Liab 5-6'!M19</f>
        <v>1239503</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19459402</v>
      </c>
      <c r="C279" s="2" t="s">
        <v>569</v>
      </c>
      <c r="D279" s="2" t="str">
        <f t="shared" si="3"/>
        <v>Error?</v>
      </c>
    </row>
    <row r="280" spans="1:4" x14ac:dyDescent="0.2">
      <c r="A280" s="5">
        <v>219</v>
      </c>
      <c r="B280" s="1890">
        <f>'Assets-Liab 5-6'!M40</f>
        <v>19459402</v>
      </c>
      <c r="D280" s="2" t="str">
        <f t="shared" si="3"/>
        <v>Error?</v>
      </c>
    </row>
    <row r="281" spans="1:4" x14ac:dyDescent="0.2">
      <c r="A281" s="5">
        <v>220</v>
      </c>
      <c r="B281" s="1890">
        <f>'Assets-Liab 5-6'!M41</f>
        <v>19459402</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3732835</v>
      </c>
      <c r="D283" s="2" t="str">
        <f t="shared" si="3"/>
        <v>Error?</v>
      </c>
    </row>
    <row r="284" spans="1:4" x14ac:dyDescent="0.2">
      <c r="A284" s="5">
        <v>223</v>
      </c>
      <c r="B284" s="1890">
        <f>'Assets-Liab 5-6'!N23</f>
        <v>3732835</v>
      </c>
      <c r="C284" s="2" t="s">
        <v>569</v>
      </c>
      <c r="D284" s="2" t="str">
        <f t="shared" si="3"/>
        <v>Error?</v>
      </c>
    </row>
    <row r="285" spans="1:4" x14ac:dyDescent="0.2">
      <c r="A285" s="5">
        <v>224</v>
      </c>
      <c r="B285" s="1890">
        <f>'Assets-Liab 5-6'!N36</f>
        <v>3732835</v>
      </c>
      <c r="D285" s="2" t="str">
        <f t="shared" si="3"/>
        <v>Error?</v>
      </c>
    </row>
    <row r="286" spans="1:4" x14ac:dyDescent="0.2">
      <c r="A286" s="10">
        <v>225</v>
      </c>
      <c r="B286" s="1890"/>
      <c r="D286" s="2" t="str">
        <f t="shared" si="3"/>
        <v>OK</v>
      </c>
    </row>
    <row r="287" spans="1:4" x14ac:dyDescent="0.2">
      <c r="A287" s="5">
        <v>226</v>
      </c>
      <c r="B287" s="1890">
        <f>'Assets-Liab 5-6'!N37</f>
        <v>3732835</v>
      </c>
      <c r="C287" s="2" t="s">
        <v>569</v>
      </c>
      <c r="D287" s="2" t="str">
        <f t="shared" si="3"/>
        <v>Error?</v>
      </c>
    </row>
    <row r="288" spans="1:4" x14ac:dyDescent="0.2">
      <c r="A288" s="5">
        <v>227</v>
      </c>
      <c r="B288" s="1890">
        <f>'Assets-Liab 5-6'!N41</f>
        <v>3732835</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6794150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289017</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151893</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9354508</v>
      </c>
      <c r="C720" s="2" t="s">
        <v>569</v>
      </c>
      <c r="D720" s="2" t="str">
        <f t="shared" si="10"/>
        <v>Error?</v>
      </c>
    </row>
    <row r="721" spans="1:4" x14ac:dyDescent="0.2">
      <c r="A721" s="5">
        <v>660</v>
      </c>
      <c r="B721" s="1890">
        <f>'Expenditures 15-22'!C36</f>
        <v>400199</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146735</v>
      </c>
      <c r="D723" s="2" t="str">
        <f t="shared" si="10"/>
        <v>Error?</v>
      </c>
    </row>
    <row r="724" spans="1:4" x14ac:dyDescent="0.2">
      <c r="A724" s="5">
        <v>663</v>
      </c>
      <c r="B724" s="1890">
        <f>'Expenditures 15-22'!C39</f>
        <v>193142</v>
      </c>
      <c r="D724" s="2" t="str">
        <f t="shared" si="10"/>
        <v>Error?</v>
      </c>
    </row>
    <row r="725" spans="1:4" x14ac:dyDescent="0.2">
      <c r="A725" s="5">
        <v>664</v>
      </c>
      <c r="B725" s="1890">
        <f>'Expenditures 15-22'!C40</f>
        <v>267451</v>
      </c>
      <c r="D725" s="2" t="str">
        <f t="shared" si="10"/>
        <v>Error?</v>
      </c>
    </row>
    <row r="726" spans="1:4" x14ac:dyDescent="0.2">
      <c r="A726" s="5">
        <v>665</v>
      </c>
      <c r="B726" s="1890">
        <f>'Expenditures 15-22'!C41</f>
        <v>75942</v>
      </c>
      <c r="D726" s="2" t="str">
        <f t="shared" si="10"/>
        <v>Error?</v>
      </c>
    </row>
    <row r="727" spans="1:4" x14ac:dyDescent="0.2">
      <c r="A727" s="5">
        <v>666</v>
      </c>
      <c r="B727" s="1890">
        <f>'Expenditures 15-22'!C42</f>
        <v>1083469</v>
      </c>
      <c r="C727" s="2" t="s">
        <v>569</v>
      </c>
      <c r="D727" s="2" t="str">
        <f t="shared" si="10"/>
        <v>Error?</v>
      </c>
    </row>
    <row r="728" spans="1:4" x14ac:dyDescent="0.2">
      <c r="A728" s="5">
        <v>667</v>
      </c>
      <c r="B728" s="1890">
        <f>'Expenditures 15-22'!C44</f>
        <v>366605</v>
      </c>
      <c r="D728" s="2" t="str">
        <f t="shared" si="10"/>
        <v>Error?</v>
      </c>
    </row>
    <row r="729" spans="1:4" x14ac:dyDescent="0.2">
      <c r="A729" s="5">
        <v>668</v>
      </c>
      <c r="B729" s="1890">
        <f>'Expenditures 15-22'!C45</f>
        <v>401239</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767844</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295320</v>
      </c>
      <c r="D733" s="2" t="str">
        <f t="shared" si="10"/>
        <v>Error?</v>
      </c>
    </row>
    <row r="734" spans="1:4" x14ac:dyDescent="0.2">
      <c r="A734" s="5">
        <v>673</v>
      </c>
      <c r="B734" s="1890">
        <f>'Expenditures 15-22'!C53</f>
        <v>295320</v>
      </c>
      <c r="C734" s="2" t="s">
        <v>569</v>
      </c>
      <c r="D734" s="2" t="str">
        <f t="shared" si="10"/>
        <v>Error?</v>
      </c>
    </row>
    <row r="735" spans="1:4" x14ac:dyDescent="0.2">
      <c r="A735" s="5">
        <v>674</v>
      </c>
      <c r="B735" s="1890">
        <f>'Expenditures 15-22'!C55</f>
        <v>939178</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939178</v>
      </c>
      <c r="C737" s="2" t="s">
        <v>569</v>
      </c>
      <c r="D737" s="2" t="str">
        <f t="shared" si="10"/>
        <v>Error?</v>
      </c>
    </row>
    <row r="738" spans="1:4" x14ac:dyDescent="0.2">
      <c r="A738" s="5">
        <v>677</v>
      </c>
      <c r="B738" s="1890">
        <f>'Expenditures 15-22'!C59</f>
        <v>125059</v>
      </c>
      <c r="D738" s="2" t="str">
        <f t="shared" si="10"/>
        <v>Error?</v>
      </c>
    </row>
    <row r="739" spans="1:4" x14ac:dyDescent="0.2">
      <c r="A739" s="5">
        <v>678</v>
      </c>
      <c r="B739" s="1890">
        <f>'Expenditures 15-22'!C60</f>
        <v>105575</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21755</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252389</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254</v>
      </c>
      <c r="D751" s="2" t="str">
        <f t="shared" si="10"/>
        <v>Error?</v>
      </c>
    </row>
    <row r="752" spans="1:4" x14ac:dyDescent="0.2">
      <c r="A752" s="10">
        <v>691</v>
      </c>
      <c r="B752" s="1890"/>
      <c r="D752" s="2" t="str">
        <f t="shared" si="10"/>
        <v>OK</v>
      </c>
    </row>
    <row r="753" spans="1:4" x14ac:dyDescent="0.2">
      <c r="A753" s="5">
        <v>692</v>
      </c>
      <c r="B753" s="1890">
        <f>'Expenditures 15-22'!C72</f>
        <v>254</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3338454</v>
      </c>
      <c r="C755" s="2" t="s">
        <v>569</v>
      </c>
      <c r="D755" s="2" t="str">
        <f t="shared" si="10"/>
        <v>Error?</v>
      </c>
    </row>
    <row r="756" spans="1:4" x14ac:dyDescent="0.2">
      <c r="A756" s="5">
        <v>695</v>
      </c>
      <c r="B756" s="1890">
        <f>'Expenditures 15-22'!C75</f>
        <v>12223</v>
      </c>
      <c r="D756" s="2" t="str">
        <f t="shared" si="10"/>
        <v>Error?</v>
      </c>
    </row>
    <row r="757" spans="1:4" x14ac:dyDescent="0.2">
      <c r="A757" s="5">
        <v>696</v>
      </c>
      <c r="B757" s="1890">
        <f>'Expenditures 15-22'!C114</f>
        <v>12705185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2608002</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4090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1643</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2649548</v>
      </c>
      <c r="C778" s="2" t="s">
        <v>569</v>
      </c>
      <c r="D778" s="2" t="str">
        <f t="shared" si="11"/>
        <v>Error?</v>
      </c>
    </row>
    <row r="779" spans="1:4" x14ac:dyDescent="0.2">
      <c r="A779" s="5">
        <v>718</v>
      </c>
      <c r="B779" s="1890">
        <f>'Expenditures 15-22'!D36</f>
        <v>6107</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2934</v>
      </c>
      <c r="D782" s="2" t="str">
        <f t="shared" si="11"/>
        <v>Error?</v>
      </c>
    </row>
    <row r="783" spans="1:4" x14ac:dyDescent="0.2">
      <c r="A783" s="5">
        <v>722</v>
      </c>
      <c r="B783" s="1890">
        <f>'Expenditures 15-22'!D40</f>
        <v>4302</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13343</v>
      </c>
      <c r="C785" s="2" t="s">
        <v>569</v>
      </c>
      <c r="D785" s="2" t="str">
        <f t="shared" si="11"/>
        <v>Error?</v>
      </c>
    </row>
    <row r="786" spans="1:4" x14ac:dyDescent="0.2">
      <c r="A786" s="5">
        <v>725</v>
      </c>
      <c r="B786" s="1890">
        <f>'Expenditures 15-22'!D44</f>
        <v>13331</v>
      </c>
      <c r="D786" s="2" t="str">
        <f t="shared" si="11"/>
        <v>Error?</v>
      </c>
    </row>
    <row r="787" spans="1:4" x14ac:dyDescent="0.2">
      <c r="A787" s="5">
        <v>726</v>
      </c>
      <c r="B787" s="1890">
        <f>'Expenditures 15-22'!D45</f>
        <v>5090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18421</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29250</v>
      </c>
      <c r="D791" s="2" t="str">
        <f t="shared" si="11"/>
        <v>Error?</v>
      </c>
    </row>
    <row r="792" spans="1:4" x14ac:dyDescent="0.2">
      <c r="A792" s="5">
        <v>731</v>
      </c>
      <c r="B792" s="1890">
        <f>'Expenditures 15-22'!D53</f>
        <v>29250</v>
      </c>
      <c r="C792" s="2" t="s">
        <v>569</v>
      </c>
      <c r="D792" s="2" t="str">
        <f t="shared" si="11"/>
        <v>Error?</v>
      </c>
    </row>
    <row r="793" spans="1:4" x14ac:dyDescent="0.2">
      <c r="A793" s="5">
        <v>732</v>
      </c>
      <c r="B793" s="1890">
        <f>'Expenditures 15-22'!D55</f>
        <v>80679</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80679</v>
      </c>
      <c r="C795" s="2" t="s">
        <v>569</v>
      </c>
      <c r="D795" s="2" t="str">
        <f t="shared" si="11"/>
        <v>Error?</v>
      </c>
    </row>
    <row r="796" spans="1:4" x14ac:dyDescent="0.2">
      <c r="A796" s="5">
        <v>735</v>
      </c>
      <c r="B796" s="1890">
        <f>'Expenditures 15-22'!D59</f>
        <v>14244</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184</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14428</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156121</v>
      </c>
      <c r="C813" s="2" t="s">
        <v>569</v>
      </c>
      <c r="D813" s="2" t="str">
        <f t="shared" si="11"/>
        <v>Error?</v>
      </c>
    </row>
    <row r="814" spans="1:4" x14ac:dyDescent="0.2">
      <c r="A814" s="5">
        <v>753</v>
      </c>
      <c r="B814" s="1890">
        <f>'Expenditures 15-22'!D75</f>
        <v>1394</v>
      </c>
      <c r="D814" s="2" t="str">
        <f t="shared" si="11"/>
        <v>Error?</v>
      </c>
    </row>
    <row r="815" spans="1:4" x14ac:dyDescent="0.2">
      <c r="A815" s="5">
        <v>754</v>
      </c>
      <c r="B815" s="1890">
        <f>'Expenditures 15-22'!D114</f>
        <v>2807063</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334472</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74</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5070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405025</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2452</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2452</v>
      </c>
      <c r="C843" s="2" t="s">
        <v>569</v>
      </c>
      <c r="D843" s="2" t="str">
        <f t="shared" si="12"/>
        <v>Error?</v>
      </c>
    </row>
    <row r="844" spans="1:4" x14ac:dyDescent="0.2">
      <c r="A844" s="5">
        <v>783</v>
      </c>
      <c r="B844" s="1890">
        <f>'Expenditures 15-22'!E44</f>
        <v>666324</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27959</v>
      </c>
      <c r="D846" s="2" t="str">
        <f t="shared" si="12"/>
        <v>Error?</v>
      </c>
    </row>
    <row r="847" spans="1:4" x14ac:dyDescent="0.2">
      <c r="A847" s="5">
        <v>786</v>
      </c>
      <c r="B847" s="1890">
        <f>'Expenditures 15-22'!E47</f>
        <v>694283</v>
      </c>
      <c r="C847" s="2" t="s">
        <v>569</v>
      </c>
      <c r="D847" s="2" t="str">
        <f t="shared" si="12"/>
        <v>Error?</v>
      </c>
    </row>
    <row r="848" spans="1:4" x14ac:dyDescent="0.2">
      <c r="A848" s="5">
        <v>787</v>
      </c>
      <c r="B848" s="1890">
        <f>'Expenditures 15-22'!E49</f>
        <v>336110</v>
      </c>
      <c r="D848" s="2" t="str">
        <f t="shared" si="12"/>
        <v>Error?</v>
      </c>
    </row>
    <row r="849" spans="1:4" x14ac:dyDescent="0.2">
      <c r="A849" s="5">
        <v>788</v>
      </c>
      <c r="B849" s="1890">
        <f>'Expenditures 15-22'!E50</f>
        <v>40867</v>
      </c>
      <c r="D849" s="2" t="str">
        <f t="shared" si="12"/>
        <v>Error?</v>
      </c>
    </row>
    <row r="850" spans="1:4" x14ac:dyDescent="0.2">
      <c r="A850" s="5">
        <v>789</v>
      </c>
      <c r="B850" s="1890">
        <f>'Expenditures 15-22'!E53</f>
        <v>376977</v>
      </c>
      <c r="C850" s="2" t="s">
        <v>569</v>
      </c>
      <c r="D850" s="2" t="str">
        <f t="shared" si="12"/>
        <v>Error?</v>
      </c>
    </row>
    <row r="851" spans="1:4" x14ac:dyDescent="0.2">
      <c r="A851" s="5">
        <v>790</v>
      </c>
      <c r="B851" s="1890">
        <f>'Expenditures 15-22'!E55</f>
        <v>4403</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4403</v>
      </c>
      <c r="C853" s="2" t="s">
        <v>569</v>
      </c>
      <c r="D853" s="2" t="str">
        <f t="shared" si="12"/>
        <v>Error?</v>
      </c>
    </row>
    <row r="854" spans="1:4" x14ac:dyDescent="0.2">
      <c r="A854" s="5">
        <v>793</v>
      </c>
      <c r="B854" s="1890">
        <f>'Expenditures 15-22'!E59</f>
        <v>8144</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262374</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270518</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1348633</v>
      </c>
      <c r="C871" s="2" t="s">
        <v>569</v>
      </c>
      <c r="D871" s="2" t="str">
        <f t="shared" si="12"/>
        <v>Error?</v>
      </c>
    </row>
    <row r="872" spans="1:4" x14ac:dyDescent="0.2">
      <c r="A872" s="5">
        <v>811</v>
      </c>
      <c r="B872" s="1890">
        <f>'Expenditures 15-22'!E75</f>
        <v>17752</v>
      </c>
      <c r="D872" s="2" t="str">
        <f t="shared" si="12"/>
        <v>Error?</v>
      </c>
    </row>
    <row r="873" spans="1:4" x14ac:dyDescent="0.2">
      <c r="A873" s="5">
        <v>812</v>
      </c>
      <c r="B873" s="1890">
        <f>'Expenditures 15-22'!E114</f>
        <v>1911852</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267594</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878</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20372</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338453</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8363</v>
      </c>
      <c r="D897" s="2" t="str">
        <f t="shared" si="13"/>
        <v>Error?</v>
      </c>
    </row>
    <row r="898" spans="1:4" x14ac:dyDescent="0.2">
      <c r="A898" s="5">
        <v>837</v>
      </c>
      <c r="B898" s="1890">
        <f>'Expenditures 15-22'!F39</f>
        <v>2663</v>
      </c>
      <c r="D898" s="2" t="str">
        <f t="shared" si="13"/>
        <v>Error?</v>
      </c>
    </row>
    <row r="899" spans="1:4" x14ac:dyDescent="0.2">
      <c r="A899" s="5">
        <v>838</v>
      </c>
      <c r="B899" s="1890">
        <f>'Expenditures 15-22'!F40</f>
        <v>1381</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12407</v>
      </c>
      <c r="C901" s="2" t="s">
        <v>569</v>
      </c>
      <c r="D901" s="2" t="str">
        <f t="shared" si="13"/>
        <v>Error?</v>
      </c>
    </row>
    <row r="902" spans="1:4" x14ac:dyDescent="0.2">
      <c r="A902" s="5">
        <v>841</v>
      </c>
      <c r="B902" s="1890">
        <f>'Expenditures 15-22'!F44</f>
        <v>184537</v>
      </c>
      <c r="D902" s="2" t="str">
        <f t="shared" si="13"/>
        <v>Error?</v>
      </c>
    </row>
    <row r="903" spans="1:4" x14ac:dyDescent="0.2">
      <c r="A903" s="5">
        <v>842</v>
      </c>
      <c r="B903" s="1890">
        <f>'Expenditures 15-22'!F45</f>
        <v>2433</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186970</v>
      </c>
      <c r="C905" s="2" t="s">
        <v>569</v>
      </c>
      <c r="D905" s="2" t="str">
        <f t="shared" si="13"/>
        <v>Error?</v>
      </c>
    </row>
    <row r="906" spans="1:4" x14ac:dyDescent="0.2">
      <c r="A906" s="5">
        <v>845</v>
      </c>
      <c r="B906" s="1890">
        <f>'Expenditures 15-22'!F49</f>
        <v>2728</v>
      </c>
      <c r="D906" s="2" t="str">
        <f t="shared" si="13"/>
        <v>Error?</v>
      </c>
    </row>
    <row r="907" spans="1:4" x14ac:dyDescent="0.2">
      <c r="A907" s="5">
        <v>846</v>
      </c>
      <c r="B907" s="1890">
        <f>'Expenditures 15-22'!F50</f>
        <v>5268</v>
      </c>
      <c r="D907" s="2" t="str">
        <f t="shared" si="13"/>
        <v>Error?</v>
      </c>
    </row>
    <row r="908" spans="1:4" x14ac:dyDescent="0.2">
      <c r="A908" s="5">
        <v>847</v>
      </c>
      <c r="B908" s="1890">
        <f>'Expenditures 15-22'!F53</f>
        <v>7996</v>
      </c>
      <c r="C908" s="2" t="s">
        <v>569</v>
      </c>
      <c r="D908" s="2" t="str">
        <f t="shared" si="13"/>
        <v>Error?</v>
      </c>
    </row>
    <row r="909" spans="1:4" x14ac:dyDescent="0.2">
      <c r="A909" s="5">
        <v>848</v>
      </c>
      <c r="B909" s="1890">
        <f>'Expenditures 15-22'!F55</f>
        <v>14370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14370</v>
      </c>
      <c r="C911" s="2" t="s">
        <v>569</v>
      </c>
      <c r="D911" s="2" t="str">
        <f t="shared" si="13"/>
        <v>Error?</v>
      </c>
    </row>
    <row r="912" spans="1:4" x14ac:dyDescent="0.2">
      <c r="A912" s="5">
        <v>851</v>
      </c>
      <c r="B912" s="1890">
        <f>'Expenditures 15-22'!F59</f>
        <v>2519</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5046</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7565</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229308</v>
      </c>
      <c r="C929" s="2" t="s">
        <v>569</v>
      </c>
      <c r="D929" s="2" t="str">
        <f t="shared" si="13"/>
        <v>Error?</v>
      </c>
    </row>
    <row r="930" spans="1:4" x14ac:dyDescent="0.2">
      <c r="A930" s="5">
        <v>869</v>
      </c>
      <c r="B930" s="1890">
        <f>'Expenditures 15-22'!F75</f>
        <v>744</v>
      </c>
      <c r="D930" s="2" t="str">
        <f t="shared" si="13"/>
        <v>Error?</v>
      </c>
    </row>
    <row r="931" spans="1:4" x14ac:dyDescent="0.2">
      <c r="A931" s="5">
        <v>870</v>
      </c>
      <c r="B931" s="1890">
        <f>'Expenditures 15-22'!F114</f>
        <v>568505</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90033</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90033</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90033</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90033</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35592</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14274</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699500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25438</v>
      </c>
      <c r="D1022" s="2" t="str">
        <f t="shared" si="14"/>
        <v>Error?</v>
      </c>
    </row>
    <row r="1023" spans="1:4" x14ac:dyDescent="0.2">
      <c r="A1023" s="5">
        <v>962</v>
      </c>
      <c r="B1023" s="1890">
        <f>'Expenditures 15-22'!H50</f>
        <v>26549</v>
      </c>
      <c r="D1023" s="2" t="str">
        <f t="shared" ref="D1023:D1086" si="15">IF(ISBLANK(B1023),"OK",IF(A1023-B1023=0,"OK","Error?"))</f>
        <v>Error?</v>
      </c>
    </row>
    <row r="1024" spans="1:4" x14ac:dyDescent="0.2">
      <c r="A1024" s="5">
        <v>963</v>
      </c>
      <c r="B1024" s="1890">
        <f>'Expenditures 15-22'!H53</f>
        <v>51987</v>
      </c>
      <c r="C1024" s="2" t="s">
        <v>569</v>
      </c>
      <c r="D1024" s="2" t="str">
        <f t="shared" si="15"/>
        <v>Error?</v>
      </c>
    </row>
    <row r="1025" spans="1:4" x14ac:dyDescent="0.2">
      <c r="A1025" s="5">
        <v>964</v>
      </c>
      <c r="B1025" s="1890">
        <f>'Expenditures 15-22'!H55</f>
        <v>9421</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9421</v>
      </c>
      <c r="C1027" s="2" t="s">
        <v>569</v>
      </c>
      <c r="D1027" s="2" t="str">
        <f t="shared" si="15"/>
        <v>Error?</v>
      </c>
    </row>
    <row r="1028" spans="1:4" x14ac:dyDescent="0.2">
      <c r="A1028" s="5">
        <v>967</v>
      </c>
      <c r="B1028" s="1890">
        <f>'Expenditures 15-22'!H59</f>
        <v>1992</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1992</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63400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615381</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1378281</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10087253</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294059</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193252</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13494477</v>
      </c>
      <c r="C1108" s="2" t="s">
        <v>569</v>
      </c>
      <c r="D1108" s="2" t="str">
        <f t="shared" si="16"/>
        <v>Error?</v>
      </c>
    </row>
    <row r="1109" spans="1:4" x14ac:dyDescent="0.2">
      <c r="A1109" s="5">
        <v>1048</v>
      </c>
      <c r="B1109" s="1890">
        <f>'Expenditures 15-22'!K36</f>
        <v>406306</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157550</v>
      </c>
      <c r="C1111" s="2" t="s">
        <v>569</v>
      </c>
      <c r="D1111" s="2" t="str">
        <f t="shared" si="16"/>
        <v>Error?</v>
      </c>
    </row>
    <row r="1112" spans="1:4" x14ac:dyDescent="0.2">
      <c r="A1112" s="5">
        <v>1051</v>
      </c>
      <c r="B1112" s="1890">
        <f>'Expenditures 15-22'!K39</f>
        <v>198739</v>
      </c>
      <c r="C1112" s="2" t="s">
        <v>569</v>
      </c>
      <c r="D1112" s="2" t="str">
        <f t="shared" si="16"/>
        <v>Error?</v>
      </c>
    </row>
    <row r="1113" spans="1:4" x14ac:dyDescent="0.2">
      <c r="A1113" s="5">
        <v>1052</v>
      </c>
      <c r="B1113" s="1890">
        <f>'Expenditures 15-22'!K40</f>
        <v>273134</v>
      </c>
      <c r="C1113" s="2" t="s">
        <v>569</v>
      </c>
      <c r="D1113" s="2" t="str">
        <f t="shared" si="16"/>
        <v>Error?</v>
      </c>
    </row>
    <row r="1114" spans="1:4" x14ac:dyDescent="0.2">
      <c r="A1114" s="5">
        <v>1053</v>
      </c>
      <c r="B1114" s="1890">
        <f>'Expenditures 15-22'!K41</f>
        <v>75942</v>
      </c>
      <c r="C1114" s="2" t="s">
        <v>569</v>
      </c>
      <c r="D1114" s="2" t="str">
        <f t="shared" si="16"/>
        <v>Error?</v>
      </c>
    </row>
    <row r="1115" spans="1:4" x14ac:dyDescent="0.2">
      <c r="A1115" s="5">
        <v>1054</v>
      </c>
      <c r="B1115" s="1890">
        <f>'Expenditures 15-22'!K42</f>
        <v>1111671</v>
      </c>
      <c r="C1115" s="2" t="s">
        <v>569</v>
      </c>
      <c r="D1115" s="2" t="str">
        <f t="shared" si="16"/>
        <v>Error?</v>
      </c>
    </row>
    <row r="1116" spans="1:4" x14ac:dyDescent="0.2">
      <c r="A1116" s="5">
        <v>1055</v>
      </c>
      <c r="B1116" s="1890">
        <f>'Expenditures 15-22'!K44</f>
        <v>1664006</v>
      </c>
      <c r="C1116" s="2" t="s">
        <v>569</v>
      </c>
      <c r="D1116" s="2" t="str">
        <f t="shared" si="16"/>
        <v>Error?</v>
      </c>
    </row>
    <row r="1117" spans="1:4" x14ac:dyDescent="0.2">
      <c r="A1117" s="5">
        <v>1056</v>
      </c>
      <c r="B1117" s="1890">
        <f>'Expenditures 15-22'!K45</f>
        <v>408762</v>
      </c>
      <c r="C1117" s="2" t="s">
        <v>569</v>
      </c>
      <c r="D1117" s="2" t="str">
        <f t="shared" si="16"/>
        <v>Error?</v>
      </c>
    </row>
    <row r="1118" spans="1:4" x14ac:dyDescent="0.2">
      <c r="A1118" s="5">
        <v>1057</v>
      </c>
      <c r="B1118" s="1890">
        <f>'Expenditures 15-22'!K46</f>
        <v>27959</v>
      </c>
      <c r="C1118" s="2" t="s">
        <v>569</v>
      </c>
      <c r="D1118" s="2" t="str">
        <f t="shared" si="16"/>
        <v>Error?</v>
      </c>
    </row>
    <row r="1119" spans="1:4" x14ac:dyDescent="0.2">
      <c r="A1119" s="5">
        <v>1058</v>
      </c>
      <c r="B1119" s="1890">
        <f>'Expenditures 15-22'!K47</f>
        <v>2100727</v>
      </c>
      <c r="C1119" s="2" t="s">
        <v>569</v>
      </c>
      <c r="D1119" s="2" t="str">
        <f t="shared" si="16"/>
        <v>Error?</v>
      </c>
    </row>
    <row r="1120" spans="1:4" x14ac:dyDescent="0.2">
      <c r="A1120" s="5">
        <v>1059</v>
      </c>
      <c r="B1120" s="1890">
        <f>'Expenditures 15-22'!K49</f>
        <v>364276</v>
      </c>
      <c r="C1120" s="2" t="s">
        <v>569</v>
      </c>
      <c r="D1120" s="2" t="str">
        <f t="shared" si="16"/>
        <v>Error?</v>
      </c>
    </row>
    <row r="1121" spans="1:4" x14ac:dyDescent="0.2">
      <c r="A1121" s="5">
        <v>1060</v>
      </c>
      <c r="B1121" s="1890">
        <f>'Expenditures 15-22'!K50</f>
        <v>397254</v>
      </c>
      <c r="C1121" s="2" t="s">
        <v>569</v>
      </c>
      <c r="D1121" s="2" t="str">
        <f t="shared" si="16"/>
        <v>Error?</v>
      </c>
    </row>
    <row r="1122" spans="1:4" x14ac:dyDescent="0.2">
      <c r="A1122" s="5">
        <v>1061</v>
      </c>
      <c r="B1122" s="1890">
        <f>'Expenditures 15-22'!K53</f>
        <v>761530</v>
      </c>
      <c r="C1122" s="2" t="s">
        <v>569</v>
      </c>
      <c r="D1122" s="2" t="str">
        <f t="shared" si="16"/>
        <v>Error?</v>
      </c>
    </row>
    <row r="1123" spans="1:4" x14ac:dyDescent="0.2">
      <c r="A1123" s="5">
        <v>1062</v>
      </c>
      <c r="B1123" s="1890">
        <f>'Expenditures 15-22'!K55</f>
        <v>1048051</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1048051</v>
      </c>
      <c r="C1125" s="2" t="s">
        <v>569</v>
      </c>
      <c r="D1125" s="2" t="str">
        <f t="shared" si="16"/>
        <v>Error?</v>
      </c>
    </row>
    <row r="1126" spans="1:4" x14ac:dyDescent="0.2">
      <c r="A1126" s="5">
        <v>1065</v>
      </c>
      <c r="B1126" s="1890">
        <f>'Expenditures 15-22'!K59</f>
        <v>151958</v>
      </c>
      <c r="C1126" s="2" t="s">
        <v>569</v>
      </c>
      <c r="D1126" s="2" t="str">
        <f t="shared" si="16"/>
        <v>Error?</v>
      </c>
    </row>
    <row r="1127" spans="1:4" x14ac:dyDescent="0.2">
      <c r="A1127" s="5">
        <v>1066</v>
      </c>
      <c r="B1127" s="1890">
        <f>'Expenditures 15-22'!K60</f>
        <v>105575</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289359</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546892</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254</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254</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5569125</v>
      </c>
      <c r="C1143" s="2" t="s">
        <v>569</v>
      </c>
      <c r="D1143" s="2" t="str">
        <f t="shared" si="16"/>
        <v>Error?</v>
      </c>
    </row>
    <row r="1144" spans="1:4" x14ac:dyDescent="0.2">
      <c r="A1144" s="5">
        <v>1083</v>
      </c>
      <c r="B1144" s="1890">
        <f>'Expenditures 15-22'!K75</f>
        <v>32113</v>
      </c>
      <c r="C1144" s="2" t="s">
        <v>569</v>
      </c>
      <c r="D1144" s="2" t="str">
        <f t="shared" si="16"/>
        <v>Error?</v>
      </c>
    </row>
    <row r="1145" spans="1:4" x14ac:dyDescent="0.2">
      <c r="A1145" s="5">
        <v>1084</v>
      </c>
      <c r="B1145" s="1890">
        <f>'Expenditures 15-22'!K102</f>
        <v>755823</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19851538</v>
      </c>
      <c r="C1152" s="2" t="s">
        <v>569</v>
      </c>
      <c r="D1152" s="2" t="str">
        <f t="shared" si="17"/>
        <v>Error?</v>
      </c>
    </row>
    <row r="1153" spans="1:4" x14ac:dyDescent="0.2">
      <c r="A1153" s="5">
        <v>1092</v>
      </c>
      <c r="B1153" s="1890">
        <f>'Expenditures 15-22'!K115</f>
        <v>2584643</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707125</v>
      </c>
      <c r="D1221" s="2" t="str">
        <f t="shared" si="18"/>
        <v>Error?</v>
      </c>
    </row>
    <row r="1222" spans="1:4" x14ac:dyDescent="0.2">
      <c r="A1222" s="10">
        <v>1161</v>
      </c>
      <c r="B1222" s="1890"/>
      <c r="D1222" s="2" t="str">
        <f t="shared" si="18"/>
        <v>OK</v>
      </c>
    </row>
    <row r="1223" spans="1:4" x14ac:dyDescent="0.2">
      <c r="A1223" s="5">
        <v>1162</v>
      </c>
      <c r="B1223" s="1890">
        <f>'Expenditures 15-22'!C127</f>
        <v>707125</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707125</v>
      </c>
      <c r="C1225" s="2" t="s">
        <v>569</v>
      </c>
      <c r="D1225" s="2" t="str">
        <f t="shared" si="18"/>
        <v>Error?</v>
      </c>
    </row>
    <row r="1226" spans="1:4" x14ac:dyDescent="0.2">
      <c r="A1226" s="5">
        <v>1165</v>
      </c>
      <c r="B1226" s="1890">
        <f>'Expenditures 15-22'!C151</f>
        <v>707125</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251888</v>
      </c>
      <c r="D1229" s="2" t="str">
        <f t="shared" si="18"/>
        <v>Error?</v>
      </c>
    </row>
    <row r="1230" spans="1:4" x14ac:dyDescent="0.2">
      <c r="A1230" s="10">
        <v>1169</v>
      </c>
      <c r="B1230" s="1890"/>
      <c r="D1230" s="2" t="str">
        <f t="shared" si="18"/>
        <v>OK</v>
      </c>
    </row>
    <row r="1231" spans="1:4" x14ac:dyDescent="0.2">
      <c r="A1231" s="5">
        <v>1170</v>
      </c>
      <c r="B1231" s="1890">
        <f>'Expenditures 15-22'!D127</f>
        <v>251888</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251888</v>
      </c>
      <c r="C1233" s="2" t="s">
        <v>569</v>
      </c>
      <c r="D1233" s="2" t="str">
        <f t="shared" si="18"/>
        <v>Error?</v>
      </c>
    </row>
    <row r="1234" spans="1:4" x14ac:dyDescent="0.2">
      <c r="A1234" s="5">
        <v>1173</v>
      </c>
      <c r="B1234" s="1890">
        <f>'Expenditures 15-22'!D151</f>
        <v>251888</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655184</v>
      </c>
      <c r="D1237" s="2" t="str">
        <f t="shared" si="18"/>
        <v>Error?</v>
      </c>
    </row>
    <row r="1238" spans="1:4" x14ac:dyDescent="0.2">
      <c r="A1238" s="10">
        <v>1177</v>
      </c>
      <c r="B1238" s="1890"/>
      <c r="D1238" s="2" t="str">
        <f t="shared" si="18"/>
        <v>OK</v>
      </c>
    </row>
    <row r="1239" spans="1:4" x14ac:dyDescent="0.2">
      <c r="A1239" s="5">
        <v>1178</v>
      </c>
      <c r="B1239" s="1890">
        <f>'Expenditures 15-22'!E127</f>
        <v>655184</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686959</v>
      </c>
      <c r="C1241" s="2" t="s">
        <v>569</v>
      </c>
      <c r="D1241" s="2" t="str">
        <f t="shared" si="18"/>
        <v>Error?</v>
      </c>
    </row>
    <row r="1242" spans="1:4" x14ac:dyDescent="0.2">
      <c r="A1242" s="5">
        <v>1181</v>
      </c>
      <c r="B1242" s="1890">
        <f>'Expenditures 15-22'!E151</f>
        <v>686959</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517473</v>
      </c>
      <c r="D1245" s="2" t="str">
        <f t="shared" si="18"/>
        <v>Error?</v>
      </c>
    </row>
    <row r="1246" spans="1:4" x14ac:dyDescent="0.2">
      <c r="A1246" s="10">
        <v>1185</v>
      </c>
      <c r="B1246" s="1890"/>
      <c r="D1246" s="2" t="str">
        <f t="shared" si="18"/>
        <v>OK</v>
      </c>
    </row>
    <row r="1247" spans="1:4" x14ac:dyDescent="0.2">
      <c r="A1247" s="5">
        <v>1186</v>
      </c>
      <c r="B1247" s="1890">
        <f>'Expenditures 15-22'!F127</f>
        <v>517473</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517473</v>
      </c>
      <c r="C1249" s="2" t="s">
        <v>569</v>
      </c>
      <c r="D1249" s="2" t="str">
        <f t="shared" si="18"/>
        <v>Error?</v>
      </c>
    </row>
    <row r="1250" spans="1:4" x14ac:dyDescent="0.2">
      <c r="A1250" s="5">
        <v>1189</v>
      </c>
      <c r="B1250" s="1890">
        <f>'Expenditures 15-22'!F151</f>
        <v>517473</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1268580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1268580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1268580</v>
      </c>
      <c r="C1258" s="2" t="s">
        <v>569</v>
      </c>
      <c r="D1258" s="2" t="str">
        <f t="shared" si="18"/>
        <v>Error?</v>
      </c>
    </row>
    <row r="1259" spans="1:4" x14ac:dyDescent="0.2">
      <c r="A1259" s="5">
        <v>1198</v>
      </c>
      <c r="B1259" s="1890">
        <f>'Expenditures 15-22'!G151</f>
        <v>1268580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3400250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3400250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3432025</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3432025</v>
      </c>
      <c r="C1288" s="2" t="s">
        <v>569</v>
      </c>
      <c r="D1288" s="2" t="str">
        <f t="shared" si="19"/>
        <v>Error?</v>
      </c>
    </row>
    <row r="1289" spans="1:4" x14ac:dyDescent="0.2">
      <c r="A1289" s="5">
        <v>1228</v>
      </c>
      <c r="B1289" s="1890">
        <f>'Expenditures 15-22'!K152</f>
        <v>-603529</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66230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1753992</v>
      </c>
      <c r="D1315" s="2" t="str">
        <f t="shared" si="19"/>
        <v>Error?</v>
      </c>
    </row>
    <row r="1316" spans="1:4" x14ac:dyDescent="0.2">
      <c r="A1316" s="5">
        <v>1255</v>
      </c>
      <c r="B1316" s="1890">
        <f>'Expenditures 15-22'!H171</f>
        <v>3184489</v>
      </c>
      <c r="D1316" s="2" t="str">
        <f t="shared" si="19"/>
        <v>Error?</v>
      </c>
    </row>
    <row r="1317" spans="1:4" x14ac:dyDescent="0.2">
      <c r="A1317" s="5">
        <v>1256</v>
      </c>
      <c r="B1317" s="1890">
        <f>'Expenditures 15-22'!H172</f>
        <v>5004711</v>
      </c>
      <c r="C1317" s="2" t="s">
        <v>569</v>
      </c>
      <c r="D1317" s="2" t="str">
        <f t="shared" si="19"/>
        <v>Error?</v>
      </c>
    </row>
    <row r="1318" spans="1:4" x14ac:dyDescent="0.2">
      <c r="A1318" s="5">
        <v>1257</v>
      </c>
      <c r="B1318" s="1890">
        <f>'Expenditures 15-22'!H174</f>
        <v>5004711</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66230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1753992</v>
      </c>
      <c r="C1329" s="2" t="s">
        <v>569</v>
      </c>
      <c r="D1329" s="2" t="str">
        <f t="shared" si="19"/>
        <v>Error?</v>
      </c>
    </row>
    <row r="1330" spans="1:4" x14ac:dyDescent="0.2">
      <c r="A1330" s="5">
        <v>1269</v>
      </c>
      <c r="B1330" s="1890">
        <f>'Expenditures 15-22'!K171</f>
        <v>3184489</v>
      </c>
      <c r="C1330" s="2" t="s">
        <v>569</v>
      </c>
      <c r="D1330" s="2" t="str">
        <f t="shared" si="19"/>
        <v>Error?</v>
      </c>
    </row>
    <row r="1331" spans="1:4" x14ac:dyDescent="0.2">
      <c r="A1331" s="5">
        <v>1270</v>
      </c>
      <c r="B1331" s="1890">
        <f>'Expenditures 15-22'!K172</f>
        <v>5004711</v>
      </c>
      <c r="C1331" s="2" t="s">
        <v>569</v>
      </c>
      <c r="D1331" s="2" t="str">
        <f t="shared" si="19"/>
        <v>Error?</v>
      </c>
    </row>
    <row r="1332" spans="1:4" x14ac:dyDescent="0.2">
      <c r="A1332" s="5">
        <v>1271</v>
      </c>
      <c r="B1332" s="1890">
        <f>'Expenditures 15-22'!K174</f>
        <v>5004711</v>
      </c>
      <c r="C1332" s="2" t="s">
        <v>569</v>
      </c>
      <c r="D1332" s="2" t="str">
        <f t="shared" si="19"/>
        <v>Error?</v>
      </c>
    </row>
    <row r="1333" spans="1:4" x14ac:dyDescent="0.2">
      <c r="A1333" s="5">
        <v>1272</v>
      </c>
      <c r="B1333" s="1890">
        <f>'Expenditures 15-22'!K175</f>
        <v>144544</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521214</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521214</v>
      </c>
      <c r="C1339" s="2" t="s">
        <v>569</v>
      </c>
      <c r="D1339" s="2" t="str">
        <f t="shared" si="19"/>
        <v>Error?</v>
      </c>
    </row>
    <row r="1340" spans="1:4" x14ac:dyDescent="0.2">
      <c r="A1340" s="5">
        <v>1279</v>
      </c>
      <c r="B1340" s="1890">
        <f>'Expenditures 15-22'!C210</f>
        <v>521214</v>
      </c>
      <c r="C1340" s="2" t="s">
        <v>569</v>
      </c>
      <c r="D1340" s="2" t="str">
        <f t="shared" si="19"/>
        <v>Error?</v>
      </c>
    </row>
    <row r="1341" spans="1:4" x14ac:dyDescent="0.2">
      <c r="A1341" s="5">
        <v>1280</v>
      </c>
      <c r="B1341" s="1890">
        <f>'Expenditures 15-22'!D182</f>
        <v>29777</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29777</v>
      </c>
      <c r="C1345" s="2" t="s">
        <v>569</v>
      </c>
      <c r="D1345" s="2" t="str">
        <f t="shared" si="20"/>
        <v>Error?</v>
      </c>
    </row>
    <row r="1346" spans="1:4" x14ac:dyDescent="0.2">
      <c r="A1346" s="5">
        <v>1285</v>
      </c>
      <c r="B1346" s="1890">
        <f>'Expenditures 15-22'!D210</f>
        <v>29777</v>
      </c>
      <c r="C1346" s="2" t="s">
        <v>569</v>
      </c>
      <c r="D1346" s="2" t="str">
        <f t="shared" si="20"/>
        <v>Error?</v>
      </c>
    </row>
    <row r="1347" spans="1:4" x14ac:dyDescent="0.2">
      <c r="A1347" s="5">
        <v>1286</v>
      </c>
      <c r="B1347" s="1890">
        <f>'Expenditures 15-22'!E182</f>
        <v>711654</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735656</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743474</v>
      </c>
      <c r="C1353" s="2" t="s">
        <v>569</v>
      </c>
      <c r="D1353" s="2" t="str">
        <f t="shared" si="20"/>
        <v>Error?</v>
      </c>
    </row>
    <row r="1354" spans="1:4" x14ac:dyDescent="0.2">
      <c r="A1354" s="5">
        <v>1293</v>
      </c>
      <c r="B1354" s="1890">
        <f>'Expenditures 15-22'!F182</f>
        <v>93407</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93407</v>
      </c>
      <c r="C1358" s="2" t="s">
        <v>569</v>
      </c>
      <c r="D1358" s="2" t="str">
        <f t="shared" si="20"/>
        <v>Error?</v>
      </c>
    </row>
    <row r="1359" spans="1:4" x14ac:dyDescent="0.2">
      <c r="A1359" s="5">
        <v>1298</v>
      </c>
      <c r="B1359" s="1890">
        <f>'Expenditures 15-22'!F210</f>
        <v>93407</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1356052</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1380054</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1387872</v>
      </c>
      <c r="C1388" s="2" t="s">
        <v>569</v>
      </c>
      <c r="D1388" s="2" t="str">
        <f t="shared" si="20"/>
        <v>Error?</v>
      </c>
    </row>
    <row r="1389" spans="1:4" x14ac:dyDescent="0.2">
      <c r="A1389" s="5">
        <v>1328</v>
      </c>
      <c r="B1389" s="1890">
        <f>'Expenditures 15-22'!K211</f>
        <v>118964</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6627</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6117</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262714</v>
      </c>
      <c r="C1410" s="2" t="s">
        <v>569</v>
      </c>
      <c r="D1410" s="2" t="str">
        <f t="shared" si="21"/>
        <v>Error?</v>
      </c>
    </row>
    <row r="1411" spans="1:4" x14ac:dyDescent="0.2">
      <c r="A1411" s="5">
        <v>1350</v>
      </c>
      <c r="B1411" s="1890">
        <f>'Expenditures 15-22'!D232</f>
        <v>5805</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23515</v>
      </c>
      <c r="D1413" s="2" t="str">
        <f t="shared" si="21"/>
        <v>Error?</v>
      </c>
    </row>
    <row r="1414" spans="1:4" x14ac:dyDescent="0.2">
      <c r="A1414" s="5">
        <v>1353</v>
      </c>
      <c r="B1414" s="1890">
        <f>'Expenditures 15-22'!D235</f>
        <v>2801</v>
      </c>
      <c r="D1414" s="2" t="str">
        <f t="shared" si="21"/>
        <v>Error?</v>
      </c>
    </row>
    <row r="1415" spans="1:4" x14ac:dyDescent="0.2">
      <c r="A1415" s="5">
        <v>1354</v>
      </c>
      <c r="B1415" s="1890">
        <f>'Expenditures 15-22'!D236</f>
        <v>4009</v>
      </c>
      <c r="D1415" s="2" t="str">
        <f t="shared" si="21"/>
        <v>Error?</v>
      </c>
    </row>
    <row r="1416" spans="1:4" x14ac:dyDescent="0.2">
      <c r="A1416" s="5">
        <v>1355</v>
      </c>
      <c r="B1416" s="1890">
        <f>'Expenditures 15-22'!D237</f>
        <v>18363</v>
      </c>
      <c r="D1416" s="2" t="str">
        <f t="shared" si="21"/>
        <v>Error?</v>
      </c>
    </row>
    <row r="1417" spans="1:4" x14ac:dyDescent="0.2">
      <c r="A1417" s="5">
        <v>1356</v>
      </c>
      <c r="B1417" s="1890">
        <f>'Expenditures 15-22'!D238</f>
        <v>54493</v>
      </c>
      <c r="C1417" s="2" t="s">
        <v>569</v>
      </c>
      <c r="D1417" s="2" t="str">
        <f t="shared" si="21"/>
        <v>Error?</v>
      </c>
    </row>
    <row r="1418" spans="1:4" x14ac:dyDescent="0.2">
      <c r="A1418" s="5">
        <v>1357</v>
      </c>
      <c r="B1418" s="1890">
        <f>'Expenditures 15-22'!D240</f>
        <v>44685</v>
      </c>
      <c r="D1418" s="2" t="str">
        <f t="shared" si="21"/>
        <v>Error?</v>
      </c>
    </row>
    <row r="1419" spans="1:4" x14ac:dyDescent="0.2">
      <c r="A1419" s="5">
        <v>1358</v>
      </c>
      <c r="B1419" s="1890">
        <f>'Expenditures 15-22'!D241</f>
        <v>18750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63435</v>
      </c>
      <c r="C1421" s="2" t="s">
        <v>569</v>
      </c>
      <c r="D1421" s="2" t="str">
        <f t="shared" si="21"/>
        <v>Error?</v>
      </c>
    </row>
    <row r="1422" spans="1:4" x14ac:dyDescent="0.2">
      <c r="A1422" s="5">
        <v>1361</v>
      </c>
      <c r="B1422" s="1890">
        <f>'Expenditures 15-22'!D245</f>
        <v>14777</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14777</v>
      </c>
      <c r="C1424" s="2" t="s">
        <v>569</v>
      </c>
      <c r="D1424" s="2" t="str">
        <f t="shared" si="21"/>
        <v>Error?</v>
      </c>
    </row>
    <row r="1425" spans="1:4" x14ac:dyDescent="0.2">
      <c r="A1425" s="5">
        <v>1364</v>
      </c>
      <c r="B1425" s="1890">
        <f>'Expenditures 15-22'!D259</f>
        <v>54002</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54002</v>
      </c>
      <c r="C1427" s="2" t="s">
        <v>569</v>
      </c>
      <c r="D1427" s="2" t="str">
        <f t="shared" si="21"/>
        <v>Error?</v>
      </c>
    </row>
    <row r="1428" spans="1:4" x14ac:dyDescent="0.2">
      <c r="A1428" s="5">
        <v>1367</v>
      </c>
      <c r="B1428" s="1890">
        <f>'Expenditures 15-22'!D263</f>
        <v>1819</v>
      </c>
      <c r="D1428" s="2" t="str">
        <f t="shared" si="21"/>
        <v>Error?</v>
      </c>
    </row>
    <row r="1429" spans="1:4" x14ac:dyDescent="0.2">
      <c r="A1429" s="5">
        <v>1368</v>
      </c>
      <c r="B1429" s="1890">
        <f>'Expenditures 15-22'!D264</f>
        <v>19991</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132406</v>
      </c>
      <c r="D1431" s="2" t="str">
        <f t="shared" si="21"/>
        <v>Error?</v>
      </c>
    </row>
    <row r="1432" spans="1:4" x14ac:dyDescent="0.2">
      <c r="A1432" s="5">
        <v>1371</v>
      </c>
      <c r="B1432" s="1890">
        <f>'Expenditures 15-22'!D267</f>
        <v>98107</v>
      </c>
      <c r="D1432" s="2" t="str">
        <f t="shared" si="21"/>
        <v>Error?</v>
      </c>
    </row>
    <row r="1433" spans="1:4" x14ac:dyDescent="0.2">
      <c r="A1433" s="5">
        <v>1372</v>
      </c>
      <c r="B1433" s="1890">
        <f>'Expenditures 15-22'!D268</f>
        <v>904</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253227</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46</v>
      </c>
      <c r="D1442" s="2" t="str">
        <f t="shared" si="21"/>
        <v>Error?</v>
      </c>
    </row>
    <row r="1443" spans="1:4" x14ac:dyDescent="0.2">
      <c r="A1443" s="10">
        <v>1382</v>
      </c>
      <c r="B1443" s="1890"/>
      <c r="D1443" s="2" t="str">
        <f t="shared" si="21"/>
        <v>OK</v>
      </c>
    </row>
    <row r="1444" spans="1:4" x14ac:dyDescent="0.2">
      <c r="A1444" s="5">
        <v>1383</v>
      </c>
      <c r="B1444" s="1890">
        <f>'Expenditures 15-22'!D277</f>
        <v>46</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439980</v>
      </c>
      <c r="C1446" s="2" t="s">
        <v>569</v>
      </c>
      <c r="D1446" s="2" t="str">
        <f t="shared" si="21"/>
        <v>Error?</v>
      </c>
    </row>
    <row r="1447" spans="1:4" x14ac:dyDescent="0.2">
      <c r="A1447" s="5">
        <v>1386</v>
      </c>
      <c r="B1447" s="1890">
        <f>'Expenditures 15-22'!D280</f>
        <v>54</v>
      </c>
      <c r="D1447" s="2" t="str">
        <f t="shared" si="21"/>
        <v>Error?</v>
      </c>
    </row>
    <row r="1448" spans="1:4" x14ac:dyDescent="0.2">
      <c r="A1448" s="5">
        <v>1387</v>
      </c>
      <c r="B1448" s="1890">
        <f>'Expenditures 15-22'!D295</f>
        <v>702748</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6627</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6117</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262714</v>
      </c>
      <c r="C1474" s="2" t="s">
        <v>569</v>
      </c>
      <c r="D1474" s="2" t="str">
        <f t="shared" si="22"/>
        <v>Error?</v>
      </c>
    </row>
    <row r="1475" spans="1:4" x14ac:dyDescent="0.2">
      <c r="A1475" s="5">
        <v>1414</v>
      </c>
      <c r="B1475" s="1890">
        <f>'Expenditures 15-22'!K232</f>
        <v>5805</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23515</v>
      </c>
      <c r="C1477" s="2" t="s">
        <v>569</v>
      </c>
      <c r="D1477" s="2" t="str">
        <f t="shared" si="22"/>
        <v>Error?</v>
      </c>
    </row>
    <row r="1478" spans="1:4" x14ac:dyDescent="0.2">
      <c r="A1478" s="5">
        <v>1417</v>
      </c>
      <c r="B1478" s="1890">
        <f>'Expenditures 15-22'!K235</f>
        <v>2801</v>
      </c>
      <c r="C1478" s="2" t="s">
        <v>569</v>
      </c>
      <c r="D1478" s="2" t="str">
        <f t="shared" si="22"/>
        <v>Error?</v>
      </c>
    </row>
    <row r="1479" spans="1:4" x14ac:dyDescent="0.2">
      <c r="A1479" s="5">
        <v>1418</v>
      </c>
      <c r="B1479" s="1890">
        <f>'Expenditures 15-22'!K236</f>
        <v>4009</v>
      </c>
      <c r="C1479" s="2" t="s">
        <v>569</v>
      </c>
      <c r="D1479" s="2" t="str">
        <f t="shared" si="22"/>
        <v>Error?</v>
      </c>
    </row>
    <row r="1480" spans="1:4" x14ac:dyDescent="0.2">
      <c r="A1480" s="5">
        <v>1419</v>
      </c>
      <c r="B1480" s="1890">
        <f>'Expenditures 15-22'!K237</f>
        <v>18363</v>
      </c>
      <c r="C1480" s="2" t="s">
        <v>569</v>
      </c>
      <c r="D1480" s="2" t="str">
        <f t="shared" si="22"/>
        <v>Error?</v>
      </c>
    </row>
    <row r="1481" spans="1:4" x14ac:dyDescent="0.2">
      <c r="A1481" s="5">
        <v>1420</v>
      </c>
      <c r="B1481" s="1890">
        <f>'Expenditures 15-22'!K238</f>
        <v>54493</v>
      </c>
      <c r="C1481" s="2" t="s">
        <v>569</v>
      </c>
      <c r="D1481" s="2" t="str">
        <f t="shared" si="22"/>
        <v>Error?</v>
      </c>
    </row>
    <row r="1482" spans="1:4" x14ac:dyDescent="0.2">
      <c r="A1482" s="5">
        <v>1421</v>
      </c>
      <c r="B1482" s="1890">
        <f>'Expenditures 15-22'!K240</f>
        <v>44685</v>
      </c>
      <c r="C1482" s="2" t="s">
        <v>569</v>
      </c>
      <c r="D1482" s="2" t="str">
        <f t="shared" si="22"/>
        <v>Error?</v>
      </c>
    </row>
    <row r="1483" spans="1:4" x14ac:dyDescent="0.2">
      <c r="A1483" s="5">
        <v>1422</v>
      </c>
      <c r="B1483" s="1890">
        <f>'Expenditures 15-22'!K241</f>
        <v>18750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63435</v>
      </c>
      <c r="C1485" s="2" t="s">
        <v>569</v>
      </c>
      <c r="D1485" s="2" t="str">
        <f t="shared" si="22"/>
        <v>Error?</v>
      </c>
    </row>
    <row r="1486" spans="1:4" x14ac:dyDescent="0.2">
      <c r="A1486" s="5">
        <v>1425</v>
      </c>
      <c r="B1486" s="1890">
        <f>'Expenditures 15-22'!K245</f>
        <v>14777</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14777</v>
      </c>
      <c r="C1488" s="2" t="s">
        <v>569</v>
      </c>
      <c r="D1488" s="2" t="str">
        <f t="shared" si="22"/>
        <v>Error?</v>
      </c>
    </row>
    <row r="1489" spans="1:4" x14ac:dyDescent="0.2">
      <c r="A1489" s="5">
        <v>1428</v>
      </c>
      <c r="B1489" s="1890">
        <f>'Expenditures 15-22'!K259</f>
        <v>54002</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54002</v>
      </c>
      <c r="C1491" s="2" t="s">
        <v>569</v>
      </c>
      <c r="D1491" s="2" t="str">
        <f t="shared" si="22"/>
        <v>Error?</v>
      </c>
    </row>
    <row r="1492" spans="1:4" x14ac:dyDescent="0.2">
      <c r="A1492" s="5">
        <v>1431</v>
      </c>
      <c r="B1492" s="1890">
        <f>'Expenditures 15-22'!K263</f>
        <v>1819</v>
      </c>
      <c r="C1492" s="2" t="s">
        <v>569</v>
      </c>
      <c r="D1492" s="2" t="str">
        <f t="shared" si="22"/>
        <v>Error?</v>
      </c>
    </row>
    <row r="1493" spans="1:4" x14ac:dyDescent="0.2">
      <c r="A1493" s="5">
        <v>1432</v>
      </c>
      <c r="B1493" s="1890">
        <f>'Expenditures 15-22'!K264</f>
        <v>19991</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132406</v>
      </c>
      <c r="C1495" s="2" t="s">
        <v>569</v>
      </c>
      <c r="D1495" s="2" t="str">
        <f t="shared" si="22"/>
        <v>Error?</v>
      </c>
    </row>
    <row r="1496" spans="1:4" x14ac:dyDescent="0.2">
      <c r="A1496" s="5">
        <v>1435</v>
      </c>
      <c r="B1496" s="1890">
        <f>'Expenditures 15-22'!K267</f>
        <v>98107</v>
      </c>
      <c r="C1496" s="2" t="s">
        <v>569</v>
      </c>
      <c r="D1496" s="2" t="str">
        <f t="shared" si="22"/>
        <v>Error?</v>
      </c>
    </row>
    <row r="1497" spans="1:4" x14ac:dyDescent="0.2">
      <c r="A1497" s="5">
        <v>1436</v>
      </c>
      <c r="B1497" s="1890">
        <f>'Expenditures 15-22'!K268</f>
        <v>904</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253227</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46</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46</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439980</v>
      </c>
      <c r="C1510" s="2" t="s">
        <v>569</v>
      </c>
      <c r="D1510" s="2" t="str">
        <f t="shared" si="22"/>
        <v>Error?</v>
      </c>
    </row>
    <row r="1511" spans="1:4" x14ac:dyDescent="0.2">
      <c r="A1511" s="5">
        <v>1450</v>
      </c>
      <c r="B1511" s="1890">
        <f>'Expenditures 15-22'!K280</f>
        <v>54</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702748</v>
      </c>
      <c r="C1517" s="2" t="s">
        <v>569</v>
      </c>
      <c r="D1517" s="2" t="str">
        <f t="shared" si="22"/>
        <v>Error?</v>
      </c>
    </row>
    <row r="1518" spans="1:4" x14ac:dyDescent="0.2">
      <c r="A1518" s="5">
        <v>1457</v>
      </c>
      <c r="B1518" s="1890">
        <f>'Expenditures 15-22'!K296</f>
        <v>46044</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18753</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16146249</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17532085</v>
      </c>
      <c r="C1630" s="2" t="s">
        <v>569</v>
      </c>
      <c r="D1630" s="2" t="str">
        <f t="shared" si="24"/>
        <v>Error?</v>
      </c>
    </row>
    <row r="1631" spans="1:4" x14ac:dyDescent="0.2">
      <c r="A1631" s="5">
        <v>1570</v>
      </c>
      <c r="B1631" s="1890">
        <f>'Acct Summary 7-8'!D79</f>
        <v>1873703</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2047174</v>
      </c>
      <c r="C1644" s="2" t="s">
        <v>569</v>
      </c>
      <c r="D1644" s="2" t="str">
        <f t="shared" si="24"/>
        <v>Error?</v>
      </c>
    </row>
    <row r="1645" spans="1:4" x14ac:dyDescent="0.2">
      <c r="A1645" s="5">
        <v>1584</v>
      </c>
      <c r="B1645" s="1890">
        <f>'Acct Summary 7-8'!E79</f>
        <v>4656585</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4753936</v>
      </c>
      <c r="C1658" s="2" t="s">
        <v>569</v>
      </c>
      <c r="D1658" s="2" t="str">
        <f t="shared" si="24"/>
        <v>Error?</v>
      </c>
    </row>
    <row r="1659" spans="1:4" x14ac:dyDescent="0.2">
      <c r="A1659" s="5">
        <v>1598</v>
      </c>
      <c r="B1659" s="1890">
        <f>'Acct Summary 7-8'!F79</f>
        <v>1339266</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1458230</v>
      </c>
      <c r="C1672" s="2" t="s">
        <v>569</v>
      </c>
      <c r="D1672" s="2" t="str">
        <f t="shared" si="25"/>
        <v>Error?</v>
      </c>
    </row>
    <row r="1673" spans="1:4" x14ac:dyDescent="0.2">
      <c r="A1673" s="5">
        <v>1612</v>
      </c>
      <c r="B1673" s="1890">
        <f>'Acct Summary 7-8'!G79</f>
        <v>382778</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428822</v>
      </c>
      <c r="C1686" s="2" t="s">
        <v>569</v>
      </c>
      <c r="D1686" s="2" t="str">
        <f t="shared" si="25"/>
        <v>Error?</v>
      </c>
    </row>
    <row r="1687" spans="1:4" x14ac:dyDescent="0.2">
      <c r="A1687" s="5">
        <v>1626</v>
      </c>
      <c r="B1687" s="1890">
        <f>'Acct Summary 7-8'!H79</f>
        <v>1418667</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1906420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16563227</v>
      </c>
      <c r="C1744" s="2" t="s">
        <v>569</v>
      </c>
      <c r="D1744" s="2" t="str">
        <f t="shared" si="26"/>
        <v>Error?</v>
      </c>
    </row>
    <row r="1745" spans="1:5" x14ac:dyDescent="0.2">
      <c r="A1745" s="5">
        <v>1684</v>
      </c>
      <c r="B1745" s="1890">
        <f>'Tax Sched 23'!B5</f>
        <v>2460886</v>
      </c>
      <c r="C1745" s="2" t="s">
        <v>569</v>
      </c>
      <c r="D1745" s="2" t="str">
        <f t="shared" si="26"/>
        <v>Error?</v>
      </c>
    </row>
    <row r="1746" spans="1:5" x14ac:dyDescent="0.2">
      <c r="A1746" s="5">
        <v>1685</v>
      </c>
      <c r="B1746" s="1890">
        <f>'Tax Sched 23'!B6</f>
        <v>5101690</v>
      </c>
      <c r="C1746" s="2" t="s">
        <v>569</v>
      </c>
      <c r="D1746" s="2" t="str">
        <f t="shared" si="26"/>
        <v>Error?</v>
      </c>
    </row>
    <row r="1747" spans="1:5" x14ac:dyDescent="0.2">
      <c r="A1747" s="5">
        <v>1686</v>
      </c>
      <c r="B1747" s="1890">
        <f>'Tax Sched 23'!B7</f>
        <v>1063411</v>
      </c>
      <c r="C1747" s="2" t="s">
        <v>569</v>
      </c>
      <c r="D1747" s="2" t="str">
        <f t="shared" si="26"/>
        <v>Error?</v>
      </c>
    </row>
    <row r="1748" spans="1:5" x14ac:dyDescent="0.2">
      <c r="A1748" s="5">
        <v>1687</v>
      </c>
      <c r="B1748" s="1890">
        <f>'Tax Sched 23'!B8</f>
        <v>329194</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240519</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26178525</v>
      </c>
      <c r="C1759" s="2" t="s">
        <v>569</v>
      </c>
      <c r="D1759" s="2" t="str">
        <f t="shared" si="26"/>
        <v>Error?</v>
      </c>
    </row>
    <row r="1760" spans="1:5" x14ac:dyDescent="0.2">
      <c r="A1760" s="5">
        <v>1699</v>
      </c>
      <c r="B1760" s="1890">
        <f>'Tax Sched 23'!D4</f>
        <v>7592953</v>
      </c>
      <c r="C1760" s="2" t="s">
        <v>569</v>
      </c>
      <c r="D1760" s="2" t="str">
        <f t="shared" si="26"/>
        <v>Error?</v>
      </c>
    </row>
    <row r="1761" spans="1:7" x14ac:dyDescent="0.2">
      <c r="A1761" s="5">
        <v>1700</v>
      </c>
      <c r="B1761" s="1890">
        <f>'Tax Sched 23'!D5</f>
        <v>1135074</v>
      </c>
      <c r="C1761" s="2" t="s">
        <v>569</v>
      </c>
      <c r="D1761" s="2" t="str">
        <f t="shared" si="26"/>
        <v>Error?</v>
      </c>
    </row>
    <row r="1762" spans="1:7" s="8" customFormat="1" x14ac:dyDescent="0.2">
      <c r="A1762" s="5">
        <v>1701</v>
      </c>
      <c r="B1762" s="1890">
        <f>'Tax Sched 23'!D6</f>
        <v>2363395</v>
      </c>
      <c r="C1762" s="2" t="s">
        <v>569</v>
      </c>
      <c r="D1762" s="2" t="str">
        <f t="shared" si="26"/>
        <v>Error?</v>
      </c>
      <c r="E1762" s="9"/>
      <c r="G1762"/>
    </row>
    <row r="1763" spans="1:7" x14ac:dyDescent="0.2">
      <c r="A1763" s="5">
        <v>1702</v>
      </c>
      <c r="B1763" s="1890">
        <f>'Tax Sched 23'!D7</f>
        <v>497789</v>
      </c>
      <c r="C1763" s="2" t="s">
        <v>569</v>
      </c>
      <c r="D1763" s="2" t="str">
        <f t="shared" si="26"/>
        <v>Error?</v>
      </c>
    </row>
    <row r="1764" spans="1:7" x14ac:dyDescent="0.2">
      <c r="A1764" s="5">
        <v>1703</v>
      </c>
      <c r="B1764" s="1890">
        <f>'Tax Sched 23'!D8</f>
        <v>152398</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111325</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12045268</v>
      </c>
      <c r="C1775" s="2" t="s">
        <v>569</v>
      </c>
      <c r="D1775" s="2" t="str">
        <f t="shared" si="26"/>
        <v>Error?</v>
      </c>
    </row>
    <row r="1776" spans="1:7" x14ac:dyDescent="0.2">
      <c r="A1776" s="5">
        <v>1715</v>
      </c>
      <c r="B1776" s="1890">
        <f>'Tax Sched 23'!C4</f>
        <v>8970274</v>
      </c>
      <c r="D1776" s="2" t="str">
        <f t="shared" si="26"/>
        <v>Error?</v>
      </c>
    </row>
    <row r="1777" spans="1:4" x14ac:dyDescent="0.2">
      <c r="A1777" s="5">
        <v>1716</v>
      </c>
      <c r="B1777" s="1890">
        <f>'Tax Sched 23'!C5</f>
        <v>1325812</v>
      </c>
      <c r="D1777" s="2" t="str">
        <f t="shared" si="26"/>
        <v>Error?</v>
      </c>
    </row>
    <row r="1778" spans="1:4" x14ac:dyDescent="0.2">
      <c r="A1778" s="5">
        <v>1717</v>
      </c>
      <c r="B1778" s="1890">
        <f>'Tax Sched 23'!C6</f>
        <v>2738295</v>
      </c>
      <c r="D1778" s="2" t="str">
        <f t="shared" si="26"/>
        <v>Error?</v>
      </c>
    </row>
    <row r="1779" spans="1:4" x14ac:dyDescent="0.2">
      <c r="A1779" s="5">
        <v>1718</v>
      </c>
      <c r="B1779" s="1890">
        <f>'Tax Sched 23'!C7</f>
        <v>565622</v>
      </c>
      <c r="D1779" s="2" t="str">
        <f t="shared" si="26"/>
        <v>Error?</v>
      </c>
    </row>
    <row r="1780" spans="1:4" x14ac:dyDescent="0.2">
      <c r="A1780" s="5">
        <v>1719</v>
      </c>
      <c r="B1780" s="1890">
        <f>'Tax Sched 23'!C8</f>
        <v>176796</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129194</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14133257</v>
      </c>
      <c r="C1791" s="2" t="s">
        <v>569</v>
      </c>
      <c r="D1791" s="2" t="str">
        <f t="shared" ref="D1791:D1854" si="27">IF(ISBLANK(B1791),"OK",IF(A1791-B1791=0,"OK","Error?"))</f>
        <v>Error?</v>
      </c>
    </row>
    <row r="1792" spans="1:4" x14ac:dyDescent="0.2">
      <c r="A1792" s="5">
        <v>1731</v>
      </c>
      <c r="B1792" s="1890">
        <f>'Tax Sched 23'!F4</f>
        <v>8541078</v>
      </c>
      <c r="C1792" s="2" t="s">
        <v>569</v>
      </c>
      <c r="D1792" s="2" t="str">
        <f t="shared" si="27"/>
        <v>Error?</v>
      </c>
    </row>
    <row r="1793" spans="1:4" x14ac:dyDescent="0.2">
      <c r="A1793" s="5">
        <v>1732</v>
      </c>
      <c r="B1793" s="1890">
        <f>'Tax Sched 23'!F5</f>
        <v>1261606</v>
      </c>
      <c r="C1793" s="2" t="s">
        <v>569</v>
      </c>
      <c r="D1793" s="2" t="str">
        <f t="shared" si="27"/>
        <v>Error?</v>
      </c>
    </row>
    <row r="1794" spans="1:4" x14ac:dyDescent="0.2">
      <c r="A1794" s="5">
        <v>1733</v>
      </c>
      <c r="B1794" s="1890">
        <f>'Tax Sched 23'!F6</f>
        <v>2606335</v>
      </c>
      <c r="C1794" s="2" t="s">
        <v>569</v>
      </c>
      <c r="D1794" s="2" t="str">
        <f t="shared" si="27"/>
        <v>Error?</v>
      </c>
    </row>
    <row r="1795" spans="1:4" x14ac:dyDescent="0.2">
      <c r="A1795" s="5">
        <v>1734</v>
      </c>
      <c r="B1795" s="1890">
        <f>'Tax Sched 23'!F7</f>
        <v>538228</v>
      </c>
      <c r="C1795" s="2" t="s">
        <v>569</v>
      </c>
      <c r="D1795" s="2" t="str">
        <f t="shared" si="27"/>
        <v>Error?</v>
      </c>
    </row>
    <row r="1796" spans="1:4" x14ac:dyDescent="0.2">
      <c r="A1796" s="5">
        <v>1735</v>
      </c>
      <c r="B1796" s="1890">
        <f>'Tax Sched 23'!F8</f>
        <v>168235</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122919</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13454660</v>
      </c>
      <c r="C1807" s="2" t="s">
        <v>569</v>
      </c>
      <c r="D1807" s="2" t="str">
        <f t="shared" si="27"/>
        <v>Error?</v>
      </c>
    </row>
    <row r="1808" spans="1:4" x14ac:dyDescent="0.2">
      <c r="A1808" s="5">
        <v>1747</v>
      </c>
      <c r="B1808" s="1890">
        <f>'Tax Sched 23'!E4</f>
        <v>17511352</v>
      </c>
      <c r="D1808" s="2" t="str">
        <f t="shared" si="27"/>
        <v>Error?</v>
      </c>
    </row>
    <row r="1809" spans="1:4" x14ac:dyDescent="0.2">
      <c r="A1809" s="5">
        <v>1748</v>
      </c>
      <c r="B1809" s="1890">
        <f>'Tax Sched 23'!E5</f>
        <v>2587418</v>
      </c>
      <c r="D1809" s="2" t="str">
        <f t="shared" si="27"/>
        <v>Error?</v>
      </c>
    </row>
    <row r="1810" spans="1:4" x14ac:dyDescent="0.2">
      <c r="A1810" s="5">
        <v>1749</v>
      </c>
      <c r="B1810" s="1890">
        <f>'Tax Sched 23'!E6</f>
        <v>5344630</v>
      </c>
      <c r="D1810" s="2" t="str">
        <f t="shared" si="27"/>
        <v>Error?</v>
      </c>
    </row>
    <row r="1811" spans="1:4" x14ac:dyDescent="0.2">
      <c r="A1811" s="5">
        <v>1750</v>
      </c>
      <c r="B1811" s="1890">
        <f>'Tax Sched 23'!E7</f>
        <v>1103850</v>
      </c>
      <c r="D1811" s="2" t="str">
        <f t="shared" si="27"/>
        <v>Error?</v>
      </c>
    </row>
    <row r="1812" spans="1:4" x14ac:dyDescent="0.2">
      <c r="A1812" s="5">
        <v>1751</v>
      </c>
      <c r="B1812" s="1890">
        <f>'Tax Sched 23'!E8</f>
        <v>345031</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252113</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27587917</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5486827</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240519</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240519</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240519</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1507280</v>
      </c>
      <c r="D2008" s="2" t="str">
        <f t="shared" si="30"/>
        <v>Error?</v>
      </c>
    </row>
    <row r="2009" spans="1:4" x14ac:dyDescent="0.2">
      <c r="A2009" s="5">
        <v>1948</v>
      </c>
      <c r="B2009" s="1890">
        <f>'Cap Outlay Deprec 26'!C8</f>
        <v>33544704</v>
      </c>
      <c r="D2009" s="2" t="str">
        <f t="shared" si="30"/>
        <v>Error?</v>
      </c>
    </row>
    <row r="2010" spans="1:4" x14ac:dyDescent="0.2">
      <c r="A2010" s="5">
        <v>1949</v>
      </c>
      <c r="B2010" s="1890">
        <f>'Cap Outlay Deprec 26'!C10</f>
        <v>1665009</v>
      </c>
      <c r="D2010" s="2" t="str">
        <f t="shared" si="30"/>
        <v>Error?</v>
      </c>
    </row>
    <row r="2011" spans="1:4" x14ac:dyDescent="0.2">
      <c r="A2011" s="5">
        <v>1950</v>
      </c>
      <c r="B2011" s="1890">
        <f>'Cap Outlay Deprec 26'!C12</f>
        <v>4357791</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41074784</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411053</v>
      </c>
      <c r="D2016" s="2" t="str">
        <f t="shared" si="30"/>
        <v>Error?</v>
      </c>
    </row>
    <row r="2017" spans="1:4" x14ac:dyDescent="0.2">
      <c r="A2017" s="5">
        <v>1956</v>
      </c>
      <c r="B2017" s="1890">
        <f>'Cap Outlay Deprec 26'!D12</f>
        <v>119114</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1300367</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49088</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49088</v>
      </c>
      <c r="C2025" s="2" t="s">
        <v>569</v>
      </c>
      <c r="D2025" s="2" t="str">
        <f t="shared" si="30"/>
        <v>Error?</v>
      </c>
    </row>
    <row r="2026" spans="1:4" x14ac:dyDescent="0.2">
      <c r="A2026" s="5">
        <v>1965</v>
      </c>
      <c r="B2026" s="1890">
        <f>'Cap Outlay Deprec 26'!F5</f>
        <v>1507280</v>
      </c>
      <c r="C2026" s="2" t="s">
        <v>569</v>
      </c>
      <c r="D2026" s="2" t="str">
        <f t="shared" si="30"/>
        <v>Error?</v>
      </c>
    </row>
    <row r="2027" spans="1:4" x14ac:dyDescent="0.2">
      <c r="A2027" s="5">
        <v>1966</v>
      </c>
      <c r="B2027" s="1890">
        <f>'Cap Outlay Deprec 26'!F8</f>
        <v>33544704</v>
      </c>
      <c r="C2027" s="2" t="s">
        <v>569</v>
      </c>
      <c r="D2027" s="2" t="str">
        <f t="shared" si="30"/>
        <v>Error?</v>
      </c>
    </row>
    <row r="2028" spans="1:4" x14ac:dyDescent="0.2">
      <c r="A2028" s="5">
        <v>1967</v>
      </c>
      <c r="B2028" s="1890">
        <f>'Cap Outlay Deprec 26'!F10</f>
        <v>2076062</v>
      </c>
      <c r="C2028" s="2" t="s">
        <v>569</v>
      </c>
      <c r="D2028" s="2" t="str">
        <f t="shared" si="30"/>
        <v>Error?</v>
      </c>
    </row>
    <row r="2029" spans="1:4" x14ac:dyDescent="0.2">
      <c r="A2029" s="5">
        <v>1968</v>
      </c>
      <c r="B2029" s="1890">
        <f>'Cap Outlay Deprec 26'!F12</f>
        <v>4427817</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42326063</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17871249</v>
      </c>
      <c r="D2033" s="2" t="str">
        <f t="shared" si="30"/>
        <v>Error?</v>
      </c>
    </row>
    <row r="2034" spans="1:4" x14ac:dyDescent="0.2">
      <c r="A2034" s="5">
        <v>1973</v>
      </c>
      <c r="B2034" s="1890">
        <f>'Cap Outlay Deprec 26'!H10</f>
        <v>884357</v>
      </c>
      <c r="D2034" s="2" t="str">
        <f t="shared" si="30"/>
        <v>Error?</v>
      </c>
    </row>
    <row r="2035" spans="1:4" x14ac:dyDescent="0.2">
      <c r="A2035" s="5">
        <v>1974</v>
      </c>
      <c r="B2035" s="1890">
        <f>'Cap Outlay Deprec 26'!H12</f>
        <v>3013011</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21768617</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858413</v>
      </c>
      <c r="D2039" s="2" t="str">
        <f t="shared" si="30"/>
        <v>Error?</v>
      </c>
    </row>
    <row r="2040" spans="1:4" x14ac:dyDescent="0.2">
      <c r="A2040" s="5">
        <v>1979</v>
      </c>
      <c r="B2040" s="1890">
        <f>'Cap Outlay Deprec 26'!I10</f>
        <v>64328</v>
      </c>
      <c r="D2040" s="2" t="str">
        <f t="shared" si="30"/>
        <v>Error?</v>
      </c>
    </row>
    <row r="2041" spans="1:4" x14ac:dyDescent="0.2">
      <c r="A2041" s="5">
        <v>1980</v>
      </c>
      <c r="B2041" s="1890">
        <f>'Cap Outlay Deprec 26'!I12</f>
        <v>195413</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1118154</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20110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20110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18729662</v>
      </c>
      <c r="C2051" s="2" t="s">
        <v>569</v>
      </c>
      <c r="D2051" s="2" t="str">
        <f t="shared" si="31"/>
        <v>Error?</v>
      </c>
    </row>
    <row r="2052" spans="1:4" x14ac:dyDescent="0.2">
      <c r="A2052" s="5">
        <v>1991</v>
      </c>
      <c r="B2052" s="1890">
        <f>'Cap Outlay Deprec 26'!K10</f>
        <v>948685</v>
      </c>
      <c r="C2052" s="2" t="s">
        <v>569</v>
      </c>
      <c r="D2052" s="2" t="str">
        <f t="shared" si="31"/>
        <v>Error?</v>
      </c>
    </row>
    <row r="2053" spans="1:4" x14ac:dyDescent="0.2">
      <c r="A2053" s="5">
        <v>1992</v>
      </c>
      <c r="B2053" s="1890">
        <f>'Cap Outlay Deprec 26'!K12</f>
        <v>3188314</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22866661</v>
      </c>
      <c r="C2055" s="2" t="s">
        <v>569</v>
      </c>
      <c r="D2055" s="2" t="str">
        <f t="shared" si="31"/>
        <v>Error?</v>
      </c>
    </row>
    <row r="2056" spans="1:4" x14ac:dyDescent="0.2">
      <c r="A2056" s="5">
        <v>1995</v>
      </c>
      <c r="B2056" s="1890">
        <f>'Cap Outlay Deprec 26'!L5</f>
        <v>1507280</v>
      </c>
      <c r="C2056" s="2" t="s">
        <v>569</v>
      </c>
      <c r="D2056" s="2" t="str">
        <f t="shared" si="31"/>
        <v>Error?</v>
      </c>
    </row>
    <row r="2057" spans="1:4" x14ac:dyDescent="0.2">
      <c r="A2057" s="5">
        <v>1996</v>
      </c>
      <c r="B2057" s="1890">
        <f>'Cap Outlay Deprec 26'!L8</f>
        <v>14815042</v>
      </c>
      <c r="C2057" s="2" t="s">
        <v>569</v>
      </c>
      <c r="D2057" s="2" t="str">
        <f t="shared" si="31"/>
        <v>Error?</v>
      </c>
    </row>
    <row r="2058" spans="1:4" x14ac:dyDescent="0.2">
      <c r="A2058" s="5">
        <v>1997</v>
      </c>
      <c r="B2058" s="1890">
        <f>'Cap Outlay Deprec 26'!L10</f>
        <v>1127377</v>
      </c>
      <c r="C2058" s="2" t="s">
        <v>569</v>
      </c>
      <c r="D2058" s="2" t="str">
        <f t="shared" si="31"/>
        <v>Error?</v>
      </c>
    </row>
    <row r="2059" spans="1:4" x14ac:dyDescent="0.2">
      <c r="A2059" s="5">
        <v>1998</v>
      </c>
      <c r="B2059" s="1890">
        <f>'Cap Outlay Deprec 26'!L12</f>
        <v>1239503</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19459402</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615381</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755823</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2047174</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1458230</v>
      </c>
      <c r="D2475" s="2" t="str">
        <f t="shared" si="37"/>
        <v>Error?</v>
      </c>
    </row>
    <row r="2476" spans="1:4" x14ac:dyDescent="0.2">
      <c r="A2476" s="10">
        <v>2415</v>
      </c>
      <c r="B2476" s="1890"/>
      <c r="D2476" s="2" t="str">
        <f t="shared" si="37"/>
        <v>OK</v>
      </c>
    </row>
    <row r="2477" spans="1:4" x14ac:dyDescent="0.2">
      <c r="A2477" s="5">
        <v>2416</v>
      </c>
      <c r="B2477" s="1890">
        <f>'Assets-Liab 5-6'!G38</f>
        <v>428822</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4753936</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1906420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19311719</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1966443</v>
      </c>
      <c r="C2553" s="2" t="s">
        <v>569</v>
      </c>
      <c r="D2553" s="2" t="str">
        <f t="shared" si="38"/>
        <v>Error?</v>
      </c>
    </row>
    <row r="2554" spans="1:4" x14ac:dyDescent="0.2">
      <c r="A2554" s="5">
        <v>2493</v>
      </c>
      <c r="B2554" s="1890">
        <f>'Acct Summary 7-8'!C7</f>
        <v>1158019</v>
      </c>
      <c r="C2554" s="2" t="s">
        <v>569</v>
      </c>
      <c r="D2554" s="2" t="str">
        <f t="shared" si="38"/>
        <v>Error?</v>
      </c>
    </row>
    <row r="2555" spans="1:4" x14ac:dyDescent="0.2">
      <c r="A2555" s="5">
        <v>2494</v>
      </c>
      <c r="B2555" s="1890">
        <f>'Acct Summary 7-8'!C8</f>
        <v>22436181</v>
      </c>
      <c r="C2555" s="2" t="s">
        <v>569</v>
      </c>
      <c r="D2555" s="2" t="str">
        <f t="shared" si="38"/>
        <v>Error?</v>
      </c>
    </row>
    <row r="2556" spans="1:4" x14ac:dyDescent="0.2">
      <c r="A2556" s="5">
        <v>2495</v>
      </c>
      <c r="B2556" s="1890">
        <f>'Acct Summary 7-8'!C12</f>
        <v>13494477</v>
      </c>
      <c r="C2556" s="2" t="s">
        <v>569</v>
      </c>
      <c r="D2556" s="2" t="str">
        <f t="shared" si="38"/>
        <v>Error?</v>
      </c>
    </row>
    <row r="2557" spans="1:4" x14ac:dyDescent="0.2">
      <c r="A2557" s="5">
        <v>2496</v>
      </c>
      <c r="B2557" s="1890">
        <f>'Acct Summary 7-8'!C13</f>
        <v>5569125</v>
      </c>
      <c r="C2557" s="2" t="s">
        <v>569</v>
      </c>
      <c r="D2557" s="2" t="str">
        <f t="shared" si="38"/>
        <v>Error?</v>
      </c>
    </row>
    <row r="2558" spans="1:4" x14ac:dyDescent="0.2">
      <c r="A2558" s="5">
        <v>2497</v>
      </c>
      <c r="B2558" s="1890">
        <f>'Acct Summary 7-8'!C14</f>
        <v>32113</v>
      </c>
      <c r="C2558" s="2" t="s">
        <v>569</v>
      </c>
      <c r="D2558" s="2" t="str">
        <f t="shared" si="38"/>
        <v>Error?</v>
      </c>
    </row>
    <row r="2559" spans="1:4" x14ac:dyDescent="0.2">
      <c r="A2559" s="5">
        <v>2498</v>
      </c>
      <c r="B2559" s="1890">
        <f>'Acct Summary 7-8'!C15</f>
        <v>755823</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19851538</v>
      </c>
      <c r="C2561" s="2" t="s">
        <v>569</v>
      </c>
      <c r="D2561" s="2" t="str">
        <f t="shared" si="39"/>
        <v>Error?</v>
      </c>
    </row>
    <row r="2562" spans="1:4" x14ac:dyDescent="0.2">
      <c r="A2562" s="5">
        <v>2501</v>
      </c>
      <c r="B2562" s="1890">
        <f>'Acct Summary 7-8'!C20</f>
        <v>2584643</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2778496</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2828496</v>
      </c>
      <c r="C2568" s="2" t="s">
        <v>569</v>
      </c>
      <c r="D2568" s="2" t="str">
        <f t="shared" si="39"/>
        <v>Error?</v>
      </c>
    </row>
    <row r="2569" spans="1:4" x14ac:dyDescent="0.2">
      <c r="A2569" s="5">
        <v>2508</v>
      </c>
      <c r="B2569" s="1890">
        <f>'Acct Summary 7-8'!D13</f>
        <v>3432025</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3432025</v>
      </c>
      <c r="C2573" s="2" t="s">
        <v>569</v>
      </c>
      <c r="D2573" s="2" t="str">
        <f t="shared" si="39"/>
        <v>Error?</v>
      </c>
    </row>
    <row r="2574" spans="1:4" x14ac:dyDescent="0.2">
      <c r="A2574" s="5">
        <v>2513</v>
      </c>
      <c r="B2574" s="1890">
        <f>'Acct Summary 7-8'!D20</f>
        <v>-603529</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1089972</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416864</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1506836</v>
      </c>
      <c r="C2595" s="2" t="s">
        <v>569</v>
      </c>
      <c r="D2595" s="2" t="str">
        <f t="shared" si="39"/>
        <v>Error?</v>
      </c>
    </row>
    <row r="2596" spans="1:4" x14ac:dyDescent="0.2">
      <c r="A2596" s="5">
        <v>2535</v>
      </c>
      <c r="B2596" s="1890">
        <f>'Acct Summary 7-8'!F13</f>
        <v>1380054</v>
      </c>
      <c r="C2596" s="2" t="s">
        <v>569</v>
      </c>
      <c r="D2596" s="2" t="str">
        <f t="shared" si="39"/>
        <v>Error?</v>
      </c>
    </row>
    <row r="2597" spans="1:4" x14ac:dyDescent="0.2">
      <c r="A2597" s="5">
        <v>2536</v>
      </c>
      <c r="B2597" s="1890">
        <f>'Acct Summary 7-8'!F14</f>
        <v>7818</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1387872</v>
      </c>
      <c r="C2600" s="2" t="s">
        <v>569</v>
      </c>
      <c r="D2600" s="2" t="str">
        <f t="shared" si="39"/>
        <v>Error?</v>
      </c>
    </row>
    <row r="2601" spans="1:4" x14ac:dyDescent="0.2">
      <c r="A2601" s="5">
        <v>2540</v>
      </c>
      <c r="B2601" s="1890">
        <f>'Acct Summary 7-8'!F20</f>
        <v>118964</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748792</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748792</v>
      </c>
      <c r="C2606" s="2" t="s">
        <v>569</v>
      </c>
      <c r="D2606" s="2" t="str">
        <f t="shared" si="39"/>
        <v>Error?</v>
      </c>
    </row>
    <row r="2607" spans="1:4" x14ac:dyDescent="0.2">
      <c r="A2607" s="5">
        <v>2546</v>
      </c>
      <c r="B2607" s="1890">
        <f>'Acct Summary 7-8'!G12</f>
        <v>262714</v>
      </c>
      <c r="C2607" s="2" t="s">
        <v>569</v>
      </c>
      <c r="D2607" s="2" t="str">
        <f t="shared" si="39"/>
        <v>Error?</v>
      </c>
    </row>
    <row r="2608" spans="1:4" x14ac:dyDescent="0.2">
      <c r="A2608" s="5">
        <v>2547</v>
      </c>
      <c r="B2608" s="1890">
        <f>'Acct Summary 7-8'!G13</f>
        <v>439980</v>
      </c>
      <c r="C2608" s="2" t="s">
        <v>569</v>
      </c>
      <c r="D2608" s="2" t="str">
        <f t="shared" si="39"/>
        <v>Error?</v>
      </c>
    </row>
    <row r="2609" spans="1:4" x14ac:dyDescent="0.2">
      <c r="A2609" s="5">
        <v>2548</v>
      </c>
      <c r="B2609" s="1890">
        <f>'Acct Summary 7-8'!G14</f>
        <v>54</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702748</v>
      </c>
      <c r="C2612" s="2" t="s">
        <v>569</v>
      </c>
      <c r="D2612" s="2" t="str">
        <f t="shared" si="39"/>
        <v>Error?</v>
      </c>
    </row>
    <row r="2613" spans="1:4" x14ac:dyDescent="0.2">
      <c r="A2613" s="5">
        <v>2552</v>
      </c>
      <c r="B2613" s="1890">
        <f>'Acct Summary 7-8'!G20</f>
        <v>46044</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5149255</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5149255</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5004711</v>
      </c>
      <c r="C2634" s="2" t="s">
        <v>569</v>
      </c>
      <c r="D2634" s="2" t="str">
        <f t="shared" si="40"/>
        <v>Error?</v>
      </c>
    </row>
    <row r="2635" spans="1:4" x14ac:dyDescent="0.2">
      <c r="A2635" s="5">
        <v>2574</v>
      </c>
      <c r="B2635" s="1890">
        <f>'Acct Summary 7-8'!E17</f>
        <v>5004711</v>
      </c>
      <c r="C2635" s="2" t="s">
        <v>569</v>
      </c>
      <c r="D2635" s="2" t="str">
        <f t="shared" si="40"/>
        <v>Error?</v>
      </c>
    </row>
    <row r="2636" spans="1:4" x14ac:dyDescent="0.2">
      <c r="A2636" s="5">
        <v>2575</v>
      </c>
      <c r="B2636" s="1890">
        <f>'Acct Summary 7-8'!E20</f>
        <v>144544</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18753</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18753</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18753</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47193</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140442</v>
      </c>
      <c r="C2789" s="2" t="s">
        <v>569</v>
      </c>
      <c r="D2789" s="2" t="str">
        <f t="shared" si="42"/>
        <v>Error?</v>
      </c>
    </row>
    <row r="2790" spans="1:4" x14ac:dyDescent="0.2">
      <c r="A2790" s="5">
        <v>2729</v>
      </c>
      <c r="B2790" s="1890">
        <f>'Expenditures 15-22'!E102</f>
        <v>140442</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47193</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7818</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7818</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770200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130474</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130474</v>
      </c>
      <c r="D2914" s="2" t="str">
        <f t="shared" si="44"/>
        <v>Error?</v>
      </c>
    </row>
    <row r="2915" spans="1:4" x14ac:dyDescent="0.2">
      <c r="A2915" s="10">
        <v>2854</v>
      </c>
      <c r="B2915" s="1890"/>
      <c r="D2915" s="2" t="str">
        <f t="shared" si="44"/>
        <v>OK</v>
      </c>
    </row>
    <row r="2916" spans="1:4" x14ac:dyDescent="0.2">
      <c r="A2916" s="5">
        <v>2855</v>
      </c>
      <c r="B2916" s="1890">
        <f>'Assets-Liab 5-6'!L34</f>
        <v>130474</v>
      </c>
      <c r="C2916" s="2" t="s">
        <v>569</v>
      </c>
      <c r="D2916" s="2" t="str">
        <f t="shared" si="44"/>
        <v>Error?</v>
      </c>
    </row>
    <row r="2917" spans="1:4" x14ac:dyDescent="0.2">
      <c r="A2917" s="5">
        <v>2856</v>
      </c>
      <c r="B2917" s="1890">
        <f>'Assets-Liab 5-6'!L41</f>
        <v>130474</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140442</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615381</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755823</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47193</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1246000</v>
      </c>
      <c r="C3231" s="2" t="s">
        <v>569</v>
      </c>
      <c r="D3231" s="2" t="str">
        <f t="shared" si="49"/>
        <v>Error?</v>
      </c>
    </row>
    <row r="3232" spans="1:4" x14ac:dyDescent="0.2">
      <c r="A3232" s="5">
        <v>3171</v>
      </c>
      <c r="B3232" s="1890">
        <f>'Acct Summary 7-8'!C77</f>
        <v>-1198807</v>
      </c>
      <c r="C3232" s="2" t="s">
        <v>569</v>
      </c>
      <c r="D3232" s="2" t="str">
        <f t="shared" si="49"/>
        <v>Error?</v>
      </c>
    </row>
    <row r="3233" spans="1:4" x14ac:dyDescent="0.2">
      <c r="A3233" s="5">
        <v>3172</v>
      </c>
      <c r="B3233" s="1890">
        <f>'Acct Summary 7-8'!C78</f>
        <v>1385836</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1246000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469000</v>
      </c>
      <c r="C3237" s="2" t="s">
        <v>569</v>
      </c>
      <c r="D3237" s="2" t="str">
        <f t="shared" si="49"/>
        <v>Error?</v>
      </c>
    </row>
    <row r="3238" spans="1:4" x14ac:dyDescent="0.2">
      <c r="A3238" s="5">
        <v>3177</v>
      </c>
      <c r="B3238" s="1890">
        <f>'Acct Summary 7-8'!D77</f>
        <v>777000</v>
      </c>
      <c r="C3238" s="2" t="s">
        <v>569</v>
      </c>
      <c r="D3238" s="2" t="str">
        <f t="shared" si="49"/>
        <v>Error?</v>
      </c>
    </row>
    <row r="3239" spans="1:4" x14ac:dyDescent="0.2">
      <c r="A3239" s="5">
        <v>3178</v>
      </c>
      <c r="B3239" s="1890">
        <f>'Acct Summary 7-8'!D78</f>
        <v>173471</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118964</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46044</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47193</v>
      </c>
      <c r="C3276" s="2" t="s">
        <v>569</v>
      </c>
      <c r="D3276" s="2" t="str">
        <f t="shared" si="50"/>
        <v>Error?</v>
      </c>
    </row>
    <row r="3277" spans="1:4" x14ac:dyDescent="0.2">
      <c r="A3277" s="5">
        <v>3216</v>
      </c>
      <c r="B3277" s="1890">
        <f>'Acct Summary 7-8'!E77</f>
        <v>-47193</v>
      </c>
      <c r="C3277" s="2" t="s">
        <v>569</v>
      </c>
      <c r="D3277" s="2" t="str">
        <f t="shared" si="50"/>
        <v>Error?</v>
      </c>
    </row>
    <row r="3278" spans="1:4" x14ac:dyDescent="0.2">
      <c r="A3278" s="5">
        <v>3217</v>
      </c>
      <c r="B3278" s="1890">
        <f>'Acct Summary 7-8'!E78</f>
        <v>97351</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469000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469000</v>
      </c>
      <c r="C3299" s="2" t="s">
        <v>569</v>
      </c>
      <c r="D3299" s="2" t="str">
        <f t="shared" si="50"/>
        <v>Error?</v>
      </c>
    </row>
    <row r="3300" spans="1:4" x14ac:dyDescent="0.2">
      <c r="A3300" s="5">
        <v>3239</v>
      </c>
      <c r="B3300" s="1890">
        <f>'Acct Summary 7-8'!H78</f>
        <v>487753</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1923588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33299</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65409</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40295</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538</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2063129</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107366</v>
      </c>
      <c r="D3387" s="2" t="str">
        <f t="shared" si="51"/>
        <v>Error?</v>
      </c>
    </row>
    <row r="3388" spans="1:4" x14ac:dyDescent="0.2">
      <c r="A3388" s="5">
        <v>3327</v>
      </c>
      <c r="B3388" s="1890">
        <f>'Expenditures 15-22'!D217</f>
        <v>142604</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107366</v>
      </c>
      <c r="C3390" s="2" t="s">
        <v>569</v>
      </c>
      <c r="D3390" s="2" t="str">
        <f t="shared" si="51"/>
        <v>Error?</v>
      </c>
    </row>
    <row r="3391" spans="1:4" x14ac:dyDescent="0.2">
      <c r="A3391" s="5">
        <v>3330</v>
      </c>
      <c r="B3391" s="1890">
        <f>'Expenditures 15-22'!K217</f>
        <v>142604</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19201843</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2214282</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4819916</v>
      </c>
      <c r="D3417" s="2" t="str">
        <f t="shared" si="52"/>
        <v>Error?</v>
      </c>
    </row>
    <row r="3418" spans="1:4" x14ac:dyDescent="0.2">
      <c r="A3418" s="10">
        <v>3357</v>
      </c>
      <c r="B3418" s="1890"/>
      <c r="D3418" s="2" t="str">
        <f t="shared" si="52"/>
        <v>OK</v>
      </c>
    </row>
    <row r="3419" spans="1:4" x14ac:dyDescent="0.2">
      <c r="A3419" s="5">
        <v>3358</v>
      </c>
      <c r="B3419" s="1890">
        <f>'Assets-Liab 5-6'!F4</f>
        <v>1413985</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562267</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1906420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130474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419598</v>
      </c>
      <c r="C3446" s="2" t="s">
        <v>569</v>
      </c>
      <c r="D3446" s="2" t="str">
        <f t="shared" si="52"/>
        <v>Error?</v>
      </c>
    </row>
    <row r="3447" spans="1:4" x14ac:dyDescent="0.2">
      <c r="A3447" s="5">
        <v>3386</v>
      </c>
      <c r="B3447" s="1890">
        <f>'Tax Sched 23'!D16</f>
        <v>192334</v>
      </c>
      <c r="C3447" s="2" t="s">
        <v>569</v>
      </c>
      <c r="D3447" s="2" t="str">
        <f t="shared" si="52"/>
        <v>Error?</v>
      </c>
    </row>
    <row r="3448" spans="1:4" x14ac:dyDescent="0.2">
      <c r="A3448" s="5">
        <v>3387</v>
      </c>
      <c r="B3448" s="1890">
        <f>'Tax Sched 23'!C16</f>
        <v>227264</v>
      </c>
      <c r="D3448" s="2" t="str">
        <f t="shared" si="52"/>
        <v>Error?</v>
      </c>
    </row>
    <row r="3449" spans="1:4" x14ac:dyDescent="0.2">
      <c r="A3449" s="5">
        <v>3388</v>
      </c>
      <c r="B3449" s="1890">
        <f>'Tax Sched 23'!F16</f>
        <v>216259</v>
      </c>
      <c r="C3449" s="2" t="s">
        <v>569</v>
      </c>
      <c r="D3449" s="2" t="str">
        <f t="shared" si="52"/>
        <v>Error?</v>
      </c>
    </row>
    <row r="3450" spans="1:4" x14ac:dyDescent="0.2">
      <c r="A3450" s="5">
        <v>3389</v>
      </c>
      <c r="B3450" s="1890">
        <f>'Tax Sched 23'!E16</f>
        <v>443523</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770200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770200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770200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31775</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31775</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24002</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24002</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9029733</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31465914</v>
      </c>
      <c r="C4122" s="2" t="s">
        <v>569</v>
      </c>
      <c r="D4122" s="2" t="str">
        <f t="shared" si="63"/>
        <v>Error?</v>
      </c>
    </row>
    <row r="4123" spans="1:4" x14ac:dyDescent="0.2">
      <c r="A4123" s="5">
        <v>4062</v>
      </c>
      <c r="B4123" s="1890">
        <f>'Acct Summary 7-8'!D10</f>
        <v>2828496</v>
      </c>
      <c r="C4123" s="2" t="s">
        <v>569</v>
      </c>
      <c r="D4123" s="2" t="str">
        <f t="shared" si="63"/>
        <v>Error?</v>
      </c>
    </row>
    <row r="4124" spans="1:4" x14ac:dyDescent="0.2">
      <c r="A4124" s="5">
        <v>4063</v>
      </c>
      <c r="B4124" s="1890">
        <f>'Acct Summary 7-8'!E10</f>
        <v>5149255</v>
      </c>
      <c r="C4124" s="2" t="s">
        <v>569</v>
      </c>
      <c r="D4124" s="2" t="str">
        <f t="shared" si="63"/>
        <v>Error?</v>
      </c>
    </row>
    <row r="4125" spans="1:4" x14ac:dyDescent="0.2">
      <c r="A4125" s="5">
        <v>4064</v>
      </c>
      <c r="B4125" s="1890">
        <f>'Acct Summary 7-8'!F10</f>
        <v>1506836</v>
      </c>
      <c r="C4125" s="2" t="s">
        <v>569</v>
      </c>
      <c r="D4125" s="2" t="str">
        <f t="shared" si="63"/>
        <v>Error?</v>
      </c>
    </row>
    <row r="4126" spans="1:4" x14ac:dyDescent="0.2">
      <c r="A4126" s="5">
        <v>4065</v>
      </c>
      <c r="B4126" s="1890">
        <f>'Acct Summary 7-8'!G10</f>
        <v>748792</v>
      </c>
      <c r="C4126" s="2" t="s">
        <v>569</v>
      </c>
      <c r="D4126" s="2" t="str">
        <f t="shared" si="63"/>
        <v>Error?</v>
      </c>
    </row>
    <row r="4127" spans="1:4" x14ac:dyDescent="0.2">
      <c r="A4127" s="5">
        <v>4066</v>
      </c>
      <c r="B4127" s="1890">
        <f>'Acct Summary 7-8'!H10</f>
        <v>18753</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9029733</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28881271</v>
      </c>
      <c r="C4136" s="2" t="s">
        <v>569</v>
      </c>
      <c r="D4136" s="2" t="str">
        <f t="shared" si="63"/>
        <v>Error?</v>
      </c>
    </row>
    <row r="4137" spans="1:4" x14ac:dyDescent="0.2">
      <c r="A4137" s="5">
        <v>4076</v>
      </c>
      <c r="B4137" s="1890">
        <f>'Acct Summary 7-8'!D19</f>
        <v>3432025</v>
      </c>
      <c r="C4137" s="2" t="s">
        <v>569</v>
      </c>
      <c r="D4137" s="2" t="str">
        <f t="shared" si="63"/>
        <v>Error?</v>
      </c>
    </row>
    <row r="4138" spans="1:4" x14ac:dyDescent="0.2">
      <c r="A4138" s="5">
        <v>4077</v>
      </c>
      <c r="B4138" s="1890">
        <f>'Acct Summary 7-8'!E19</f>
        <v>5004711</v>
      </c>
      <c r="C4138" s="2" t="s">
        <v>569</v>
      </c>
      <c r="D4138" s="2" t="str">
        <f t="shared" si="63"/>
        <v>Error?</v>
      </c>
    </row>
    <row r="4139" spans="1:4" x14ac:dyDescent="0.2">
      <c r="A4139" s="5">
        <v>4078</v>
      </c>
      <c r="B4139" s="1890">
        <f>'Acct Summary 7-8'!F19</f>
        <v>1387872</v>
      </c>
      <c r="C4139" s="2" t="s">
        <v>569</v>
      </c>
      <c r="D4139" s="2" t="str">
        <f t="shared" si="63"/>
        <v>Error?</v>
      </c>
    </row>
    <row r="4140" spans="1:4" x14ac:dyDescent="0.2">
      <c r="A4140" s="5">
        <v>4079</v>
      </c>
      <c r="B4140" s="1890">
        <f>'Acct Summary 7-8'!G19</f>
        <v>702748</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3732835</v>
      </c>
      <c r="C4171" s="2" t="s">
        <v>569</v>
      </c>
      <c r="D4171" s="2" t="str">
        <f t="shared" si="64"/>
        <v>Error?</v>
      </c>
    </row>
    <row r="4172" spans="1:4" x14ac:dyDescent="0.2">
      <c r="A4172" s="5">
        <v>4111</v>
      </c>
      <c r="B4172" s="1890">
        <f>'Short-Term Long-Term Debt 24'!J49</f>
        <v>3732835</v>
      </c>
      <c r="C4172" s="2" t="s">
        <v>569</v>
      </c>
      <c r="D4172" s="2" t="str">
        <f t="shared" si="64"/>
        <v>Error?</v>
      </c>
    </row>
    <row r="4173" spans="1:4" x14ac:dyDescent="0.2">
      <c r="A4173" s="5">
        <v>4112</v>
      </c>
      <c r="B4173" s="1890">
        <f>'Short-Term Long-Term Debt 24'!H49</f>
        <v>1753992</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1435.5</v>
      </c>
      <c r="C4265" s="2" t="s">
        <v>569</v>
      </c>
      <c r="D4265" s="2" t="str">
        <f t="shared" si="65"/>
        <v>Error?</v>
      </c>
      <c r="E4265" s="125"/>
    </row>
    <row r="4266" spans="1:5" x14ac:dyDescent="0.2">
      <c r="A4266" s="12">
        <v>4205</v>
      </c>
      <c r="B4266" s="1890">
        <f>('FP Info 3'!F10)*100000</f>
        <v>217.70000000000002</v>
      </c>
      <c r="C4266" s="2" t="s">
        <v>569</v>
      </c>
      <c r="D4266" s="2" t="str">
        <f t="shared" si="65"/>
        <v>Error?</v>
      </c>
      <c r="E4266" s="125"/>
    </row>
    <row r="4267" spans="1:5" x14ac:dyDescent="0.2">
      <c r="A4267" s="12">
        <v>4206</v>
      </c>
      <c r="B4267" s="1890">
        <f>('FP Info 3'!H10)*100000</f>
        <v>92.9</v>
      </c>
      <c r="C4267" s="2" t="s">
        <v>569</v>
      </c>
      <c r="D4267" s="2" t="str">
        <f t="shared" si="65"/>
        <v>Error?</v>
      </c>
      <c r="E4267" s="125"/>
    </row>
    <row r="4268" spans="1:5" x14ac:dyDescent="0.2">
      <c r="A4268" s="12">
        <v>4207</v>
      </c>
      <c r="B4268" s="1890">
        <f>('FP Info 3'!J10)*100000</f>
        <v>1746</v>
      </c>
      <c r="C4268" s="2" t="s">
        <v>569</v>
      </c>
      <c r="D4268" s="2" t="str">
        <f t="shared" si="65"/>
        <v>Error?</v>
      </c>
    </row>
    <row r="4269" spans="1:5" x14ac:dyDescent="0.2">
      <c r="A4269" s="12">
        <v>4208</v>
      </c>
      <c r="B4269" s="1890">
        <f>'FP Info 3'!J16</f>
        <v>21037489</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4535</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18634</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77727</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1205717089</v>
      </c>
      <c r="D4995" s="2" t="str">
        <f t="shared" si="77"/>
        <v>Error?</v>
      </c>
    </row>
    <row r="4996" spans="1:4" x14ac:dyDescent="0.2">
      <c r="A4996" s="12">
        <v>4935</v>
      </c>
      <c r="B4996" s="1890">
        <f>'FP Info 3'!H31</f>
        <v>83194479.141000003</v>
      </c>
      <c r="D4996" s="2" t="str">
        <f t="shared" si="77"/>
        <v>Error?</v>
      </c>
    </row>
    <row r="4997" spans="1:4" x14ac:dyDescent="0.2">
      <c r="A4997" s="12">
        <v>4936</v>
      </c>
      <c r="B4997" s="1890">
        <f>'FP Info 3'!H37</f>
        <v>3732835</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1246000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1246000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16563227</v>
      </c>
      <c r="D5061" s="2" t="str">
        <f t="shared" si="78"/>
        <v>Error?</v>
      </c>
    </row>
    <row r="5062" spans="1:4" x14ac:dyDescent="0.2">
      <c r="A5062" s="10">
        <v>5001</v>
      </c>
      <c r="B5062" s="1890"/>
      <c r="D5062" s="2" t="str">
        <f t="shared" si="78"/>
        <v>OK</v>
      </c>
    </row>
    <row r="5063" spans="1:4" x14ac:dyDescent="0.2">
      <c r="A5063" s="5">
        <v>5002</v>
      </c>
      <c r="B5063" s="1890">
        <f>'Revenues 9-14'!C7</f>
        <v>240519</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16803746</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360798</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360798</v>
      </c>
      <c r="C5071" s="2" t="s">
        <v>569</v>
      </c>
      <c r="D5071" s="2" t="str">
        <f t="shared" si="78"/>
        <v>Error?</v>
      </c>
    </row>
    <row r="5072" spans="1:4" x14ac:dyDescent="0.2">
      <c r="A5072" s="5">
        <v>5011</v>
      </c>
      <c r="B5072" s="1890">
        <f>'Revenues 9-14'!C20</f>
        <v>41760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41760</v>
      </c>
      <c r="C5087" s="2" t="s">
        <v>569</v>
      </c>
      <c r="D5087" s="2" t="str">
        <f t="shared" si="78"/>
        <v>Error?</v>
      </c>
    </row>
    <row r="5088" spans="1:4" x14ac:dyDescent="0.2">
      <c r="A5088" s="5">
        <v>5027</v>
      </c>
      <c r="B5088" s="1890">
        <f>'Revenues 9-14'!C65</f>
        <v>551089</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551089</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189589</v>
      </c>
      <c r="C5096" s="2" t="s">
        <v>569</v>
      </c>
      <c r="D5096" s="2" t="str">
        <f t="shared" si="78"/>
        <v>Error?</v>
      </c>
    </row>
    <row r="5097" spans="1:4" x14ac:dyDescent="0.2">
      <c r="A5097" s="5">
        <v>5036</v>
      </c>
      <c r="B5097" s="1890">
        <f>'Revenues 9-14'!C77</f>
        <v>175131</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175131</v>
      </c>
      <c r="C5102" s="2" t="s">
        <v>569</v>
      </c>
      <c r="D5102" s="2" t="str">
        <f t="shared" si="78"/>
        <v>Error?</v>
      </c>
    </row>
    <row r="5103" spans="1:4" x14ac:dyDescent="0.2">
      <c r="A5103" s="5">
        <v>5042</v>
      </c>
      <c r="B5103" s="1890">
        <f>'Revenues 9-14'!C84</f>
        <v>456261</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136158</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11000</v>
      </c>
      <c r="D5111" s="2" t="str">
        <f t="shared" si="78"/>
        <v>Error?</v>
      </c>
    </row>
    <row r="5112" spans="1:4" x14ac:dyDescent="0.2">
      <c r="A5112" s="5">
        <v>5051</v>
      </c>
      <c r="B5112" s="1890">
        <f>'Revenues 9-14'!C93</f>
        <v>603419</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101274</v>
      </c>
      <c r="D5114" s="2" t="str">
        <f t="shared" si="78"/>
        <v>Error?</v>
      </c>
    </row>
    <row r="5115" spans="1:4" x14ac:dyDescent="0.2">
      <c r="A5115" s="5">
        <v>5054</v>
      </c>
      <c r="B5115" s="1890">
        <f>'Revenues 9-14'!C98</f>
        <v>60004</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382670</v>
      </c>
      <c r="D5118" s="2" t="str">
        <f t="shared" si="78"/>
        <v>Error?</v>
      </c>
    </row>
    <row r="5119" spans="1:4" x14ac:dyDescent="0.2">
      <c r="A5119" s="5">
        <v>5058</v>
      </c>
      <c r="B5119" s="1890">
        <f>'Revenues 9-14'!C107</f>
        <v>42239</v>
      </c>
      <c r="D5119" s="2" t="str">
        <f t="shared" ref="D5119:D5182" si="79">IF(ISBLANK(B5119),"OK",IF(A5119-B5119=0,"OK","Error?"))</f>
        <v>Error?</v>
      </c>
    </row>
    <row r="5120" spans="1:4" x14ac:dyDescent="0.2">
      <c r="A5120" s="5">
        <v>5059</v>
      </c>
      <c r="B5120" s="1890">
        <f>'Revenues 9-14'!C108</f>
        <v>586187</v>
      </c>
      <c r="C5120" s="2" t="s">
        <v>569</v>
      </c>
      <c r="D5120" s="2" t="str">
        <f t="shared" si="79"/>
        <v>Error?</v>
      </c>
    </row>
    <row r="5121" spans="1:4" x14ac:dyDescent="0.2">
      <c r="A5121" s="5">
        <v>5060</v>
      </c>
      <c r="B5121" s="1890">
        <f>'Revenues 9-14'!C109</f>
        <v>19311719</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1583720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1583720</v>
      </c>
      <c r="C5132" s="2" t="s">
        <v>569</v>
      </c>
      <c r="D5132" s="2" t="str">
        <f t="shared" si="79"/>
        <v>Error?</v>
      </c>
    </row>
    <row r="5133" spans="1:4" x14ac:dyDescent="0.2">
      <c r="A5133" s="5">
        <v>5072</v>
      </c>
      <c r="B5133" s="1890">
        <f>'Revenues 9-14'!C125</f>
        <v>170447</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170447</v>
      </c>
      <c r="C5147" s="2" t="s">
        <v>569</v>
      </c>
      <c r="D5147" s="2" t="str">
        <f t="shared" si="79"/>
        <v>Error?</v>
      </c>
    </row>
    <row r="5148" spans="1:4" x14ac:dyDescent="0.2">
      <c r="A5148" s="5">
        <v>5087</v>
      </c>
      <c r="B5148" s="1890">
        <f>'Revenues 9-14'!C134</f>
        <v>105135</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105135</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1083</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106058</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382723</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1966443</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105737</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49630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155367</v>
      </c>
      <c r="C5246" s="2" t="s">
        <v>569</v>
      </c>
      <c r="D5246" s="2" t="str">
        <f t="shared" si="80"/>
        <v>Error?</v>
      </c>
    </row>
    <row r="5247" spans="1:4" x14ac:dyDescent="0.2">
      <c r="A5247" s="5">
        <v>5186</v>
      </c>
      <c r="B5247" s="1890">
        <f>'Revenues 9-14'!C200</f>
        <v>231411</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231411</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22303</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525682</v>
      </c>
      <c r="D5278" s="2" t="str">
        <f t="shared" si="81"/>
        <v>Error?</v>
      </c>
    </row>
    <row r="5279" spans="1:4" x14ac:dyDescent="0.2">
      <c r="A5279" s="5">
        <v>5218</v>
      </c>
      <c r="B5279" s="1890">
        <f>'Revenues 9-14'!C214</f>
        <v>122360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670345</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1158019</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1158019</v>
      </c>
      <c r="C5326" s="2" t="s">
        <v>569</v>
      </c>
      <c r="D5326" s="2" t="str">
        <f t="shared" si="82"/>
        <v>Error?</v>
      </c>
    </row>
    <row r="5327" spans="1:5" x14ac:dyDescent="0.2">
      <c r="A5327" s="5">
        <v>5266</v>
      </c>
      <c r="B5327" s="1890">
        <f>'Revenues 9-14'!C268</f>
        <v>22436181</v>
      </c>
      <c r="C5327" s="2" t="s">
        <v>569</v>
      </c>
      <c r="D5327" s="2" t="str">
        <f t="shared" si="82"/>
        <v>Error?</v>
      </c>
    </row>
    <row r="5328" spans="1:5" x14ac:dyDescent="0.2">
      <c r="A5328" s="5">
        <v>5267</v>
      </c>
      <c r="B5328" s="1890">
        <f>'Revenues 9-14'!D5</f>
        <v>2460886</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2460886</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176173</v>
      </c>
      <c r="D5349" s="2" t="str">
        <f t="shared" si="82"/>
        <v>Error?</v>
      </c>
    </row>
    <row r="5350" spans="1:4" x14ac:dyDescent="0.2">
      <c r="A5350" s="5">
        <v>5289</v>
      </c>
      <c r="B5350" s="1890">
        <f>'Revenues 9-14'!D96</f>
        <v>813</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5715</v>
      </c>
      <c r="D5354" s="2" t="str">
        <f t="shared" si="82"/>
        <v>Error?</v>
      </c>
    </row>
    <row r="5355" spans="1:4" x14ac:dyDescent="0.2">
      <c r="A5355" s="5">
        <v>5294</v>
      </c>
      <c r="B5355" s="1890">
        <f>'Revenues 9-14'!D108</f>
        <v>317610</v>
      </c>
      <c r="C5355" s="2" t="s">
        <v>569</v>
      </c>
      <c r="D5355" s="2" t="str">
        <f t="shared" si="82"/>
        <v>Error?</v>
      </c>
    </row>
    <row r="5356" spans="1:4" x14ac:dyDescent="0.2">
      <c r="A5356" s="5">
        <v>5295</v>
      </c>
      <c r="B5356" s="1890">
        <f>'Revenues 9-14'!D109</f>
        <v>2778496</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2828496</v>
      </c>
      <c r="C5508" s="2" t="s">
        <v>569</v>
      </c>
      <c r="D5508" s="2" t="str">
        <f t="shared" si="85"/>
        <v>Error?</v>
      </c>
    </row>
    <row r="5509" spans="1:4" x14ac:dyDescent="0.2">
      <c r="A5509" s="5">
        <v>5448</v>
      </c>
      <c r="B5509" s="1890">
        <f>'Revenues 9-14'!E5</f>
        <v>5101690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5101690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47565</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47565</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5149255</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5149255</v>
      </c>
      <c r="C5552" s="2" t="s">
        <v>569</v>
      </c>
      <c r="D5552" s="2" t="str">
        <f t="shared" si="85"/>
        <v>Error?</v>
      </c>
    </row>
    <row r="5553" spans="1:4" x14ac:dyDescent="0.2">
      <c r="A5553" s="5">
        <v>5492</v>
      </c>
      <c r="B5553" s="1890">
        <f>'Revenues 9-14'!F5</f>
        <v>1063411</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1063411</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22792</v>
      </c>
      <c r="D5563" s="2" t="str">
        <f t="shared" si="85"/>
        <v>Error?</v>
      </c>
    </row>
    <row r="5564" spans="1:4" x14ac:dyDescent="0.2">
      <c r="A5564" s="5">
        <v>5503</v>
      </c>
      <c r="B5564" s="1890">
        <f>'Revenues 9-14'!F43</f>
        <v>3769</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26561</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1089972</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31390</v>
      </c>
      <c r="D5615" s="2" t="str">
        <f t="shared" si="86"/>
        <v>Error?</v>
      </c>
    </row>
    <row r="5616" spans="1:4" x14ac:dyDescent="0.2">
      <c r="A5616" s="10">
        <v>5555</v>
      </c>
      <c r="B5616" s="1890"/>
      <c r="D5616" s="2" t="str">
        <f t="shared" si="86"/>
        <v>OK</v>
      </c>
    </row>
    <row r="5617" spans="1:5" x14ac:dyDescent="0.2">
      <c r="A5617" s="5">
        <v>5556</v>
      </c>
      <c r="B5617" s="1890">
        <f>'Revenues 9-14'!F153</f>
        <v>385474</v>
      </c>
      <c r="D5617" s="2" t="str">
        <f t="shared" si="86"/>
        <v>Error?</v>
      </c>
    </row>
    <row r="5618" spans="1:5" x14ac:dyDescent="0.2">
      <c r="A5618" s="5">
        <v>5557</v>
      </c>
      <c r="B5618" s="1890">
        <f>'Revenues 9-14'!F155</f>
        <v>416864</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416864</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416864</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1506836</v>
      </c>
      <c r="C5720" s="2" t="s">
        <v>569</v>
      </c>
      <c r="D5720" s="2" t="str">
        <f t="shared" si="88"/>
        <v>Error?</v>
      </c>
    </row>
    <row r="5721" spans="1:4" x14ac:dyDescent="0.2">
      <c r="A5721" s="5">
        <v>5660</v>
      </c>
      <c r="B5721" s="1890">
        <f>'Revenues 9-14'!G5</f>
        <v>329194</v>
      </c>
      <c r="D5721" s="2" t="str">
        <f t="shared" si="88"/>
        <v>Error?</v>
      </c>
    </row>
    <row r="5722" spans="1:4" x14ac:dyDescent="0.2">
      <c r="A5722" s="5">
        <v>5661</v>
      </c>
      <c r="B5722" s="1890">
        <f>'Revenues 9-14'!G7</f>
        <v>0</v>
      </c>
      <c r="D5722" s="2" t="str">
        <f t="shared" si="88"/>
        <v>Error?</v>
      </c>
    </row>
    <row r="5723" spans="1:4" x14ac:dyDescent="0.2">
      <c r="A5723" s="5">
        <v>5662</v>
      </c>
      <c r="B5723" s="1890">
        <f>'Revenues 9-14'!G8</f>
        <v>419598</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748792</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748792</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18753</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18753</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18753</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748792</v>
      </c>
      <c r="C6024" s="2" t="s">
        <v>569</v>
      </c>
      <c r="D6024" s="2" t="str">
        <f t="shared" si="93"/>
        <v>Error?</v>
      </c>
    </row>
    <row r="6025" spans="1:5" x14ac:dyDescent="0.2">
      <c r="A6025" s="5">
        <v>5964</v>
      </c>
      <c r="B6025" s="1890">
        <f>'Revenues 9-14'!H109</f>
        <v>18753</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189589</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25326</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1992.2</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364338</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103174</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102362</v>
      </c>
      <c r="D6142" s="2" t="str">
        <f t="shared" si="94"/>
        <v>Error?</v>
      </c>
      <c r="E6142" s="2" t="s">
        <v>189</v>
      </c>
    </row>
    <row r="6143" spans="1:5" x14ac:dyDescent="0.2">
      <c r="A6143">
        <v>6082</v>
      </c>
      <c r="B6143" s="1890">
        <f>'Assets-Liab 5-6'!D27</f>
        <v>135005</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44706</v>
      </c>
      <c r="D6145" s="2" t="str">
        <f t="shared" si="95"/>
        <v>Error?</v>
      </c>
      <c r="E6145" s="2" t="s">
        <v>189</v>
      </c>
    </row>
    <row r="6146" spans="1:5" x14ac:dyDescent="0.2">
      <c r="A6146">
        <v>6085</v>
      </c>
      <c r="B6146" s="1890">
        <f>'Assets-Liab 5-6'!G27</f>
        <v>123660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1616466</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1385836</v>
      </c>
      <c r="D6267" s="2" t="str">
        <f t="shared" si="96"/>
        <v>Error?</v>
      </c>
      <c r="E6267" s="2" t="s">
        <v>189</v>
      </c>
    </row>
    <row r="6268" spans="1:5" x14ac:dyDescent="0.2">
      <c r="A6268">
        <v>6207</v>
      </c>
      <c r="B6268" s="1890">
        <f>'Acct Summary 7-8'!D82</f>
        <v>173471</v>
      </c>
      <c r="D6268" s="2" t="str">
        <f t="shared" si="96"/>
        <v>Error?</v>
      </c>
      <c r="E6268" s="2" t="s">
        <v>189</v>
      </c>
    </row>
    <row r="6269" spans="1:5" x14ac:dyDescent="0.2">
      <c r="A6269">
        <v>6208</v>
      </c>
      <c r="B6269" s="1890">
        <f>'Acct Summary 7-8'!E82</f>
        <v>97351</v>
      </c>
      <c r="D6269" s="2" t="str">
        <f t="shared" si="96"/>
        <v>Error?</v>
      </c>
      <c r="E6269" s="2" t="s">
        <v>189</v>
      </c>
    </row>
    <row r="6270" spans="1:5" x14ac:dyDescent="0.2">
      <c r="A6270">
        <v>6209</v>
      </c>
      <c r="B6270" s="1890">
        <f>'Acct Summary 7-8'!F82</f>
        <v>118964</v>
      </c>
      <c r="D6270" s="2" t="str">
        <f t="shared" si="96"/>
        <v>Error?</v>
      </c>
      <c r="E6270" s="2" t="s">
        <v>189</v>
      </c>
    </row>
    <row r="6271" spans="1:5" x14ac:dyDescent="0.2">
      <c r="A6271">
        <v>6210</v>
      </c>
      <c r="B6271" s="1890">
        <f>'Acct Summary 7-8'!G82</f>
        <v>46044</v>
      </c>
      <c r="D6271" s="2" t="str">
        <f t="shared" ref="D6271:D6334" si="97">IF(ISBLANK(B6271),"OK",IF(A6271-B6271=0,"OK","Error?"))</f>
        <v>Error?</v>
      </c>
      <c r="E6271" s="2" t="s">
        <v>189</v>
      </c>
    </row>
    <row r="6272" spans="1:5" x14ac:dyDescent="0.2">
      <c r="A6272">
        <v>6211</v>
      </c>
      <c r="B6272" s="1890">
        <f>'Acct Summary 7-8'!H82</f>
        <v>487753</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7.904570391941404E-2</v>
      </c>
      <c r="D6276" s="2" t="str">
        <f t="shared" si="97"/>
        <v>Error?</v>
      </c>
      <c r="E6276" s="2" t="s">
        <v>189</v>
      </c>
    </row>
    <row r="6277" spans="1:5" x14ac:dyDescent="0.2">
      <c r="A6277">
        <v>6216</v>
      </c>
      <c r="B6277" s="1890">
        <f>'Acct Summary 7-8'!D83</f>
        <v>8.4736812796567362E-2</v>
      </c>
      <c r="D6277" s="2" t="str">
        <f t="shared" si="97"/>
        <v>Error?</v>
      </c>
      <c r="E6277" s="2" t="s">
        <v>189</v>
      </c>
    </row>
    <row r="6278" spans="1:5" x14ac:dyDescent="0.2">
      <c r="A6278">
        <v>6217</v>
      </c>
      <c r="B6278" s="1890">
        <f>'Acct Summary 7-8'!E83</f>
        <v>2.047797866862322E-2</v>
      </c>
      <c r="D6278" s="2" t="str">
        <f t="shared" si="97"/>
        <v>Error?</v>
      </c>
      <c r="E6278" s="2" t="s">
        <v>189</v>
      </c>
    </row>
    <row r="6279" spans="1:5" x14ac:dyDescent="0.2">
      <c r="A6279">
        <v>6218</v>
      </c>
      <c r="B6279" s="1890">
        <f>'Acct Summary 7-8'!F83</f>
        <v>8.1581094889009276E-2</v>
      </c>
      <c r="D6279" s="2" t="str">
        <f t="shared" si="97"/>
        <v>Error?</v>
      </c>
      <c r="E6279" s="2" t="s">
        <v>189</v>
      </c>
    </row>
    <row r="6280" spans="1:5" x14ac:dyDescent="0.2">
      <c r="A6280">
        <v>6219</v>
      </c>
      <c r="B6280" s="1890">
        <f>'Acct Summary 7-8'!G83</f>
        <v>0.10737322245593743</v>
      </c>
      <c r="D6280" s="2" t="str">
        <f t="shared" si="97"/>
        <v>Error?</v>
      </c>
      <c r="E6280" s="2" t="s">
        <v>189</v>
      </c>
    </row>
    <row r="6281" spans="1:5" x14ac:dyDescent="0.2">
      <c r="A6281">
        <v>6220</v>
      </c>
      <c r="B6281" s="1890">
        <f>'Acct Summary 7-8'!H83</f>
        <v>0.25584760965579462</v>
      </c>
      <c r="D6281" s="2" t="str">
        <f t="shared" si="97"/>
        <v>Error?</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469000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122250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12659</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47443</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207688</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649096</v>
      </c>
      <c r="D6880" s="2" t="str">
        <f t="shared" si="106"/>
        <v>Error?</v>
      </c>
    </row>
    <row r="6881" spans="1:4" x14ac:dyDescent="0.2">
      <c r="A6881">
        <v>6820</v>
      </c>
      <c r="B6881" s="1890">
        <f>'Expenditures 15-22'!K22</f>
        <v>649096</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47443</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343176</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343176</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343176</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343176</v>
      </c>
      <c r="D7020" s="2" t="str">
        <f t="shared" si="108"/>
        <v>Error?</v>
      </c>
    </row>
    <row r="7021" spans="1:4" x14ac:dyDescent="0.2">
      <c r="A7021">
        <v>6960</v>
      </c>
      <c r="B7021" s="1890">
        <f>'Expenditures 15-22'!J114</f>
        <v>47443</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195860</v>
      </c>
      <c r="D7257" s="2" t="str">
        <f t="shared" si="112"/>
        <v>Error?</v>
      </c>
    </row>
    <row r="7258" spans="1:4" x14ac:dyDescent="0.2">
      <c r="A7258">
        <f t="shared" si="113"/>
        <v>7197</v>
      </c>
      <c r="B7258" s="1890">
        <f>'Expenditures 15-22'!D11</f>
        <v>2514</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9314</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343176</v>
      </c>
      <c r="D7624" s="2" t="str">
        <f t="shared" si="124"/>
        <v>Error?</v>
      </c>
      <c r="E7624" s="2" t="s">
        <v>19</v>
      </c>
    </row>
    <row r="7625" spans="1:5" x14ac:dyDescent="0.2">
      <c r="A7625">
        <f t="shared" si="123"/>
        <v>7564</v>
      </c>
      <c r="B7625" s="1890">
        <f>'Cap Outlay Deprec 26'!I17</f>
        <v>34317.599999999999</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1152471.6000000001</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469000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240519</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159306</v>
      </c>
      <c r="D7758" s="2" t="str">
        <f t="shared" si="127"/>
        <v>Error?</v>
      </c>
      <c r="E7758" s="4" t="s">
        <v>1324</v>
      </c>
    </row>
    <row r="7759" spans="1:6" x14ac:dyDescent="0.2">
      <c r="A7759">
        <v>7698</v>
      </c>
      <c r="B7759" s="1890">
        <f>'Aud Quest 2'!J88</f>
        <v>13672</v>
      </c>
      <c r="D7759" s="2" t="str">
        <f t="shared" si="127"/>
        <v>Error?</v>
      </c>
      <c r="E7759" s="4" t="s">
        <v>1324</v>
      </c>
    </row>
    <row r="7760" spans="1:6" x14ac:dyDescent="0.2">
      <c r="A7760">
        <v>7699</v>
      </c>
      <c r="B7760" s="1890">
        <f>'Aud Quest 2'!J90</f>
        <v>172978</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11884716</v>
      </c>
      <c r="D7817" s="2" t="str">
        <f t="shared" si="128"/>
        <v>Error?</v>
      </c>
      <c r="E7817" s="4" t="s">
        <v>1969</v>
      </c>
    </row>
    <row r="7818" spans="1:5" x14ac:dyDescent="0.2">
      <c r="A7818">
        <v>7757</v>
      </c>
      <c r="B7818" s="1890">
        <f>'PCTC-OEPP 27-28'!F172</f>
        <v>588101.43000000005</v>
      </c>
      <c r="D7818" s="2" t="str">
        <f t="shared" si="128"/>
        <v>Error?</v>
      </c>
      <c r="E7818" s="4" t="s">
        <v>1983</v>
      </c>
    </row>
    <row r="7819" spans="1:5" x14ac:dyDescent="0.2">
      <c r="A7819">
        <v>7758</v>
      </c>
      <c r="B7819" s="1890">
        <f>'PCTC-OEPP 27-28'!F173</f>
        <v>35436.1</v>
      </c>
      <c r="D7819" s="2" t="str">
        <f t="shared" si="128"/>
        <v>Error?</v>
      </c>
      <c r="E7819" s="4" t="s">
        <v>1983</v>
      </c>
    </row>
    <row r="7820" spans="1:5" x14ac:dyDescent="0.2">
      <c r="A7820">
        <v>7759</v>
      </c>
      <c r="B7820" s="1890">
        <f>'ICR Computation 30'!E40</f>
        <v>-4096041</v>
      </c>
      <c r="D7820" s="2" t="str">
        <f t="shared" si="128"/>
        <v>Error?</v>
      </c>
    </row>
    <row r="7821" spans="1:5" x14ac:dyDescent="0.2">
      <c r="A7821">
        <v>7760</v>
      </c>
      <c r="B7821" s="1890">
        <f>'ICR Computation 30'!G40</f>
        <v>-4096041</v>
      </c>
      <c r="D7821" s="2" t="str">
        <f t="shared" si="128"/>
        <v>Error?</v>
      </c>
    </row>
    <row r="7822" spans="1:5" x14ac:dyDescent="0.2">
      <c r="A7822" s="1">
        <v>7761</v>
      </c>
      <c r="B7822" s="1890">
        <f>'PCTC-OEPP 27-28'!F14</f>
        <v>30378894</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207688</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32113</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7818</v>
      </c>
      <c r="D7833" s="2" t="str">
        <f t="shared" si="129"/>
        <v>Error?</v>
      </c>
      <c r="E7833" s="4" t="s">
        <v>2001</v>
      </c>
    </row>
    <row r="7834" spans="1:5" x14ac:dyDescent="0.2">
      <c r="A7834">
        <v>7773</v>
      </c>
      <c r="B7834" s="1890">
        <f>'PCTC-OEPP 27-28'!F77</f>
        <v>5112142</v>
      </c>
      <c r="D7834" s="2" t="str">
        <f t="shared" si="129"/>
        <v>Error?</v>
      </c>
      <c r="E7834" s="4" t="s">
        <v>2001</v>
      </c>
    </row>
    <row r="7835" spans="1:5" x14ac:dyDescent="0.2">
      <c r="A7835">
        <v>7774</v>
      </c>
      <c r="B7835" s="1890">
        <f>'PCTC-OEPP 27-28'!F78</f>
        <v>25266752</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12682.83907238229</v>
      </c>
      <c r="D7837" s="2" t="str">
        <f t="shared" si="129"/>
        <v>Error?</v>
      </c>
      <c r="E7837" s="4" t="s">
        <v>2001</v>
      </c>
    </row>
    <row r="7838" spans="1:5" x14ac:dyDescent="0.2">
      <c r="A7838">
        <v>7777</v>
      </c>
      <c r="B7838" s="1890">
        <f>'PCTC-OEPP 27-28'!F96</f>
        <v>175131</v>
      </c>
      <c r="D7838" s="2" t="str">
        <f t="shared" si="129"/>
        <v>Error?</v>
      </c>
      <c r="E7838" s="4" t="s">
        <v>2001</v>
      </c>
    </row>
    <row r="7839" spans="1:5" x14ac:dyDescent="0.2">
      <c r="A7839">
        <v>7778</v>
      </c>
      <c r="B7839" s="1890">
        <f>'PCTC-OEPP 27-28'!F102</f>
        <v>176173</v>
      </c>
      <c r="D7839" s="2" t="str">
        <f t="shared" si="129"/>
        <v>Error?</v>
      </c>
      <c r="E7839" s="4" t="s">
        <v>2001</v>
      </c>
    </row>
    <row r="7840" spans="1:5" x14ac:dyDescent="0.2">
      <c r="A7840">
        <v>7779</v>
      </c>
      <c r="B7840" s="1890">
        <f>'PCTC-OEPP 27-28'!F103</f>
        <v>60004</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170447</v>
      </c>
      <c r="D7842" s="2" t="str">
        <f t="shared" si="129"/>
        <v>Error?</v>
      </c>
      <c r="E7842" s="4" t="s">
        <v>2001</v>
      </c>
    </row>
    <row r="7843" spans="1:5" x14ac:dyDescent="0.2">
      <c r="A7843">
        <v>7782</v>
      </c>
      <c r="B7843" s="1890">
        <f>'PCTC-OEPP 27-28'!F107</f>
        <v>105135</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416864</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155367</v>
      </c>
      <c r="D7858" s="2" t="str">
        <f t="shared" si="129"/>
        <v>Error?</v>
      </c>
      <c r="E7858" s="4" t="s">
        <v>2001</v>
      </c>
    </row>
    <row r="7859" spans="1:5" x14ac:dyDescent="0.2">
      <c r="A7859">
        <v>7798</v>
      </c>
      <c r="B7859" s="1890">
        <f>'PCTC-OEPP 27-28'!F127</f>
        <v>231411</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525682</v>
      </c>
      <c r="D7861" s="2" t="str">
        <f t="shared" si="129"/>
        <v>Error?</v>
      </c>
      <c r="E7861" s="4" t="s">
        <v>2001</v>
      </c>
    </row>
    <row r="7862" spans="1:5" x14ac:dyDescent="0.2">
      <c r="A7862">
        <v>7801</v>
      </c>
      <c r="B7862" s="1890">
        <f>'PCTC-OEPP 27-28'!F130</f>
        <v>122360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18634</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77727</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4535</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4112560.5300000003</v>
      </c>
      <c r="D7877" s="2" t="str">
        <f t="shared" si="129"/>
        <v>Error?</v>
      </c>
      <c r="E7877" s="4" t="s">
        <v>2001</v>
      </c>
    </row>
    <row r="7878" spans="1:5" x14ac:dyDescent="0.2">
      <c r="A7878">
        <v>7817</v>
      </c>
      <c r="B7878" s="1890">
        <f>'PCTC-OEPP 27-28'!F176</f>
        <v>21154191.469999999</v>
      </c>
      <c r="D7878" s="2" t="str">
        <f t="shared" si="129"/>
        <v>Error?</v>
      </c>
      <c r="E7878" s="4" t="s">
        <v>2001</v>
      </c>
    </row>
    <row r="7879" spans="1:5" x14ac:dyDescent="0.2">
      <c r="A7879">
        <v>7818</v>
      </c>
      <c r="B7879" s="1890">
        <f>'PCTC-OEPP 27-28'!F178</f>
        <v>22306663.07</v>
      </c>
      <c r="D7879" s="2" t="str">
        <f t="shared" si="129"/>
        <v>Error?</v>
      </c>
      <c r="E7879" s="4" t="s">
        <v>2001</v>
      </c>
    </row>
    <row r="7880" spans="1:5" x14ac:dyDescent="0.2">
      <c r="A7880">
        <v>7819</v>
      </c>
      <c r="B7880" s="1890">
        <f>'PCTC-OEPP 27-28'!F180</f>
        <v>11196.999834353981</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election activeCell="B48" sqref="B48"/>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51" t="s">
        <v>1183</v>
      </c>
      <c r="B2" s="2451"/>
      <c r="C2" s="2451"/>
      <c r="D2" s="2451"/>
      <c r="E2" s="2451"/>
      <c r="F2" s="2451"/>
      <c r="G2" s="2451"/>
      <c r="H2" s="2451"/>
      <c r="I2" s="2451"/>
      <c r="J2" s="2451"/>
      <c r="K2" s="2451"/>
      <c r="L2" s="2451"/>
    </row>
    <row r="3" spans="1:29" ht="13.5" customHeight="1" x14ac:dyDescent="0.2">
      <c r="A3" s="2483" t="s">
        <v>1182</v>
      </c>
      <c r="B3" s="2483"/>
      <c r="C3" s="2483"/>
      <c r="D3" s="2483"/>
      <c r="E3" s="2483"/>
      <c r="F3" s="2483"/>
      <c r="G3" s="2483"/>
      <c r="H3" s="2483"/>
      <c r="I3" s="2483"/>
      <c r="J3" s="2483"/>
      <c r="K3" s="2483"/>
      <c r="L3" s="2483"/>
    </row>
    <row r="4" spans="1:29" ht="13.5" customHeight="1" x14ac:dyDescent="0.2">
      <c r="A4" s="2472" t="str">
        <f>"Year Ending June 30, "&amp;'AFR20'!E2</f>
        <v>Year Ending June 30, 2020</v>
      </c>
      <c r="B4" s="2473"/>
      <c r="C4" s="2473"/>
      <c r="D4" s="2473"/>
      <c r="E4" s="2473"/>
      <c r="F4" s="2473"/>
      <c r="G4" s="2473"/>
      <c r="H4" s="2473"/>
      <c r="I4" s="2473"/>
      <c r="J4" s="2473"/>
      <c r="K4" s="2473"/>
      <c r="L4" s="247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74" t="str">
        <f>COVER!A17</f>
        <v xml:space="preserve">  Lemont-Bromberek CSD</v>
      </c>
      <c r="B7" s="2475"/>
      <c r="C7" s="2475"/>
      <c r="D7" s="2476"/>
      <c r="E7" s="2477" t="str">
        <f>COVER!A13</f>
        <v xml:space="preserve">07016113A02 </v>
      </c>
      <c r="F7" s="2478"/>
      <c r="G7" s="2484" t="str">
        <f>COVER!T23</f>
        <v>065-037815</v>
      </c>
      <c r="H7" s="2485"/>
      <c r="I7" s="2485"/>
      <c r="J7" s="2485"/>
      <c r="K7" s="2485"/>
      <c r="L7" s="2486"/>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87"/>
      <c r="B9" s="2488"/>
      <c r="C9" s="2488"/>
      <c r="D9" s="2488"/>
      <c r="E9" s="2488"/>
      <c r="F9" s="2489"/>
      <c r="G9" s="2457" t="str">
        <f>COVER!T13</f>
        <v>Lauterbach &amp; Amen, LLP</v>
      </c>
      <c r="H9" s="2490"/>
      <c r="I9" s="2490"/>
      <c r="J9" s="2490"/>
      <c r="K9" s="2490"/>
      <c r="L9" s="2491"/>
    </row>
    <row r="10" spans="1:29" ht="13.5" customHeight="1" x14ac:dyDescent="0.2">
      <c r="A10" s="2463" t="str">
        <f>COVER!A38</f>
        <v>Dr. Anthony McConnell</v>
      </c>
      <c r="B10" s="2464"/>
      <c r="C10" s="2464"/>
      <c r="D10" s="2464"/>
      <c r="E10" s="2464"/>
      <c r="F10" s="2465"/>
      <c r="G10" s="2457" t="str">
        <f>COVER!T17</f>
        <v>668 N River Road</v>
      </c>
      <c r="H10" s="2458"/>
      <c r="I10" s="2458"/>
      <c r="J10" s="2458"/>
      <c r="K10" s="2458"/>
      <c r="L10" s="2459"/>
    </row>
    <row r="11" spans="1:29" ht="13.5" customHeight="1" x14ac:dyDescent="0.2">
      <c r="A11" s="1008" t="s">
        <v>1505</v>
      </c>
      <c r="B11" s="1009"/>
      <c r="C11" s="1010"/>
      <c r="D11" s="1015"/>
      <c r="E11" s="1010"/>
      <c r="F11" s="1014"/>
      <c r="G11" s="2457" t="str">
        <f>COVER!T19</f>
        <v>Naperville</v>
      </c>
      <c r="H11" s="2458"/>
      <c r="I11" s="2458"/>
      <c r="J11" s="2458"/>
      <c r="K11" s="2458"/>
      <c r="L11" s="2459"/>
    </row>
    <row r="12" spans="1:29" ht="13.5" customHeight="1" x14ac:dyDescent="0.2">
      <c r="A12" s="2466" t="s">
        <v>1504</v>
      </c>
      <c r="B12" s="2467"/>
      <c r="C12" s="2467"/>
      <c r="D12" s="2467"/>
      <c r="E12" s="2467"/>
      <c r="F12" s="2468"/>
      <c r="G12" s="2460"/>
      <c r="H12" s="2461"/>
      <c r="I12" s="2461"/>
      <c r="J12" s="2461"/>
      <c r="K12" s="2461"/>
      <c r="L12" s="2462"/>
    </row>
    <row r="13" spans="1:29" ht="13.5" customHeight="1" x14ac:dyDescent="0.2">
      <c r="A13" s="2457"/>
      <c r="B13" s="2458"/>
      <c r="C13" s="2458"/>
      <c r="D13" s="2458"/>
      <c r="E13" s="2458"/>
      <c r="F13" s="2459"/>
      <c r="G13" s="2452" t="s">
        <v>1506</v>
      </c>
      <c r="H13" s="2453"/>
      <c r="I13" s="2469" t="str">
        <f>COVER!T25</f>
        <v>dshaw@lauterbachamen.com</v>
      </c>
      <c r="J13" s="2470"/>
      <c r="K13" s="2470"/>
      <c r="L13" s="2471"/>
    </row>
    <row r="14" spans="1:29" ht="13.5" customHeight="1" x14ac:dyDescent="0.2">
      <c r="A14" s="2457" t="str">
        <f>COVER!A19</f>
        <v>16100 West 127th Street</v>
      </c>
      <c r="B14" s="2458"/>
      <c r="C14" s="2458"/>
      <c r="D14" s="2458"/>
      <c r="E14" s="2458"/>
      <c r="F14" s="2459"/>
      <c r="G14" s="1019" t="s">
        <v>1177</v>
      </c>
      <c r="H14" s="1017"/>
      <c r="I14" s="1017"/>
      <c r="J14" s="1017"/>
      <c r="K14" s="1017"/>
      <c r="L14" s="1018"/>
    </row>
    <row r="15" spans="1:29" ht="13.5" customHeight="1" x14ac:dyDescent="0.2">
      <c r="A15" s="2457" t="str">
        <f>COVER!A21</f>
        <v>Lemont</v>
      </c>
      <c r="B15" s="2458"/>
      <c r="C15" s="2458"/>
      <c r="D15" s="2458"/>
      <c r="E15" s="2458"/>
      <c r="F15" s="2459"/>
      <c r="G15" s="2454" t="str">
        <f>COVER!T15</f>
        <v>Don Shaw</v>
      </c>
      <c r="H15" s="2455"/>
      <c r="I15" s="2455"/>
      <c r="J15" s="2455"/>
      <c r="K15" s="2455"/>
      <c r="L15" s="2456"/>
    </row>
    <row r="16" spans="1:29" ht="12.2" customHeight="1" x14ac:dyDescent="0.2">
      <c r="A16" s="2480">
        <f>COVER!A25</f>
        <v>60439</v>
      </c>
      <c r="B16" s="2481"/>
      <c r="C16" s="2481"/>
      <c r="D16" s="2481"/>
      <c r="E16" s="2481"/>
      <c r="F16" s="2482"/>
      <c r="G16" s="2492"/>
      <c r="H16" s="2493"/>
      <c r="I16" s="2493"/>
      <c r="J16" s="2493"/>
      <c r="K16" s="2493"/>
      <c r="L16" s="2494"/>
    </row>
    <row r="17" spans="1:13" ht="12.2" customHeight="1" x14ac:dyDescent="0.2">
      <c r="A17" s="2495"/>
      <c r="B17" s="2481"/>
      <c r="C17" s="2481"/>
      <c r="D17" s="2481"/>
      <c r="E17" s="2481"/>
      <c r="F17" s="2482"/>
      <c r="G17" s="1019" t="s">
        <v>1176</v>
      </c>
      <c r="H17" s="1017"/>
      <c r="I17" s="1017"/>
      <c r="J17" s="1017"/>
      <c r="K17" s="1021" t="s">
        <v>1175</v>
      </c>
      <c r="L17" s="1014"/>
      <c r="M17" s="1007"/>
    </row>
    <row r="18" spans="1:13" ht="12.2" customHeight="1" x14ac:dyDescent="0.2">
      <c r="A18" s="2463"/>
      <c r="B18" s="2464"/>
      <c r="C18" s="2464"/>
      <c r="D18" s="2464"/>
      <c r="E18" s="2464"/>
      <c r="F18" s="2465"/>
      <c r="G18" s="2474">
        <f>COVER!T21</f>
        <v>6303931483</v>
      </c>
      <c r="H18" s="2475"/>
      <c r="I18" s="2475"/>
      <c r="J18" s="2475"/>
      <c r="K18" s="2474">
        <f>COVER!X21</f>
        <v>6303932516</v>
      </c>
      <c r="L18" s="247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2021</v>
      </c>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t="s">
        <v>2021</v>
      </c>
      <c r="C26" s="1026" t="s">
        <v>1680</v>
      </c>
    </row>
    <row r="27" spans="1:13" s="1022" customFormat="1" ht="9" customHeight="1" x14ac:dyDescent="0.2">
      <c r="B27" s="1027"/>
      <c r="C27" s="1026"/>
    </row>
    <row r="28" spans="1:13" s="1022" customFormat="1" ht="12.2" customHeight="1" x14ac:dyDescent="0.2">
      <c r="A28" s="1029"/>
      <c r="B28" s="1025" t="s">
        <v>2021</v>
      </c>
      <c r="C28" s="1026" t="s">
        <v>1681</v>
      </c>
    </row>
    <row r="29" spans="1:13" s="1022" customFormat="1" ht="9" customHeight="1" x14ac:dyDescent="0.2">
      <c r="A29" s="1029"/>
      <c r="B29" s="1027"/>
      <c r="C29" s="1026"/>
    </row>
    <row r="30" spans="1:13" s="1022" customFormat="1" ht="12.2" customHeight="1" x14ac:dyDescent="0.2">
      <c r="B30" s="1025" t="s">
        <v>2021</v>
      </c>
      <c r="C30" s="1026" t="s">
        <v>1548</v>
      </c>
      <c r="D30" s="1020"/>
      <c r="E30" s="1020"/>
    </row>
    <row r="31" spans="1:13" s="1022" customFormat="1" ht="9" customHeight="1" x14ac:dyDescent="0.2">
      <c r="B31" s="1027"/>
      <c r="C31" s="1026"/>
      <c r="D31" s="1020"/>
      <c r="E31" s="1020"/>
    </row>
    <row r="32" spans="1:13" s="1022" customFormat="1" ht="12.2" customHeight="1" x14ac:dyDescent="0.2">
      <c r="B32" s="1025" t="s">
        <v>2021</v>
      </c>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t="s">
        <v>2021</v>
      </c>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t="s">
        <v>2021</v>
      </c>
      <c r="C38" s="1026" t="s">
        <v>1552</v>
      </c>
    </row>
    <row r="39" spans="1:8" ht="9" customHeight="1" x14ac:dyDescent="0.2">
      <c r="B39" s="1027"/>
      <c r="C39" s="1030"/>
    </row>
    <row r="40" spans="1:8" s="1022" customFormat="1" ht="13.5" customHeight="1" x14ac:dyDescent="0.2">
      <c r="B40" s="1025" t="s">
        <v>2021</v>
      </c>
      <c r="C40" s="1026" t="s">
        <v>1553</v>
      </c>
    </row>
    <row r="41" spans="1:8" ht="9" customHeight="1" x14ac:dyDescent="0.2">
      <c r="A41" s="1031"/>
      <c r="B41" s="1027"/>
      <c r="C41" s="1030"/>
    </row>
    <row r="42" spans="1:8" s="1022" customFormat="1" ht="13.5" customHeight="1" x14ac:dyDescent="0.2">
      <c r="B42" s="1025" t="s">
        <v>2021</v>
      </c>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0" zoomScale="125" zoomScaleNormal="125" workbookViewId="0">
      <selection activeCell="B124" sqref="B124"/>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96" t="str">
        <f>'Single Audit Cover'!A7</f>
        <v xml:space="preserve">  Lemont-Bromberek CSD</v>
      </c>
      <c r="B1" s="2497"/>
      <c r="C1" s="2497"/>
      <c r="D1" s="2497"/>
    </row>
    <row r="2" spans="1:11" s="1036" customFormat="1" ht="12.75" x14ac:dyDescent="0.2">
      <c r="A2" s="2498" t="str">
        <f>'Single Audit Cover'!E7</f>
        <v xml:space="preserve">07016113A02 </v>
      </c>
      <c r="B2" s="2499"/>
      <c r="C2" s="2499"/>
      <c r="D2" s="2499"/>
    </row>
    <row r="3" spans="1:11" s="1036" customFormat="1" ht="12.75" x14ac:dyDescent="0.2">
      <c r="A3" s="2496" t="s">
        <v>1499</v>
      </c>
      <c r="B3" s="2497"/>
      <c r="C3" s="2497"/>
      <c r="D3" s="2497"/>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t="s">
        <v>2021</v>
      </c>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t="s">
        <v>2021</v>
      </c>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t="s">
        <v>2021</v>
      </c>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t="s">
        <v>2021</v>
      </c>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t="s">
        <v>2021</v>
      </c>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t="s">
        <v>2021</v>
      </c>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t="s">
        <v>2021</v>
      </c>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t="s">
        <v>2021</v>
      </c>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t="s">
        <v>2021</v>
      </c>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t="s">
        <v>2067</v>
      </c>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t="s">
        <v>2067</v>
      </c>
      <c r="C42" s="1053">
        <v>11</v>
      </c>
      <c r="D42" s="1064" t="s">
        <v>1560</v>
      </c>
      <c r="E42" s="290"/>
    </row>
    <row r="43" spans="1:5" ht="3" customHeight="1" x14ac:dyDescent="0.2">
      <c r="A43" s="1043"/>
      <c r="B43" s="1060"/>
      <c r="C43" s="1061"/>
      <c r="D43" s="1042"/>
    </row>
    <row r="44" spans="1:5" x14ac:dyDescent="0.2">
      <c r="A44" s="1043"/>
      <c r="B44" s="1046" t="s">
        <v>2067</v>
      </c>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t="s">
        <v>2067</v>
      </c>
      <c r="C48" s="1047">
        <f>C44+1</f>
        <v>13</v>
      </c>
      <c r="D48" s="1058" t="s">
        <v>1561</v>
      </c>
    </row>
    <row r="49" spans="1:4" ht="3" customHeight="1" x14ac:dyDescent="0.2">
      <c r="A49" s="1043"/>
      <c r="B49" s="1050"/>
      <c r="C49" s="1047"/>
      <c r="D49" s="1058"/>
    </row>
    <row r="50" spans="1:4" x14ac:dyDescent="0.2">
      <c r="A50" s="1043"/>
      <c r="B50" s="1046" t="s">
        <v>2067</v>
      </c>
      <c r="C50" s="1047">
        <f>C48+1</f>
        <v>14</v>
      </c>
      <c r="D50" s="1058" t="s">
        <v>1204</v>
      </c>
    </row>
    <row r="51" spans="1:4" ht="3" customHeight="1" x14ac:dyDescent="0.2">
      <c r="A51" s="1043"/>
      <c r="B51" s="1050"/>
      <c r="C51" s="1047"/>
      <c r="D51" s="1058"/>
    </row>
    <row r="52" spans="1:4" x14ac:dyDescent="0.2">
      <c r="A52" s="1043"/>
      <c r="B52" s="1046" t="s">
        <v>2067</v>
      </c>
      <c r="C52" s="1047">
        <f>C50+1</f>
        <v>15</v>
      </c>
      <c r="D52" s="1058" t="s">
        <v>1203</v>
      </c>
    </row>
    <row r="53" spans="1:4" ht="3" customHeight="1" x14ac:dyDescent="0.2">
      <c r="A53" s="1043"/>
      <c r="B53" s="1050"/>
      <c r="C53" s="1047"/>
      <c r="D53" s="1058"/>
    </row>
    <row r="54" spans="1:4" x14ac:dyDescent="0.2">
      <c r="A54" s="1043"/>
      <c r="B54" s="1046" t="s">
        <v>2067</v>
      </c>
      <c r="C54" s="1047">
        <f>C52+1</f>
        <v>16</v>
      </c>
      <c r="D54" s="1058" t="s">
        <v>1202</v>
      </c>
    </row>
    <row r="55" spans="1:4" ht="3" customHeight="1" x14ac:dyDescent="0.2">
      <c r="A55" s="1043"/>
      <c r="B55" s="1050"/>
      <c r="C55" s="1047"/>
      <c r="D55" s="1058"/>
    </row>
    <row r="56" spans="1:4" x14ac:dyDescent="0.2">
      <c r="A56" s="1043"/>
      <c r="B56" s="1046" t="s">
        <v>2021</v>
      </c>
      <c r="C56" s="1047">
        <f>C54+1</f>
        <v>17</v>
      </c>
      <c r="D56" s="1042" t="s">
        <v>1689</v>
      </c>
    </row>
    <row r="57" spans="1:4" ht="10.5" customHeight="1" x14ac:dyDescent="0.2">
      <c r="A57" s="1043"/>
      <c r="D57" s="1058" t="s">
        <v>1690</v>
      </c>
    </row>
    <row r="58" spans="1:4" x14ac:dyDescent="0.2">
      <c r="A58" s="1043"/>
      <c r="C58" s="1065" t="s">
        <v>2021</v>
      </c>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t="s">
        <v>2067</v>
      </c>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t="s">
        <v>2021</v>
      </c>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t="s">
        <v>2067</v>
      </c>
      <c r="D69" s="1058" t="s">
        <v>1694</v>
      </c>
    </row>
    <row r="70" spans="1:4" x14ac:dyDescent="0.2">
      <c r="A70" s="1043"/>
      <c r="D70" s="1067" t="s">
        <v>1198</v>
      </c>
    </row>
    <row r="71" spans="1:4" ht="3" customHeight="1" x14ac:dyDescent="0.2">
      <c r="A71" s="1043"/>
      <c r="D71" s="1042"/>
    </row>
    <row r="72" spans="1:4" x14ac:dyDescent="0.2">
      <c r="A72" s="1043"/>
      <c r="B72" s="1046" t="s">
        <v>2021</v>
      </c>
      <c r="C72" s="1047">
        <f>C56+1</f>
        <v>18</v>
      </c>
      <c r="D72" s="1068" t="s">
        <v>1695</v>
      </c>
    </row>
    <row r="73" spans="1:4" ht="3" customHeight="1" x14ac:dyDescent="0.2">
      <c r="A73" s="1043"/>
      <c r="B73" s="1050"/>
      <c r="C73" s="1047"/>
      <c r="D73" s="1068"/>
    </row>
    <row r="74" spans="1:4" x14ac:dyDescent="0.2">
      <c r="A74" s="1043"/>
      <c r="B74" s="1046" t="s">
        <v>2021</v>
      </c>
      <c r="C74" s="1047">
        <f>C72+1</f>
        <v>19</v>
      </c>
      <c r="D74" s="1058" t="s">
        <v>1197</v>
      </c>
    </row>
    <row r="75" spans="1:4" ht="3" customHeight="1" x14ac:dyDescent="0.2">
      <c r="A75" s="1043"/>
      <c r="B75" s="1050"/>
      <c r="C75" s="1047"/>
      <c r="D75" s="1058"/>
    </row>
    <row r="76" spans="1:4" x14ac:dyDescent="0.2">
      <c r="A76" s="1043"/>
      <c r="B76" s="1046" t="s">
        <v>2021</v>
      </c>
      <c r="C76" s="1047">
        <f>C74+1</f>
        <v>20</v>
      </c>
      <c r="D76" s="1069" t="s">
        <v>1696</v>
      </c>
    </row>
    <row r="77" spans="1:4" ht="3" customHeight="1" x14ac:dyDescent="0.2">
      <c r="A77" s="1043"/>
      <c r="B77" s="1050"/>
      <c r="C77" s="1047"/>
      <c r="D77" s="1069"/>
    </row>
    <row r="78" spans="1:4" x14ac:dyDescent="0.2">
      <c r="A78" s="1043"/>
      <c r="B78" s="1046" t="s">
        <v>2021</v>
      </c>
      <c r="C78" s="1047">
        <f>C76+1</f>
        <v>21</v>
      </c>
      <c r="D78" s="1042" t="s">
        <v>1697</v>
      </c>
    </row>
    <row r="79" spans="1:4" ht="3" customHeight="1" x14ac:dyDescent="0.2">
      <c r="A79" s="1043"/>
      <c r="B79" s="1050"/>
      <c r="C79" s="1047"/>
      <c r="D79" s="1042"/>
    </row>
    <row r="80" spans="1:4" x14ac:dyDescent="0.2">
      <c r="A80" s="1043"/>
      <c r="B80" s="1046" t="s">
        <v>2021</v>
      </c>
      <c r="C80" s="1047">
        <f>C78+1</f>
        <v>22</v>
      </c>
      <c r="D80" s="1070" t="s">
        <v>1698</v>
      </c>
    </row>
    <row r="81" spans="1:4" ht="3" customHeight="1" x14ac:dyDescent="0.2">
      <c r="A81" s="1043"/>
      <c r="B81" s="1050"/>
      <c r="C81" s="1047"/>
      <c r="D81" s="1070"/>
    </row>
    <row r="82" spans="1:4" x14ac:dyDescent="0.2">
      <c r="A82" s="1043"/>
      <c r="B82" s="1046" t="s">
        <v>2021</v>
      </c>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t="s">
        <v>2021</v>
      </c>
      <c r="C85" s="1047">
        <f>C82+1</f>
        <v>24</v>
      </c>
      <c r="D85" s="1058" t="s">
        <v>1195</v>
      </c>
    </row>
    <row r="86" spans="1:4" ht="3" customHeight="1" x14ac:dyDescent="0.2">
      <c r="A86" s="1043"/>
      <c r="B86" s="1050"/>
      <c r="C86" s="1047"/>
      <c r="D86" s="1058"/>
    </row>
    <row r="87" spans="1:4" x14ac:dyDescent="0.2">
      <c r="A87" s="1043"/>
      <c r="B87" s="1046" t="s">
        <v>2021</v>
      </c>
      <c r="C87" s="1047">
        <f>C85+1</f>
        <v>25</v>
      </c>
      <c r="D87" s="1058" t="s">
        <v>1194</v>
      </c>
    </row>
    <row r="88" spans="1:4" ht="3" customHeight="1" x14ac:dyDescent="0.2">
      <c r="A88" s="1043"/>
      <c r="B88" s="1050"/>
      <c r="C88" s="1047"/>
      <c r="D88" s="1058"/>
    </row>
    <row r="89" spans="1:4" x14ac:dyDescent="0.2">
      <c r="A89" s="1043"/>
      <c r="B89" s="1046" t="s">
        <v>2021</v>
      </c>
      <c r="C89" s="1047">
        <f>C87+1</f>
        <v>26</v>
      </c>
      <c r="D89" s="1058" t="s">
        <v>1193</v>
      </c>
    </row>
    <row r="90" spans="1:4" ht="3" customHeight="1" x14ac:dyDescent="0.2">
      <c r="A90" s="1043"/>
      <c r="B90" s="1050"/>
      <c r="C90" s="1047"/>
      <c r="D90" s="1058"/>
    </row>
    <row r="91" spans="1:4" x14ac:dyDescent="0.2">
      <c r="A91" s="1043"/>
      <c r="B91" s="1046" t="s">
        <v>2067</v>
      </c>
      <c r="C91" s="1047">
        <f>C89+1</f>
        <v>27</v>
      </c>
      <c r="D91" s="1058" t="s">
        <v>1700</v>
      </c>
    </row>
    <row r="92" spans="1:4" x14ac:dyDescent="0.2">
      <c r="A92" s="1043"/>
      <c r="B92" s="1071"/>
      <c r="C92" s="1065" t="s">
        <v>2067</v>
      </c>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t="s">
        <v>2021</v>
      </c>
      <c r="C96" s="1047">
        <f>C91+1</f>
        <v>28</v>
      </c>
      <c r="D96" s="1058" t="s">
        <v>1701</v>
      </c>
    </row>
    <row r="97" spans="1:4" ht="3" customHeight="1" x14ac:dyDescent="0.2">
      <c r="A97" s="1043"/>
      <c r="B97" s="1050"/>
      <c r="C97" s="1047"/>
      <c r="D97" s="1058"/>
    </row>
    <row r="98" spans="1:4" x14ac:dyDescent="0.2">
      <c r="A98" s="1043"/>
      <c r="B98" s="1046" t="s">
        <v>2021</v>
      </c>
      <c r="C98" s="1047">
        <f>C96+1</f>
        <v>29</v>
      </c>
      <c r="D98" s="1072" t="s">
        <v>1702</v>
      </c>
    </row>
    <row r="99" spans="1:4" ht="3" customHeight="1" x14ac:dyDescent="0.2">
      <c r="A99" s="1043"/>
      <c r="B99" s="1050"/>
      <c r="C99" s="1047"/>
      <c r="D99" s="1072"/>
    </row>
    <row r="100" spans="1:4" x14ac:dyDescent="0.2">
      <c r="A100" s="1043"/>
      <c r="B100" s="1046" t="s">
        <v>2021</v>
      </c>
      <c r="C100" s="1047">
        <f>C98+1</f>
        <v>30</v>
      </c>
      <c r="D100" s="1058" t="s">
        <v>1703</v>
      </c>
    </row>
    <row r="101" spans="1:4" ht="3" customHeight="1" x14ac:dyDescent="0.2">
      <c r="A101" s="1043"/>
      <c r="B101" s="1050"/>
      <c r="C101" s="1047"/>
      <c r="D101" s="1073"/>
    </row>
    <row r="102" spans="1:4" x14ac:dyDescent="0.2">
      <c r="A102" s="1043"/>
      <c r="B102" s="1046" t="s">
        <v>2021</v>
      </c>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t="s">
        <v>2067</v>
      </c>
      <c r="C106" s="1047">
        <f>C102+1</f>
        <v>32</v>
      </c>
      <c r="D106" s="1042" t="s">
        <v>1566</v>
      </c>
    </row>
    <row r="107" spans="1:4" ht="3" customHeight="1" x14ac:dyDescent="0.2">
      <c r="A107" s="1043"/>
      <c r="B107" s="1050"/>
      <c r="C107" s="1047"/>
      <c r="D107" s="1042"/>
    </row>
    <row r="108" spans="1:4" x14ac:dyDescent="0.2">
      <c r="A108" s="1043"/>
      <c r="B108" s="1046" t="s">
        <v>2067</v>
      </c>
      <c r="C108" s="1047">
        <v>33</v>
      </c>
      <c r="D108" s="1042" t="s">
        <v>1704</v>
      </c>
    </row>
    <row r="109" spans="1:4" ht="3" customHeight="1" x14ac:dyDescent="0.2">
      <c r="A109" s="1043"/>
      <c r="B109" s="1050"/>
      <c r="C109" s="1047"/>
      <c r="D109" s="1042"/>
    </row>
    <row r="110" spans="1:4" x14ac:dyDescent="0.2">
      <c r="A110" s="1043"/>
      <c r="B110" s="1046" t="s">
        <v>2067</v>
      </c>
      <c r="C110" s="1047">
        <f>C108+1</f>
        <v>34</v>
      </c>
      <c r="D110" s="1042" t="s">
        <v>1190</v>
      </c>
    </row>
    <row r="111" spans="1:4" ht="3" customHeight="1" x14ac:dyDescent="0.2">
      <c r="A111" s="1043"/>
      <c r="B111" s="1050"/>
      <c r="C111" s="1047"/>
      <c r="D111" s="1042"/>
    </row>
    <row r="112" spans="1:4" x14ac:dyDescent="0.2">
      <c r="A112" s="1043"/>
      <c r="B112" s="1046" t="s">
        <v>2067</v>
      </c>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t="s">
        <v>2067</v>
      </c>
      <c r="C115" s="1047">
        <f>C112+1</f>
        <v>36</v>
      </c>
      <c r="D115" s="1058" t="s">
        <v>1187</v>
      </c>
    </row>
    <row r="116" spans="1:4" ht="3" customHeight="1" x14ac:dyDescent="0.2">
      <c r="A116" s="1043"/>
      <c r="B116" s="1050"/>
      <c r="C116" s="1047"/>
      <c r="D116" s="1058"/>
    </row>
    <row r="117" spans="1:4" x14ac:dyDescent="0.2">
      <c r="A117" s="1043"/>
      <c r="B117" s="1046" t="s">
        <v>2067</v>
      </c>
      <c r="C117" s="1047">
        <f>C115+1</f>
        <v>37</v>
      </c>
      <c r="D117" s="1058" t="s">
        <v>1705</v>
      </c>
    </row>
    <row r="118" spans="1:4" ht="3" customHeight="1" x14ac:dyDescent="0.2">
      <c r="A118" s="1043"/>
      <c r="B118" s="1050"/>
      <c r="C118" s="1047"/>
      <c r="D118" s="1058"/>
    </row>
    <row r="119" spans="1:4" x14ac:dyDescent="0.2">
      <c r="A119" s="1043"/>
      <c r="B119" s="1046" t="s">
        <v>2067</v>
      </c>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t="s">
        <v>2067</v>
      </c>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25" sqref="D25"/>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501" t="str">
        <f>'Single Audit Cover'!A7</f>
        <v xml:space="preserve">  Lemont-Bromberek CSD</v>
      </c>
      <c r="B1" s="2501"/>
      <c r="C1" s="2501"/>
      <c r="D1" s="2501"/>
      <c r="E1" s="2501"/>
    </row>
    <row r="2" spans="1:5" x14ac:dyDescent="0.2">
      <c r="A2" s="2502" t="str">
        <f>'Single Audit Cover'!E7</f>
        <v xml:space="preserve">07016113A02 </v>
      </c>
      <c r="B2" s="2502"/>
      <c r="C2" s="2502"/>
      <c r="D2" s="2502"/>
      <c r="E2" s="2502"/>
    </row>
    <row r="3" spans="1:5" ht="4.5" customHeight="1" x14ac:dyDescent="0.2"/>
    <row r="4" spans="1:5" x14ac:dyDescent="0.2">
      <c r="A4" s="2501" t="s">
        <v>1236</v>
      </c>
      <c r="B4" s="2501"/>
      <c r="C4" s="2501"/>
      <c r="D4" s="2501"/>
      <c r="E4" s="2501"/>
    </row>
    <row r="5" spans="1:5" x14ac:dyDescent="0.2">
      <c r="A5" s="2504" t="str">
        <f>'Single Audit Cover'!A4</f>
        <v>Year Ending June 30, 2020</v>
      </c>
      <c r="B5" s="2504"/>
      <c r="C5" s="2504"/>
      <c r="D5" s="2504"/>
      <c r="E5" s="2504"/>
    </row>
    <row r="6" spans="1:5" x14ac:dyDescent="0.2">
      <c r="A6" s="2501" t="s">
        <v>1235</v>
      </c>
      <c r="B6" s="2501"/>
      <c r="C6" s="2501"/>
      <c r="D6" s="2501"/>
      <c r="E6" s="2501"/>
    </row>
    <row r="8" spans="1:5" x14ac:dyDescent="0.2">
      <c r="A8" s="1081" t="s">
        <v>1234</v>
      </c>
    </row>
    <row r="10" spans="1:5" x14ac:dyDescent="0.2">
      <c r="A10" s="1082" t="s">
        <v>1233</v>
      </c>
      <c r="B10" s="1083" t="s">
        <v>1232</v>
      </c>
      <c r="C10" s="1083"/>
      <c r="D10" s="1084">
        <f>SUM('Acct Summary 7-8'!C7:K7)</f>
        <v>1158019</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25326</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-4535</v>
      </c>
    </row>
    <row r="19" spans="1:4" ht="13.5" thickBot="1" x14ac:dyDescent="0.25">
      <c r="A19" s="1086" t="s">
        <v>1226</v>
      </c>
      <c r="D19" s="1087">
        <f>SUM(D10:D17)</f>
        <v>1178810</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503" t="s">
        <v>2107</v>
      </c>
      <c r="B24" s="2503"/>
      <c r="D24" s="1089">
        <v>-3</v>
      </c>
    </row>
    <row r="25" spans="1:4" x14ac:dyDescent="0.2">
      <c r="A25" s="2500"/>
      <c r="B25" s="2500"/>
      <c r="D25" s="1089"/>
    </row>
    <row r="26" spans="1:4" x14ac:dyDescent="0.2">
      <c r="A26" s="2500"/>
      <c r="B26" s="2500"/>
      <c r="D26" s="1089"/>
    </row>
    <row r="27" spans="1:4" x14ac:dyDescent="0.2">
      <c r="A27" s="2500"/>
      <c r="B27" s="2500"/>
      <c r="D27" s="1089"/>
    </row>
    <row r="28" spans="1:4" x14ac:dyDescent="0.2">
      <c r="A28" s="2500"/>
      <c r="B28" s="2500"/>
      <c r="D28" s="1089"/>
    </row>
    <row r="29" spans="1:4" x14ac:dyDescent="0.2">
      <c r="A29" s="2500"/>
      <c r="B29" s="2500"/>
      <c r="D29" s="1089"/>
    </row>
    <row r="30" spans="1:4" x14ac:dyDescent="0.2">
      <c r="A30" s="2500"/>
      <c r="B30" s="2500"/>
      <c r="D30" s="1089"/>
    </row>
    <row r="32" spans="1:4" x14ac:dyDescent="0.2">
      <c r="A32" s="1081" t="s">
        <v>1224</v>
      </c>
      <c r="D32" s="1084">
        <f>SUM(D19:D30)</f>
        <v>1178807</v>
      </c>
    </row>
    <row r="33" spans="1:4" x14ac:dyDescent="0.2">
      <c r="D33" s="1090"/>
    </row>
    <row r="34" spans="1:4" x14ac:dyDescent="0.2">
      <c r="A34" s="295" t="s">
        <v>1223</v>
      </c>
    </row>
    <row r="35" spans="1:4" x14ac:dyDescent="0.2">
      <c r="A35" s="295" t="s">
        <v>1222</v>
      </c>
      <c r="B35" s="1079" t="s">
        <v>1221</v>
      </c>
      <c r="D35" s="1091">
        <f>' SEFA'!F43</f>
        <v>1178807</v>
      </c>
    </row>
    <row r="37" spans="1:4" x14ac:dyDescent="0.2">
      <c r="A37" s="1081" t="s">
        <v>1220</v>
      </c>
    </row>
    <row r="39" spans="1:4" ht="13.35" customHeight="1" x14ac:dyDescent="0.2">
      <c r="A39" s="1088" t="s">
        <v>1219</v>
      </c>
    </row>
    <row r="40" spans="1:4" x14ac:dyDescent="0.2">
      <c r="A40" s="2500"/>
      <c r="B40" s="2500"/>
      <c r="D40" s="1089"/>
    </row>
    <row r="41" spans="1:4" x14ac:dyDescent="0.2">
      <c r="A41" s="2500"/>
      <c r="B41" s="2500"/>
      <c r="D41" s="1092"/>
    </row>
    <row r="42" spans="1:4" x14ac:dyDescent="0.2">
      <c r="A42" s="2500"/>
      <c r="B42" s="2500"/>
      <c r="D42" s="1092"/>
    </row>
    <row r="43" spans="1:4" x14ac:dyDescent="0.2">
      <c r="A43" s="2500"/>
      <c r="B43" s="2500"/>
      <c r="D43" s="1092"/>
    </row>
    <row r="44" spans="1:4" x14ac:dyDescent="0.2">
      <c r="A44" s="2500"/>
      <c r="B44" s="2500"/>
      <c r="D44" s="1092"/>
    </row>
    <row r="45" spans="1:4" x14ac:dyDescent="0.2">
      <c r="A45" s="2500"/>
      <c r="B45" s="2500"/>
      <c r="D45" s="1092"/>
    </row>
    <row r="47" spans="1:4" x14ac:dyDescent="0.2">
      <c r="B47" s="1093" t="s">
        <v>1218</v>
      </c>
      <c r="C47" s="1093"/>
      <c r="D47" s="1094">
        <f>SUM(D35:D45)</f>
        <v>1178807</v>
      </c>
    </row>
    <row r="49" spans="2:4" x14ac:dyDescent="0.2">
      <c r="B49" s="1093" t="s">
        <v>1217</v>
      </c>
      <c r="C49" s="1093"/>
      <c r="D49" s="1094">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69"/>
  <sheetViews>
    <sheetView showGridLines="0" topLeftCell="A19" zoomScaleNormal="100" workbookViewId="0">
      <selection activeCell="F16" sqref="F16"/>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83" t="str">
        <f>'Single Audit Cover'!A7</f>
        <v xml:space="preserve">  Lemont-Bromberek CSD</v>
      </c>
      <c r="C1" s="2505"/>
      <c r="D1" s="2505"/>
      <c r="E1" s="2505"/>
      <c r="F1" s="2505"/>
      <c r="G1" s="2505"/>
      <c r="H1" s="2505"/>
      <c r="I1" s="2505"/>
      <c r="J1" s="2505"/>
      <c r="K1" s="2505"/>
      <c r="L1" s="2505"/>
      <c r="M1" s="2505"/>
    </row>
    <row r="2" spans="2:14" ht="15" x14ac:dyDescent="0.2">
      <c r="B2" s="2506" t="str">
        <f>'Single Audit Cover'!E7</f>
        <v xml:space="preserve">07016113A02 </v>
      </c>
      <c r="C2" s="2506"/>
      <c r="D2" s="2506"/>
      <c r="E2" s="2506"/>
      <c r="F2" s="2506"/>
      <c r="G2" s="2506"/>
      <c r="H2" s="2506"/>
      <c r="I2" s="2506"/>
      <c r="J2" s="2506"/>
      <c r="K2" s="2506"/>
      <c r="L2" s="2506"/>
      <c r="M2" s="2506"/>
      <c r="N2" s="1123"/>
    </row>
    <row r="3" spans="2:14" ht="15" x14ac:dyDescent="0.2">
      <c r="B3" s="2507" t="s">
        <v>1210</v>
      </c>
      <c r="C3" s="2507"/>
      <c r="D3" s="2507"/>
      <c r="E3" s="2507"/>
      <c r="F3" s="2507"/>
      <c r="G3" s="2507"/>
      <c r="H3" s="2507"/>
      <c r="I3" s="2507"/>
      <c r="J3" s="2507"/>
      <c r="K3" s="2507"/>
      <c r="L3" s="2507"/>
      <c r="M3" s="2507"/>
      <c r="N3" s="1123"/>
    </row>
    <row r="4" spans="2:14" ht="15" x14ac:dyDescent="0.2">
      <c r="B4" s="2508" t="str">
        <f>'Single Audit Cover'!A4</f>
        <v>Year Ending June 30, 2020</v>
      </c>
      <c r="C4" s="2508"/>
      <c r="D4" s="2508"/>
      <c r="E4" s="2508"/>
      <c r="F4" s="2508"/>
      <c r="G4" s="2508"/>
      <c r="H4" s="2508"/>
      <c r="I4" s="2508"/>
      <c r="J4" s="2508"/>
      <c r="K4" s="2508"/>
      <c r="L4" s="2508"/>
      <c r="M4" s="2508"/>
      <c r="N4" s="1123"/>
    </row>
    <row r="5" spans="2:14" x14ac:dyDescent="0.2">
      <c r="H5" s="1984"/>
      <c r="J5" s="1984"/>
    </row>
    <row r="6" spans="2:14" x14ac:dyDescent="0.2">
      <c r="B6" s="1124"/>
      <c r="C6" s="1125"/>
      <c r="D6" s="1126" t="s">
        <v>1256</v>
      </c>
      <c r="E6" s="1127" t="s">
        <v>524</v>
      </c>
      <c r="F6" s="1128"/>
      <c r="G6" s="1129" t="s">
        <v>1714</v>
      </c>
      <c r="H6" s="1127"/>
      <c r="I6" s="1127"/>
      <c r="J6" s="1985"/>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3" t="str">
        <f>"7/1/"&amp;MID('AFR20'!$E$2,3,2)-2&amp;"-6/30/"&amp;MID('AFR20'!$E$2,3,2)-1</f>
        <v>7/1/18-6/30/19</v>
      </c>
      <c r="F9" s="1983" t="str">
        <f>"7/1/"&amp;MID('AFR20'!$E$2,3,2)-1&amp;"-6/30/"&amp;MID('AFR20'!$E$2,3,2)</f>
        <v>7/1/19-6/30/20</v>
      </c>
      <c r="G9" s="1983" t="str">
        <f>"7/1/"&amp;MID('AFR20'!$E$2,3,2)-2&amp;"-6/30/"&amp;MID('AFR20'!$E$2,3,2)-1</f>
        <v>7/1/18-6/30/19</v>
      </c>
      <c r="H9" s="1138" t="s">
        <v>1568</v>
      </c>
      <c r="I9" s="1983"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2071</v>
      </c>
      <c r="C11" s="1879"/>
      <c r="D11" s="1880"/>
      <c r="E11" s="1881"/>
      <c r="F11" s="1881"/>
      <c r="G11" s="1881"/>
      <c r="H11" s="1881"/>
      <c r="I11" s="1881"/>
      <c r="J11" s="1881"/>
      <c r="K11" s="1881"/>
      <c r="L11" s="1881"/>
      <c r="M11" s="1881"/>
    </row>
    <row r="12" spans="2:14" ht="20.100000000000001" customHeight="1" x14ac:dyDescent="0.2">
      <c r="B12" s="1158" t="s">
        <v>2072</v>
      </c>
      <c r="C12" s="1882"/>
      <c r="D12" s="1883"/>
      <c r="E12" s="1884"/>
      <c r="F12" s="1884"/>
      <c r="G12" s="1884"/>
      <c r="H12" s="1884"/>
      <c r="I12" s="1884"/>
      <c r="J12" s="1884"/>
      <c r="K12" s="1884"/>
      <c r="L12" s="1881"/>
      <c r="M12" s="1884"/>
    </row>
    <row r="13" spans="2:14" ht="20.100000000000001" customHeight="1" x14ac:dyDescent="0.2">
      <c r="B13" s="1158" t="s">
        <v>2073</v>
      </c>
      <c r="C13" s="1882"/>
      <c r="D13" s="1883"/>
      <c r="E13" s="1884"/>
      <c r="F13" s="1884"/>
      <c r="G13" s="1884"/>
      <c r="H13" s="1884"/>
      <c r="I13" s="1884"/>
      <c r="J13" s="1884"/>
      <c r="K13" s="1884"/>
      <c r="L13" s="1881"/>
      <c r="M13" s="1884"/>
    </row>
    <row r="14" spans="2:14" ht="20.100000000000001" customHeight="1" x14ac:dyDescent="0.2">
      <c r="B14" s="1158" t="s">
        <v>2074</v>
      </c>
      <c r="C14" s="1882">
        <v>10.555</v>
      </c>
      <c r="D14" s="1883" t="s">
        <v>2079</v>
      </c>
      <c r="E14" s="1884">
        <v>80286</v>
      </c>
      <c r="F14" s="1884">
        <v>18757</v>
      </c>
      <c r="G14" s="1884">
        <f>E14</f>
        <v>80286</v>
      </c>
      <c r="H14" s="1884">
        <v>0</v>
      </c>
      <c r="I14" s="1884">
        <f>F14</f>
        <v>18757</v>
      </c>
      <c r="J14" s="1884">
        <v>0</v>
      </c>
      <c r="K14" s="1884">
        <v>0</v>
      </c>
      <c r="L14" s="1881">
        <f t="shared" ref="L14:L27" si="0">+G14+I14+K14</f>
        <v>99043</v>
      </c>
      <c r="M14" s="1884"/>
    </row>
    <row r="15" spans="2:14" ht="20.100000000000001" customHeight="1" x14ac:dyDescent="0.2">
      <c r="B15" s="1158" t="s">
        <v>2074</v>
      </c>
      <c r="C15" s="1882">
        <v>10.555</v>
      </c>
      <c r="D15" s="1883" t="s">
        <v>2080</v>
      </c>
      <c r="E15" s="1884">
        <v>0</v>
      </c>
      <c r="F15" s="1884">
        <v>86979</v>
      </c>
      <c r="G15" s="1884">
        <f>E15</f>
        <v>0</v>
      </c>
      <c r="H15" s="1884">
        <v>0</v>
      </c>
      <c r="I15" s="1884">
        <f>F15</f>
        <v>86979</v>
      </c>
      <c r="J15" s="1884">
        <v>0</v>
      </c>
      <c r="K15" s="1884">
        <v>0</v>
      </c>
      <c r="L15" s="1881">
        <f t="shared" si="0"/>
        <v>86979</v>
      </c>
      <c r="M15" s="1884"/>
    </row>
    <row r="16" spans="2:14" ht="20.100000000000001" customHeight="1" x14ac:dyDescent="0.2">
      <c r="B16" s="1158" t="s">
        <v>1437</v>
      </c>
      <c r="C16" s="1882">
        <v>10.558999999999999</v>
      </c>
      <c r="D16" s="1883" t="s">
        <v>2089</v>
      </c>
      <c r="E16" s="1884">
        <v>0</v>
      </c>
      <c r="F16" s="1884">
        <v>49630</v>
      </c>
      <c r="G16" s="1884">
        <f>E16</f>
        <v>0</v>
      </c>
      <c r="H16" s="1884">
        <v>0</v>
      </c>
      <c r="I16" s="1884">
        <f>F16</f>
        <v>49630</v>
      </c>
      <c r="J16" s="1884">
        <v>0</v>
      </c>
      <c r="K16" s="1884">
        <v>0</v>
      </c>
      <c r="L16" s="1881">
        <f>G16+I16+K16</f>
        <v>49630</v>
      </c>
      <c r="M16" s="1884"/>
    </row>
    <row r="17" spans="2:13" ht="20.100000000000001" customHeight="1" x14ac:dyDescent="0.2">
      <c r="B17" s="1158" t="s">
        <v>2075</v>
      </c>
      <c r="C17" s="1882">
        <v>10.555</v>
      </c>
      <c r="D17" s="1883" t="s">
        <v>2067</v>
      </c>
      <c r="E17" s="1884">
        <v>9170</v>
      </c>
      <c r="F17" s="1884">
        <v>13898</v>
      </c>
      <c r="G17" s="1884">
        <f>E17</f>
        <v>9170</v>
      </c>
      <c r="H17" s="1884">
        <v>0</v>
      </c>
      <c r="I17" s="1884">
        <f>F17</f>
        <v>13898</v>
      </c>
      <c r="J17" s="1884">
        <v>0</v>
      </c>
      <c r="K17" s="1884">
        <v>0</v>
      </c>
      <c r="L17" s="1881">
        <f t="shared" si="0"/>
        <v>23068</v>
      </c>
      <c r="M17" s="1884"/>
    </row>
    <row r="18" spans="2:13" ht="20.100000000000001" customHeight="1" x14ac:dyDescent="0.2">
      <c r="B18" s="1158" t="s">
        <v>2076</v>
      </c>
      <c r="C18" s="1882">
        <v>10.555</v>
      </c>
      <c r="D18" s="1883" t="s">
        <v>2067</v>
      </c>
      <c r="E18" s="1884">
        <v>13849</v>
      </c>
      <c r="F18" s="1884">
        <v>11427</v>
      </c>
      <c r="G18" s="1884">
        <f>E18</f>
        <v>13849</v>
      </c>
      <c r="H18" s="1884">
        <v>0</v>
      </c>
      <c r="I18" s="1884">
        <f>F18</f>
        <v>11427</v>
      </c>
      <c r="J18" s="1884">
        <v>0</v>
      </c>
      <c r="K18" s="1884">
        <v>0</v>
      </c>
      <c r="L18" s="1881">
        <f t="shared" si="0"/>
        <v>25276</v>
      </c>
      <c r="M18" s="1884"/>
    </row>
    <row r="19" spans="2:13" ht="20.100000000000001" customHeight="1" x14ac:dyDescent="0.2">
      <c r="B19" s="1990" t="s">
        <v>2078</v>
      </c>
      <c r="C19" s="1882"/>
      <c r="D19" s="1883"/>
      <c r="E19" s="1995">
        <f t="shared" ref="E19:K19" si="1">SUM(E14:E18)</f>
        <v>103305</v>
      </c>
      <c r="F19" s="1995">
        <f t="shared" si="1"/>
        <v>180691</v>
      </c>
      <c r="G19" s="1995">
        <f t="shared" si="1"/>
        <v>103305</v>
      </c>
      <c r="H19" s="1995">
        <f t="shared" si="1"/>
        <v>0</v>
      </c>
      <c r="I19" s="1995">
        <f t="shared" si="1"/>
        <v>180691</v>
      </c>
      <c r="J19" s="1995">
        <f t="shared" si="1"/>
        <v>0</v>
      </c>
      <c r="K19" s="1995">
        <f t="shared" si="1"/>
        <v>0</v>
      </c>
      <c r="L19" s="1996">
        <f t="shared" si="0"/>
        <v>283996</v>
      </c>
      <c r="M19" s="1884"/>
    </row>
    <row r="20" spans="2:13" ht="20.100000000000001" customHeight="1" x14ac:dyDescent="0.2">
      <c r="B20" s="1990" t="s">
        <v>2077</v>
      </c>
      <c r="C20" s="1882"/>
      <c r="D20" s="1883"/>
      <c r="E20" s="1995">
        <f t="shared" ref="E20:L20" si="2">E19</f>
        <v>103305</v>
      </c>
      <c r="F20" s="1995">
        <f t="shared" si="2"/>
        <v>180691</v>
      </c>
      <c r="G20" s="1995">
        <f t="shared" si="2"/>
        <v>103305</v>
      </c>
      <c r="H20" s="1995">
        <f t="shared" si="2"/>
        <v>0</v>
      </c>
      <c r="I20" s="1995">
        <f t="shared" si="2"/>
        <v>180691</v>
      </c>
      <c r="J20" s="1995">
        <f t="shared" si="2"/>
        <v>0</v>
      </c>
      <c r="K20" s="1995">
        <f t="shared" si="2"/>
        <v>0</v>
      </c>
      <c r="L20" s="1996">
        <f t="shared" si="2"/>
        <v>283996</v>
      </c>
      <c r="M20" s="1884"/>
    </row>
    <row r="21" spans="2:13" ht="20.100000000000001" customHeight="1" x14ac:dyDescent="0.2">
      <c r="B21" s="1158"/>
      <c r="C21" s="1882"/>
      <c r="D21" s="1883"/>
      <c r="E21" s="1884"/>
      <c r="F21" s="1884"/>
      <c r="G21" s="1884"/>
      <c r="H21" s="1884"/>
      <c r="I21" s="1884"/>
      <c r="J21" s="1884"/>
      <c r="K21" s="1884"/>
      <c r="L21" s="1881"/>
      <c r="M21" s="1884"/>
    </row>
    <row r="22" spans="2:13" ht="20.100000000000001" customHeight="1" x14ac:dyDescent="0.2">
      <c r="B22" s="1158" t="s">
        <v>2081</v>
      </c>
      <c r="C22" s="1882"/>
      <c r="D22" s="1883"/>
      <c r="E22" s="1884"/>
      <c r="F22" s="1884"/>
      <c r="G22" s="1884"/>
      <c r="H22" s="1884"/>
      <c r="I22" s="1884"/>
      <c r="J22" s="1884"/>
      <c r="K22" s="1884"/>
      <c r="L22" s="1881"/>
      <c r="M22" s="1884"/>
    </row>
    <row r="23" spans="2:13" ht="20.100000000000001" customHeight="1" x14ac:dyDescent="0.2">
      <c r="B23" s="1991" t="s">
        <v>2086</v>
      </c>
      <c r="C23" s="1882"/>
      <c r="D23" s="1883"/>
      <c r="E23" s="1884"/>
      <c r="F23" s="1884"/>
      <c r="G23" s="1884"/>
      <c r="H23" s="1884"/>
      <c r="I23" s="1884"/>
      <c r="J23" s="1884"/>
      <c r="K23" s="1884"/>
      <c r="L23" s="1881"/>
      <c r="M23" s="1884"/>
    </row>
    <row r="24" spans="2:13" ht="20.100000000000001" customHeight="1" x14ac:dyDescent="0.2">
      <c r="B24" s="1992" t="s">
        <v>2083</v>
      </c>
      <c r="C24" s="1882"/>
      <c r="D24" s="1883"/>
      <c r="E24" s="1884"/>
      <c r="F24" s="1884"/>
      <c r="G24" s="1884"/>
      <c r="H24" s="1884"/>
      <c r="I24" s="1884"/>
      <c r="J24" s="1884"/>
      <c r="K24" s="1884"/>
      <c r="L24" s="1881"/>
      <c r="M24" s="1884"/>
    </row>
    <row r="25" spans="2:13" ht="20.100000000000001" customHeight="1" x14ac:dyDescent="0.2">
      <c r="B25" s="1993" t="s">
        <v>2082</v>
      </c>
      <c r="C25" s="1882">
        <v>84.027000000000001</v>
      </c>
      <c r="D25" s="1883" t="s">
        <v>2090</v>
      </c>
      <c r="E25" s="1884">
        <v>0</v>
      </c>
      <c r="F25" s="1884">
        <v>122359</v>
      </c>
      <c r="G25" s="1884">
        <f>E25</f>
        <v>0</v>
      </c>
      <c r="H25" s="1884">
        <v>0</v>
      </c>
      <c r="I25" s="1884">
        <f>F25</f>
        <v>122359</v>
      </c>
      <c r="J25" s="1884">
        <v>0</v>
      </c>
      <c r="K25" s="1884">
        <v>0</v>
      </c>
      <c r="L25" s="1881">
        <f t="shared" si="0"/>
        <v>122359</v>
      </c>
      <c r="M25" s="1884"/>
    </row>
    <row r="26" spans="2:13" ht="20.100000000000001" customHeight="1" x14ac:dyDescent="0.2">
      <c r="B26" s="1993" t="s">
        <v>2105</v>
      </c>
      <c r="C26" s="1882">
        <v>84.027000000000001</v>
      </c>
      <c r="D26" s="1883" t="s">
        <v>2091</v>
      </c>
      <c r="E26" s="1884">
        <v>0</v>
      </c>
      <c r="F26" s="1884">
        <v>525682</v>
      </c>
      <c r="G26" s="1884">
        <f>E26</f>
        <v>0</v>
      </c>
      <c r="H26" s="1884">
        <v>0</v>
      </c>
      <c r="I26" s="1884">
        <f>F26</f>
        <v>525682</v>
      </c>
      <c r="J26" s="1884">
        <v>0</v>
      </c>
      <c r="K26" s="1884">
        <v>0</v>
      </c>
      <c r="L26" s="1881">
        <f t="shared" si="0"/>
        <v>525682</v>
      </c>
      <c r="M26" s="1884"/>
    </row>
    <row r="27" spans="2:13" ht="20.100000000000001" customHeight="1" x14ac:dyDescent="0.2">
      <c r="B27" s="1993" t="s">
        <v>2105</v>
      </c>
      <c r="C27" s="1882">
        <v>84.173000000000002</v>
      </c>
      <c r="D27" s="1883" t="s">
        <v>2092</v>
      </c>
      <c r="E27" s="1884">
        <v>0</v>
      </c>
      <c r="F27" s="1884">
        <v>22303</v>
      </c>
      <c r="G27" s="1884">
        <f>E27</f>
        <v>0</v>
      </c>
      <c r="H27" s="1884">
        <v>0</v>
      </c>
      <c r="I27" s="1884">
        <f>F27</f>
        <v>22303</v>
      </c>
      <c r="J27" s="1884">
        <v>0</v>
      </c>
      <c r="K27" s="1884">
        <v>0</v>
      </c>
      <c r="L27" s="1881">
        <f t="shared" si="0"/>
        <v>22303</v>
      </c>
      <c r="M27" s="1884"/>
    </row>
    <row r="28" spans="2:13" ht="20.100000000000001" customHeight="1" x14ac:dyDescent="0.2">
      <c r="B28" s="1994" t="s">
        <v>2084</v>
      </c>
      <c r="C28" s="1997"/>
      <c r="D28" s="1998"/>
      <c r="E28" s="1995">
        <f t="shared" ref="E28:L28" si="3">SUM(E25:E27)</f>
        <v>0</v>
      </c>
      <c r="F28" s="1995">
        <f t="shared" si="3"/>
        <v>670344</v>
      </c>
      <c r="G28" s="1995">
        <f t="shared" si="3"/>
        <v>0</v>
      </c>
      <c r="H28" s="1995">
        <f t="shared" si="3"/>
        <v>0</v>
      </c>
      <c r="I28" s="1995">
        <f t="shared" si="3"/>
        <v>670344</v>
      </c>
      <c r="J28" s="1995">
        <f t="shared" si="3"/>
        <v>0</v>
      </c>
      <c r="K28" s="1995">
        <f t="shared" si="3"/>
        <v>0</v>
      </c>
      <c r="L28" s="1996">
        <f t="shared" si="3"/>
        <v>670344</v>
      </c>
      <c r="M28" s="1884"/>
    </row>
    <row r="29" spans="2:13" ht="20.100000000000001" customHeight="1" x14ac:dyDescent="0.2">
      <c r="B29" s="1990" t="s">
        <v>2085</v>
      </c>
      <c r="C29" s="1997"/>
      <c r="D29" s="1998"/>
      <c r="E29" s="1995">
        <f t="shared" ref="E29:K29" si="4">E28</f>
        <v>0</v>
      </c>
      <c r="F29" s="1995">
        <f t="shared" si="4"/>
        <v>670344</v>
      </c>
      <c r="G29" s="1995">
        <f t="shared" si="4"/>
        <v>0</v>
      </c>
      <c r="H29" s="1995">
        <f t="shared" si="4"/>
        <v>0</v>
      </c>
      <c r="I29" s="1995">
        <f t="shared" si="4"/>
        <v>670344</v>
      </c>
      <c r="J29" s="1995">
        <f t="shared" si="4"/>
        <v>0</v>
      </c>
      <c r="K29" s="1995">
        <f t="shared" si="4"/>
        <v>0</v>
      </c>
      <c r="L29" s="1996">
        <f>G29+I29+K29</f>
        <v>670344</v>
      </c>
      <c r="M29" s="1884"/>
    </row>
    <row r="30" spans="2:13" ht="20.100000000000001" customHeight="1" x14ac:dyDescent="0.2">
      <c r="B30" s="1158"/>
      <c r="C30" s="1882"/>
      <c r="D30" s="1883"/>
      <c r="E30" s="1884"/>
      <c r="F30" s="1884"/>
      <c r="G30" s="1884"/>
      <c r="H30" s="1884"/>
      <c r="I30" s="1884"/>
      <c r="J30" s="1884"/>
      <c r="K30" s="1884"/>
      <c r="L30" s="1881"/>
      <c r="M30" s="1884"/>
    </row>
    <row r="31" spans="2:13" ht="20.100000000000001" customHeight="1" x14ac:dyDescent="0.2">
      <c r="B31" s="1158" t="s">
        <v>2087</v>
      </c>
      <c r="C31" s="1882"/>
      <c r="D31" s="1883"/>
      <c r="E31" s="1884"/>
      <c r="F31" s="1884"/>
      <c r="G31" s="1884"/>
      <c r="H31" s="1884"/>
      <c r="I31" s="1884"/>
      <c r="J31" s="1884"/>
      <c r="K31" s="1884"/>
      <c r="L31" s="1881"/>
      <c r="M31" s="1884"/>
    </row>
    <row r="32" spans="2:13" ht="20.100000000000001" customHeight="1" x14ac:dyDescent="0.2">
      <c r="B32" s="1991" t="s">
        <v>2086</v>
      </c>
      <c r="C32" s="1882"/>
      <c r="D32" s="1883"/>
      <c r="E32" s="1884"/>
      <c r="F32" s="1884"/>
      <c r="G32" s="1884"/>
      <c r="H32" s="1884"/>
      <c r="I32" s="1884"/>
      <c r="J32" s="1884"/>
      <c r="K32" s="1884"/>
      <c r="L32" s="1881"/>
      <c r="M32" s="1884"/>
    </row>
    <row r="33" spans="2:14" ht="20.100000000000001" customHeight="1" x14ac:dyDescent="0.2">
      <c r="B33" s="1992" t="s">
        <v>2083</v>
      </c>
      <c r="C33" s="1882"/>
      <c r="D33" s="1883"/>
      <c r="E33" s="1884"/>
      <c r="F33" s="1884"/>
      <c r="G33" s="1884"/>
      <c r="H33" s="1884"/>
      <c r="I33" s="1884"/>
      <c r="J33" s="1884"/>
      <c r="K33" s="1884"/>
      <c r="L33" s="1881"/>
      <c r="M33" s="1884"/>
    </row>
    <row r="34" spans="2:14" ht="20.100000000000001" customHeight="1" x14ac:dyDescent="0.2">
      <c r="B34" s="1993" t="s">
        <v>2106</v>
      </c>
      <c r="C34" s="1882">
        <v>84.01</v>
      </c>
      <c r="D34" s="1883" t="s">
        <v>2093</v>
      </c>
      <c r="E34" s="1884">
        <v>172280</v>
      </c>
      <c r="F34" s="1884">
        <v>24039</v>
      </c>
      <c r="G34" s="1884">
        <f t="shared" ref="G34:G39" si="5">E34</f>
        <v>172280</v>
      </c>
      <c r="H34" s="1884">
        <v>0</v>
      </c>
      <c r="I34" s="1884">
        <f t="shared" ref="I34:I39" si="6">F34</f>
        <v>24039</v>
      </c>
      <c r="J34" s="1884">
        <v>0</v>
      </c>
      <c r="K34" s="1884">
        <v>0</v>
      </c>
      <c r="L34" s="1881">
        <f t="shared" ref="L34:L39" si="7">G34+I34+K34</f>
        <v>196319</v>
      </c>
      <c r="M34" s="1884"/>
    </row>
    <row r="35" spans="2:14" ht="20.100000000000001" customHeight="1" x14ac:dyDescent="0.2">
      <c r="B35" s="1993" t="s">
        <v>2106</v>
      </c>
      <c r="C35" s="1882">
        <v>84.01</v>
      </c>
      <c r="D35" s="1883" t="s">
        <v>2094</v>
      </c>
      <c r="E35" s="1884">
        <v>0</v>
      </c>
      <c r="F35" s="1884">
        <v>207372</v>
      </c>
      <c r="G35" s="1884">
        <f t="shared" si="5"/>
        <v>0</v>
      </c>
      <c r="H35" s="1884">
        <v>0</v>
      </c>
      <c r="I35" s="1884">
        <f t="shared" si="6"/>
        <v>207372</v>
      </c>
      <c r="J35" s="1884">
        <v>0</v>
      </c>
      <c r="K35" s="1884">
        <v>0</v>
      </c>
      <c r="L35" s="1881">
        <f t="shared" si="7"/>
        <v>207372</v>
      </c>
      <c r="M35" s="1884"/>
    </row>
    <row r="36" spans="2:14" ht="20.100000000000001" customHeight="1" x14ac:dyDescent="0.2">
      <c r="B36" s="1993" t="s">
        <v>2101</v>
      </c>
      <c r="C36" s="1882">
        <v>84.367000000000004</v>
      </c>
      <c r="D36" s="1883" t="s">
        <v>2095</v>
      </c>
      <c r="E36" s="1884">
        <v>35991</v>
      </c>
      <c r="F36" s="1884">
        <v>27986</v>
      </c>
      <c r="G36" s="1884">
        <f t="shared" si="5"/>
        <v>35991</v>
      </c>
      <c r="H36" s="1884">
        <v>0</v>
      </c>
      <c r="I36" s="1884">
        <f t="shared" si="6"/>
        <v>27986</v>
      </c>
      <c r="J36" s="1884">
        <v>0</v>
      </c>
      <c r="K36" s="1884">
        <v>0</v>
      </c>
      <c r="L36" s="1881">
        <f t="shared" si="7"/>
        <v>63977</v>
      </c>
      <c r="M36" s="1884"/>
    </row>
    <row r="37" spans="2:14" ht="20.100000000000001" customHeight="1" x14ac:dyDescent="0.2">
      <c r="B37" s="1993" t="s">
        <v>2101</v>
      </c>
      <c r="C37" s="1882">
        <v>84.367000000000004</v>
      </c>
      <c r="D37" s="1883" t="s">
        <v>2096</v>
      </c>
      <c r="E37" s="1884">
        <v>0</v>
      </c>
      <c r="F37" s="1884">
        <v>49741</v>
      </c>
      <c r="G37" s="1884">
        <f t="shared" si="5"/>
        <v>0</v>
      </c>
      <c r="H37" s="1884">
        <v>0</v>
      </c>
      <c r="I37" s="1884">
        <f t="shared" si="6"/>
        <v>49741</v>
      </c>
      <c r="J37" s="1884">
        <v>0</v>
      </c>
      <c r="K37" s="1884">
        <v>0</v>
      </c>
      <c r="L37" s="1881">
        <f t="shared" si="7"/>
        <v>49741</v>
      </c>
      <c r="M37" s="1884"/>
    </row>
    <row r="38" spans="2:14" ht="20.100000000000001" customHeight="1" x14ac:dyDescent="0.2">
      <c r="B38" s="1993" t="s">
        <v>2088</v>
      </c>
      <c r="C38" s="1882">
        <v>84.364999999999995</v>
      </c>
      <c r="D38" s="1883" t="s">
        <v>2097</v>
      </c>
      <c r="E38" s="1884">
        <v>22573</v>
      </c>
      <c r="F38" s="1884">
        <v>1616</v>
      </c>
      <c r="G38" s="1884">
        <f t="shared" si="5"/>
        <v>22573</v>
      </c>
      <c r="H38" s="1884">
        <v>0</v>
      </c>
      <c r="I38" s="1884">
        <f t="shared" si="6"/>
        <v>1616</v>
      </c>
      <c r="J38" s="1884">
        <v>0</v>
      </c>
      <c r="K38" s="1884">
        <v>0</v>
      </c>
      <c r="L38" s="1881">
        <f t="shared" si="7"/>
        <v>24189</v>
      </c>
      <c r="M38" s="1884"/>
    </row>
    <row r="39" spans="2:14" ht="20.100000000000001" customHeight="1" x14ac:dyDescent="0.2">
      <c r="B39" s="1993" t="s">
        <v>2088</v>
      </c>
      <c r="C39" s="1882">
        <v>84.364999999999995</v>
      </c>
      <c r="D39" s="1883" t="s">
        <v>2098</v>
      </c>
      <c r="E39" s="1884">
        <v>0</v>
      </c>
      <c r="F39" s="1884">
        <v>17018</v>
      </c>
      <c r="G39" s="1884">
        <f t="shared" si="5"/>
        <v>0</v>
      </c>
      <c r="H39" s="1884">
        <v>0</v>
      </c>
      <c r="I39" s="1884">
        <f t="shared" si="6"/>
        <v>17018</v>
      </c>
      <c r="J39" s="1884">
        <v>0</v>
      </c>
      <c r="K39" s="1884">
        <v>0</v>
      </c>
      <c r="L39" s="1881">
        <f t="shared" si="7"/>
        <v>17018</v>
      </c>
      <c r="M39" s="1884"/>
    </row>
    <row r="40" spans="2:14" s="1081" customFormat="1" ht="20.100000000000001" customHeight="1" x14ac:dyDescent="0.2">
      <c r="B40" s="1994" t="s">
        <v>2084</v>
      </c>
      <c r="C40" s="1997"/>
      <c r="D40" s="1998"/>
      <c r="E40" s="1995">
        <f t="shared" ref="E40:L40" si="8">SUM(E34:E39)</f>
        <v>230844</v>
      </c>
      <c r="F40" s="1995">
        <f t="shared" si="8"/>
        <v>327772</v>
      </c>
      <c r="G40" s="1995">
        <f t="shared" si="8"/>
        <v>230844</v>
      </c>
      <c r="H40" s="1995">
        <f t="shared" si="8"/>
        <v>0</v>
      </c>
      <c r="I40" s="1995">
        <f t="shared" si="8"/>
        <v>327772</v>
      </c>
      <c r="J40" s="1995">
        <f t="shared" si="8"/>
        <v>0</v>
      </c>
      <c r="K40" s="1995">
        <f t="shared" si="8"/>
        <v>0</v>
      </c>
      <c r="L40" s="1996">
        <f t="shared" si="8"/>
        <v>558616</v>
      </c>
      <c r="M40" s="1995"/>
    </row>
    <row r="41" spans="2:14" s="1081" customFormat="1" ht="20.100000000000001" customHeight="1" x14ac:dyDescent="0.2">
      <c r="B41" s="1990" t="s">
        <v>2099</v>
      </c>
      <c r="C41" s="1997"/>
      <c r="D41" s="1998"/>
      <c r="E41" s="1995">
        <f t="shared" ref="E41:L41" si="9">E40</f>
        <v>230844</v>
      </c>
      <c r="F41" s="1995">
        <f t="shared" si="9"/>
        <v>327772</v>
      </c>
      <c r="G41" s="1995">
        <f t="shared" si="9"/>
        <v>230844</v>
      </c>
      <c r="H41" s="1995">
        <f t="shared" si="9"/>
        <v>0</v>
      </c>
      <c r="I41" s="1995">
        <f t="shared" si="9"/>
        <v>327772</v>
      </c>
      <c r="J41" s="1995">
        <f t="shared" si="9"/>
        <v>0</v>
      </c>
      <c r="K41" s="1995">
        <f t="shared" si="9"/>
        <v>0</v>
      </c>
      <c r="L41" s="1996">
        <f t="shared" si="9"/>
        <v>558616</v>
      </c>
      <c r="M41" s="1995"/>
    </row>
    <row r="42" spans="2:14" ht="20.100000000000001" customHeight="1" x14ac:dyDescent="0.2">
      <c r="B42" s="1993"/>
      <c r="C42" s="1882"/>
      <c r="D42" s="1883"/>
      <c r="E42" s="1884"/>
      <c r="F42" s="1884"/>
      <c r="G42" s="1884"/>
      <c r="H42" s="1884"/>
      <c r="I42" s="1884"/>
      <c r="J42" s="1884"/>
      <c r="K42" s="1884"/>
      <c r="L42" s="1881"/>
      <c r="M42" s="1884"/>
    </row>
    <row r="43" spans="2:14" s="1081" customFormat="1" ht="20.100000000000001" customHeight="1" x14ac:dyDescent="0.2">
      <c r="B43" s="1990" t="s">
        <v>2100</v>
      </c>
      <c r="C43" s="1997"/>
      <c r="D43" s="1998"/>
      <c r="E43" s="1995">
        <f t="shared" ref="E43:L43" si="10">E20+E29+E41</f>
        <v>334149</v>
      </c>
      <c r="F43" s="1995">
        <f t="shared" si="10"/>
        <v>1178807</v>
      </c>
      <c r="G43" s="1995">
        <f t="shared" si="10"/>
        <v>334149</v>
      </c>
      <c r="H43" s="1995">
        <f t="shared" si="10"/>
        <v>0</v>
      </c>
      <c r="I43" s="1995">
        <f t="shared" si="10"/>
        <v>1178807</v>
      </c>
      <c r="J43" s="1995">
        <f t="shared" si="10"/>
        <v>0</v>
      </c>
      <c r="K43" s="1995">
        <f t="shared" si="10"/>
        <v>0</v>
      </c>
      <c r="L43" s="1996">
        <f t="shared" si="10"/>
        <v>1512956</v>
      </c>
      <c r="M43" s="1995"/>
    </row>
    <row r="44" spans="2:14" ht="20.100000000000001" customHeight="1" x14ac:dyDescent="0.2">
      <c r="B44" s="1993"/>
      <c r="C44" s="1882"/>
      <c r="D44" s="1883"/>
      <c r="E44" s="1884"/>
      <c r="F44" s="1884"/>
      <c r="G44" s="1884"/>
      <c r="H44" s="1884"/>
      <c r="I44" s="1884"/>
      <c r="J44" s="1884"/>
      <c r="K44" s="1884"/>
      <c r="L44" s="1881"/>
      <c r="M44" s="1884"/>
    </row>
    <row r="45" spans="2:14" ht="12.75" customHeight="1" x14ac:dyDescent="0.2">
      <c r="B45" s="1160"/>
      <c r="C45" s="1161"/>
      <c r="D45" s="1162"/>
      <c r="E45" s="1163"/>
      <c r="F45" s="1163"/>
      <c r="G45" s="1163"/>
      <c r="H45" s="1163"/>
      <c r="I45" s="1163"/>
      <c r="J45" s="1163"/>
      <c r="K45" s="1163"/>
      <c r="L45" s="1163"/>
      <c r="M45" s="1163"/>
      <c r="N45" s="1159"/>
    </row>
    <row r="46" spans="2:14" x14ac:dyDescent="0.2">
      <c r="B46" s="1078"/>
      <c r="C46" s="1164"/>
      <c r="D46" s="1165"/>
      <c r="E46" s="1078"/>
      <c r="F46" s="1078"/>
      <c r="G46" s="1071"/>
      <c r="H46" s="1071"/>
      <c r="I46" s="1071"/>
      <c r="J46" s="1071"/>
      <c r="K46" s="1071"/>
      <c r="L46" s="1071"/>
      <c r="M46" s="1078"/>
      <c r="N46" s="1159"/>
    </row>
    <row r="47" spans="2:14" ht="13.5" customHeight="1" x14ac:dyDescent="0.2">
      <c r="B47" s="1103" t="s">
        <v>1717</v>
      </c>
      <c r="C47" s="1164"/>
      <c r="D47" s="1165"/>
      <c r="E47" s="1078"/>
      <c r="F47" s="1078"/>
      <c r="G47" s="1071"/>
      <c r="H47" s="1071"/>
      <c r="I47" s="1071"/>
      <c r="J47" s="1071"/>
      <c r="K47" s="1071"/>
      <c r="L47" s="1071"/>
      <c r="M47" s="1078"/>
      <c r="N47" s="1159"/>
    </row>
    <row r="48" spans="2:14" ht="8.25" customHeight="1" x14ac:dyDescent="0.2">
      <c r="B48" s="1103"/>
      <c r="C48" s="1164"/>
      <c r="D48" s="1165"/>
      <c r="E48" s="1078"/>
      <c r="F48" s="1078"/>
      <c r="G48" s="1071"/>
      <c r="H48" s="1071"/>
      <c r="I48" s="1071"/>
      <c r="J48" s="1071"/>
      <c r="K48" s="1071"/>
      <c r="L48" s="1071"/>
      <c r="M48" s="1078"/>
      <c r="N48" s="1159"/>
    </row>
    <row r="49" spans="2:13" x14ac:dyDescent="0.2">
      <c r="B49" s="1166" t="s">
        <v>1815</v>
      </c>
      <c r="C49" s="1167"/>
      <c r="D49" s="1168"/>
      <c r="E49" s="1169"/>
      <c r="F49" s="1169"/>
      <c r="G49" s="1169"/>
      <c r="H49" s="1169"/>
      <c r="I49" s="295"/>
      <c r="J49" s="295"/>
    </row>
    <row r="50" spans="2:13" x14ac:dyDescent="0.2">
      <c r="B50" s="1098"/>
      <c r="C50" s="1170"/>
      <c r="D50" s="1171"/>
      <c r="E50" s="1099"/>
      <c r="F50" s="1099"/>
      <c r="G50" s="295"/>
      <c r="H50" s="295"/>
      <c r="I50" s="295"/>
      <c r="J50" s="295"/>
    </row>
    <row r="51" spans="2:13" ht="13.5" customHeight="1" x14ac:dyDescent="0.2">
      <c r="B51" s="1097" t="s">
        <v>1237</v>
      </c>
      <c r="G51" s="295"/>
      <c r="H51" s="295"/>
      <c r="I51" s="295"/>
      <c r="J51" s="295"/>
    </row>
    <row r="52" spans="2:13" ht="13.5" customHeight="1" x14ac:dyDescent="0.2">
      <c r="B52" s="1174"/>
      <c r="C52" s="1175"/>
      <c r="D52" s="1176"/>
      <c r="E52" s="1118"/>
      <c r="F52" s="1118"/>
      <c r="G52" s="1118"/>
      <c r="H52" s="1118"/>
      <c r="I52" s="1118"/>
      <c r="J52" s="1118"/>
      <c r="K52" s="1177"/>
      <c r="L52" s="1177"/>
      <c r="M52" s="1118"/>
    </row>
    <row r="53" spans="2:13" ht="9.6" customHeight="1" x14ac:dyDescent="0.2">
      <c r="B53" s="1178"/>
      <c r="G53" s="295"/>
      <c r="H53" s="295"/>
      <c r="I53" s="295"/>
      <c r="J53" s="295"/>
    </row>
    <row r="54" spans="2:13" ht="11.25" customHeight="1" x14ac:dyDescent="0.2">
      <c r="B54" s="1179" t="s">
        <v>1718</v>
      </c>
      <c r="C54" s="1180"/>
      <c r="D54" s="1180"/>
      <c r="E54" s="1180"/>
      <c r="F54" s="1180"/>
      <c r="G54" s="1180"/>
      <c r="H54" s="1180"/>
      <c r="I54" s="1181"/>
      <c r="J54" s="1181"/>
      <c r="K54" s="1181"/>
      <c r="L54" s="1181"/>
      <c r="M54" s="1181"/>
    </row>
    <row r="55" spans="2:13" ht="11.25" customHeight="1" x14ac:dyDescent="0.2">
      <c r="B55" s="1182" t="s">
        <v>1570</v>
      </c>
      <c r="C55" s="1181"/>
      <c r="D55" s="1181"/>
      <c r="E55" s="1181"/>
      <c r="F55" s="1181"/>
      <c r="G55" s="1181"/>
      <c r="H55" s="1181"/>
      <c r="I55" s="1181"/>
      <c r="J55" s="1181"/>
      <c r="K55" s="1181"/>
      <c r="L55" s="1181"/>
      <c r="M55" s="1181"/>
    </row>
    <row r="56" spans="2:13" ht="3.95" customHeight="1" x14ac:dyDescent="0.2">
      <c r="B56" s="1182"/>
      <c r="C56" s="1181"/>
      <c r="D56" s="1181"/>
      <c r="E56" s="1181"/>
      <c r="F56" s="1181"/>
      <c r="G56" s="1181"/>
      <c r="H56" s="1181"/>
      <c r="I56" s="1181"/>
      <c r="J56" s="1181"/>
      <c r="K56" s="1181"/>
      <c r="L56" s="1181"/>
      <c r="M56" s="1181"/>
    </row>
    <row r="57" spans="2:13" ht="11.25" customHeight="1" x14ac:dyDescent="0.2">
      <c r="B57" s="1179" t="s">
        <v>1719</v>
      </c>
      <c r="C57" s="1181"/>
      <c r="D57" s="1181"/>
      <c r="E57" s="1181"/>
      <c r="F57" s="1181"/>
      <c r="G57" s="1181"/>
      <c r="H57" s="1181"/>
      <c r="I57" s="1181"/>
      <c r="J57" s="1181"/>
      <c r="K57" s="1181"/>
      <c r="L57" s="1181"/>
      <c r="M57" s="1181"/>
    </row>
    <row r="58" spans="2:13" ht="11.25" customHeight="1" x14ac:dyDescent="0.2">
      <c r="B58" s="1121" t="s">
        <v>1571</v>
      </c>
      <c r="C58" s="1183"/>
      <c r="D58" s="1184"/>
      <c r="E58" s="1121"/>
      <c r="F58" s="1121"/>
      <c r="G58" s="1121"/>
      <c r="H58" s="1121"/>
      <c r="I58" s="1121"/>
      <c r="J58" s="1121"/>
      <c r="K58" s="1185"/>
      <c r="L58" s="1185"/>
      <c r="M58" s="1121"/>
    </row>
    <row r="59" spans="2:13" ht="3.95" customHeight="1" x14ac:dyDescent="0.2">
      <c r="B59" s="1121"/>
      <c r="C59" s="1183"/>
      <c r="D59" s="1184"/>
      <c r="E59" s="1121"/>
      <c r="F59" s="1121"/>
      <c r="G59" s="1121"/>
      <c r="H59" s="1121"/>
      <c r="I59" s="1121"/>
      <c r="J59" s="1121"/>
      <c r="K59" s="1185"/>
      <c r="L59" s="1185"/>
      <c r="M59" s="1121"/>
    </row>
    <row r="60" spans="2:13" ht="11.25" customHeight="1" x14ac:dyDescent="0.2">
      <c r="B60" s="1186" t="s">
        <v>1720</v>
      </c>
      <c r="C60" s="1183"/>
      <c r="D60" s="1184"/>
      <c r="E60" s="1121"/>
      <c r="F60" s="1121"/>
      <c r="G60" s="1121"/>
      <c r="H60" s="1121"/>
      <c r="I60" s="1121"/>
      <c r="J60" s="1121"/>
      <c r="K60" s="1185"/>
      <c r="L60" s="1185"/>
      <c r="M60" s="1121"/>
    </row>
    <row r="61" spans="2:13" ht="3.95" customHeight="1" x14ac:dyDescent="0.2">
      <c r="B61" s="1186"/>
      <c r="C61" s="1183"/>
      <c r="D61" s="1184"/>
      <c r="E61" s="1121"/>
      <c r="F61" s="1121"/>
      <c r="G61" s="1121"/>
      <c r="H61" s="1121"/>
      <c r="I61" s="1121"/>
      <c r="J61" s="1121"/>
      <c r="K61" s="1185"/>
      <c r="L61" s="1185"/>
      <c r="M61" s="1121"/>
    </row>
    <row r="62" spans="2:13" ht="11.25" customHeight="1" x14ac:dyDescent="0.2">
      <c r="B62" s="1187" t="s">
        <v>1721</v>
      </c>
      <c r="C62" s="1183"/>
      <c r="D62" s="1184"/>
      <c r="E62" s="1121"/>
      <c r="F62" s="1121"/>
      <c r="G62" s="1121"/>
      <c r="H62" s="1121"/>
      <c r="I62" s="1121"/>
      <c r="J62" s="1121"/>
      <c r="K62" s="1185"/>
      <c r="L62" s="1185"/>
      <c r="M62" s="1121"/>
    </row>
    <row r="63" spans="2:13" ht="11.25" customHeight="1" x14ac:dyDescent="0.2">
      <c r="B63" s="1121" t="s">
        <v>1572</v>
      </c>
      <c r="G63" s="295"/>
      <c r="H63" s="295"/>
      <c r="I63" s="295"/>
      <c r="J63" s="295"/>
    </row>
    <row r="64" spans="2:13" ht="11.1" customHeight="1" x14ac:dyDescent="0.2">
      <c r="B64" s="1121"/>
      <c r="G64" s="295"/>
      <c r="H64" s="295"/>
      <c r="I64" s="295"/>
      <c r="J64" s="295"/>
    </row>
    <row r="65" spans="2:13" ht="11.1" customHeight="1" x14ac:dyDescent="0.2">
      <c r="B65" s="1121"/>
      <c r="G65" s="295"/>
      <c r="H65" s="295"/>
      <c r="I65" s="295"/>
      <c r="J65" s="295"/>
    </row>
    <row r="66" spans="2:13" ht="13.5" customHeight="1" x14ac:dyDescent="0.2">
      <c r="M66" s="1188"/>
    </row>
    <row r="67" spans="2:13" ht="13.5" customHeight="1" x14ac:dyDescent="0.2">
      <c r="M67" s="1188"/>
    </row>
    <row r="68" spans="2:13" ht="13.5" customHeight="1" x14ac:dyDescent="0.2">
      <c r="M68" s="1188"/>
    </row>
    <row r="69" spans="2:13" ht="13.5" customHeight="1" x14ac:dyDescent="0.2">
      <c r="G69" s="295"/>
      <c r="H69" s="295"/>
      <c r="I69" s="295"/>
      <c r="J69" s="295"/>
    </row>
    <row r="70" spans="2:13" ht="13.5" customHeight="1" x14ac:dyDescent="0.2">
      <c r="G70" s="295"/>
      <c r="H70" s="295"/>
      <c r="I70" s="295"/>
      <c r="J70" s="295"/>
    </row>
    <row r="71" spans="2:13" ht="13.5" customHeight="1" x14ac:dyDescent="0.2">
      <c r="G71" s="295"/>
      <c r="H71" s="295"/>
      <c r="I71" s="295"/>
      <c r="J71" s="295"/>
    </row>
    <row r="72" spans="2:13" ht="13.5" customHeight="1" x14ac:dyDescent="0.2">
      <c r="G72" s="295"/>
      <c r="H72" s="295"/>
      <c r="I72" s="295"/>
      <c r="J72" s="295"/>
    </row>
    <row r="73" spans="2:13" ht="13.5" customHeight="1" x14ac:dyDescent="0.2">
      <c r="G73" s="295"/>
      <c r="H73" s="295"/>
      <c r="I73" s="295"/>
      <c r="J73" s="295"/>
    </row>
    <row r="74" spans="2:13" ht="13.5" customHeight="1" x14ac:dyDescent="0.2">
      <c r="G74" s="295"/>
      <c r="H74" s="295"/>
      <c r="I74" s="295"/>
      <c r="J74" s="295"/>
    </row>
    <row r="75" spans="2:13" ht="13.5" customHeight="1" x14ac:dyDescent="0.2">
      <c r="G75" s="295"/>
      <c r="H75" s="295"/>
      <c r="I75" s="295"/>
      <c r="J75" s="295"/>
    </row>
    <row r="76" spans="2:13" ht="13.5" customHeight="1" x14ac:dyDescent="0.2"/>
    <row r="77" spans="2:13" ht="13.5" customHeight="1" x14ac:dyDescent="0.2"/>
    <row r="78" spans="2:13" ht="13.5" customHeight="1" x14ac:dyDescent="0.2"/>
    <row r="79" spans="2:13" ht="25.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4.7" customHeight="1" x14ac:dyDescent="0.2"/>
    <row r="129" ht="12.2"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4.7" customHeight="1" x14ac:dyDescent="0.2"/>
    <row r="16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18" t="str">
        <f>'Single Audit Cover'!A7</f>
        <v xml:space="preserve">  Lemont-Bromberek CSD</v>
      </c>
      <c r="B1" s="2518"/>
      <c r="C1" s="2518"/>
      <c r="D1" s="2518"/>
      <c r="E1" s="2518"/>
      <c r="F1" s="2518"/>
    </row>
    <row r="2" spans="1:7" ht="13.5" customHeight="1" x14ac:dyDescent="0.2">
      <c r="A2" s="2506" t="str">
        <f>'Single Audit Cover'!E7</f>
        <v xml:space="preserve">07016113A02 </v>
      </c>
      <c r="B2" s="2506"/>
      <c r="C2" s="2506"/>
      <c r="D2" s="2506"/>
      <c r="E2" s="2506"/>
      <c r="F2" s="2506"/>
      <c r="G2" s="1096"/>
    </row>
    <row r="3" spans="1:7" ht="15.75" customHeight="1" x14ac:dyDescent="0.2">
      <c r="A3" s="2519" t="s">
        <v>1262</v>
      </c>
      <c r="B3" s="2519"/>
      <c r="C3" s="2519"/>
      <c r="D3" s="2519"/>
      <c r="E3" s="2519"/>
      <c r="F3" s="2519"/>
    </row>
    <row r="4" spans="1:7" ht="13.5" customHeight="1" x14ac:dyDescent="0.2">
      <c r="A4" s="2520" t="str">
        <f>'Single Audit Cover'!A4</f>
        <v>Year Ending June 30, 2020</v>
      </c>
      <c r="B4" s="2520"/>
      <c r="C4" s="2520"/>
      <c r="D4" s="2520"/>
      <c r="E4" s="2520"/>
      <c r="F4" s="2520"/>
    </row>
    <row r="5" spans="1:7" ht="8.25" customHeight="1" x14ac:dyDescent="0.2">
      <c r="C5" s="295"/>
      <c r="D5" s="295"/>
    </row>
    <row r="6" spans="1:7" ht="13.5" customHeight="1" x14ac:dyDescent="0.2">
      <c r="A6" s="1097" t="s">
        <v>1708</v>
      </c>
      <c r="C6" s="295"/>
      <c r="D6" s="295"/>
    </row>
    <row r="7" spans="1:7" ht="60.95" customHeight="1" x14ac:dyDescent="0.2">
      <c r="A7" s="2517" t="s">
        <v>1709</v>
      </c>
      <c r="B7" s="2517"/>
      <c r="C7" s="2517"/>
      <c r="D7" s="2517"/>
      <c r="E7" s="2517"/>
      <c r="F7" s="2517"/>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t="s">
        <v>2021</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17" t="s">
        <v>1711</v>
      </c>
      <c r="B13" s="2517"/>
      <c r="C13" s="2517"/>
      <c r="D13" s="2517"/>
      <c r="E13" s="2517"/>
      <c r="F13" s="2517"/>
    </row>
    <row r="14" spans="1:7" ht="9.75" customHeight="1" x14ac:dyDescent="0.2">
      <c r="C14" s="1081"/>
      <c r="D14" s="1081"/>
    </row>
    <row r="15" spans="1:7" ht="13.5" customHeight="1" x14ac:dyDescent="0.2">
      <c r="C15" s="1525" t="s">
        <v>1261</v>
      </c>
      <c r="D15" s="2515" t="s">
        <v>1260</v>
      </c>
      <c r="E15" s="2515"/>
      <c r="F15" s="2515"/>
    </row>
    <row r="16" spans="1:7" ht="13.5" customHeight="1" x14ac:dyDescent="0.2">
      <c r="A16" s="1103"/>
      <c r="B16" s="1097" t="s">
        <v>1259</v>
      </c>
      <c r="C16" s="1525" t="s">
        <v>1258</v>
      </c>
      <c r="D16" s="2516" t="s">
        <v>1574</v>
      </c>
      <c r="E16" s="2516"/>
      <c r="F16" s="2516"/>
    </row>
    <row r="17" spans="1:6" ht="20.45" customHeight="1" x14ac:dyDescent="0.2">
      <c r="A17" s="1104"/>
      <c r="B17" s="1105" t="s">
        <v>2067</v>
      </c>
      <c r="C17" s="1106"/>
      <c r="D17" s="2510"/>
      <c r="E17" s="2510"/>
      <c r="F17" s="2510"/>
    </row>
    <row r="18" spans="1:6" ht="20.65" customHeight="1" x14ac:dyDescent="0.2">
      <c r="A18" s="1104"/>
      <c r="B18" s="1105"/>
      <c r="C18" s="1106"/>
      <c r="D18" s="2510"/>
      <c r="E18" s="2510"/>
      <c r="F18" s="2510"/>
    </row>
    <row r="19" spans="1:6" ht="20.65" customHeight="1" x14ac:dyDescent="0.2">
      <c r="A19" s="1104"/>
      <c r="B19" s="1105"/>
      <c r="C19" s="1106"/>
      <c r="D19" s="2510"/>
      <c r="E19" s="2510"/>
      <c r="F19" s="2510"/>
    </row>
    <row r="20" spans="1:6" ht="20.65" customHeight="1" x14ac:dyDescent="0.2">
      <c r="A20" s="1104"/>
      <c r="B20" s="1105"/>
      <c r="C20" s="1106"/>
      <c r="D20" s="2510"/>
      <c r="E20" s="2510"/>
      <c r="F20" s="2510"/>
    </row>
    <row r="21" spans="1:6" ht="20.65" customHeight="1" x14ac:dyDescent="0.2">
      <c r="A21" s="1104"/>
      <c r="B21" s="1105"/>
      <c r="C21" s="1106"/>
      <c r="D21" s="2510"/>
      <c r="E21" s="2510"/>
      <c r="F21" s="2510"/>
    </row>
    <row r="22" spans="1:6" ht="20.65" customHeight="1" x14ac:dyDescent="0.2">
      <c r="A22" s="1104"/>
      <c r="B22" s="1105"/>
      <c r="C22" s="1106"/>
      <c r="D22" s="2510"/>
      <c r="E22" s="2510"/>
      <c r="F22" s="2510"/>
    </row>
    <row r="23" spans="1:6" ht="20.65" customHeight="1" x14ac:dyDescent="0.2">
      <c r="A23" s="1104"/>
      <c r="B23" s="1105"/>
      <c r="C23" s="1106"/>
      <c r="D23" s="2510"/>
      <c r="E23" s="2510"/>
      <c r="F23" s="2510"/>
    </row>
    <row r="24" spans="1:6" ht="20.65" customHeight="1" x14ac:dyDescent="0.2">
      <c r="A24" s="1104"/>
      <c r="B24" s="1105"/>
      <c r="C24" s="1106"/>
      <c r="D24" s="2510"/>
      <c r="E24" s="2510"/>
      <c r="F24" s="2510"/>
    </row>
    <row r="25" spans="1:6" ht="20.65" customHeight="1" x14ac:dyDescent="0.2">
      <c r="A25" s="1104"/>
      <c r="B25" s="1105"/>
      <c r="C25" s="1106"/>
      <c r="D25" s="2510"/>
      <c r="E25" s="2510"/>
      <c r="F25" s="2510"/>
    </row>
    <row r="26" spans="1:6" ht="20.65" customHeight="1" x14ac:dyDescent="0.2">
      <c r="A26" s="1104"/>
      <c r="B26" s="1105"/>
      <c r="C26" s="1106"/>
      <c r="D26" s="2510"/>
      <c r="E26" s="2510"/>
      <c r="F26" s="2510"/>
    </row>
    <row r="27" spans="1:6" ht="20.65" customHeight="1" x14ac:dyDescent="0.2">
      <c r="A27" s="1104"/>
      <c r="B27" s="1105"/>
      <c r="C27" s="1106"/>
      <c r="D27" s="2510"/>
      <c r="E27" s="2510"/>
      <c r="F27" s="2510"/>
    </row>
    <row r="28" spans="1:6" ht="20.65" customHeight="1" x14ac:dyDescent="0.2">
      <c r="A28" s="1104"/>
      <c r="B28" s="1105"/>
      <c r="C28" s="1106"/>
      <c r="D28" s="2510"/>
      <c r="E28" s="2510"/>
      <c r="F28" s="2510"/>
    </row>
    <row r="29" spans="1:6" ht="20.65" customHeight="1" x14ac:dyDescent="0.2">
      <c r="A29" s="1104"/>
      <c r="B29" s="1105"/>
      <c r="C29" s="1106"/>
      <c r="D29" s="2510"/>
      <c r="E29" s="2510"/>
      <c r="F29" s="251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11" t="s">
        <v>1712</v>
      </c>
      <c r="B32" s="2511"/>
      <c r="C32" s="2511"/>
      <c r="D32" s="2511"/>
      <c r="E32" s="2511"/>
      <c r="F32" s="2511"/>
    </row>
    <row r="33" spans="1:6" ht="13.5" customHeight="1" x14ac:dyDescent="0.2">
      <c r="A33" s="306" t="s">
        <v>1420</v>
      </c>
      <c r="B33" s="306"/>
      <c r="C33" s="1109">
        <f>' SEFA'!F17</f>
        <v>13898</v>
      </c>
      <c r="D33" s="1576"/>
      <c r="E33" s="1107"/>
    </row>
    <row r="34" spans="1:6" ht="13.5" customHeight="1" x14ac:dyDescent="0.2">
      <c r="A34" s="306" t="s">
        <v>1814</v>
      </c>
      <c r="B34" s="306"/>
      <c r="C34" s="1110">
        <f>' SEFA'!F18</f>
        <v>11427</v>
      </c>
      <c r="D34" s="1576" t="s">
        <v>1575</v>
      </c>
      <c r="E34" s="2512">
        <f>+C33+C34</f>
        <v>25325</v>
      </c>
      <c r="F34" s="2513"/>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t="s">
        <v>380</v>
      </c>
      <c r="D38" s="1576"/>
      <c r="E38" s="1107"/>
    </row>
    <row r="39" spans="1:6" ht="14.25" customHeight="1" x14ac:dyDescent="0.2">
      <c r="A39" s="306"/>
      <c r="B39" s="306" t="s">
        <v>1422</v>
      </c>
      <c r="C39" s="1113" t="s">
        <v>380</v>
      </c>
      <c r="D39" s="1576"/>
      <c r="E39" s="1107"/>
    </row>
    <row r="40" spans="1:6" ht="14.25" customHeight="1" x14ac:dyDescent="0.2">
      <c r="A40" s="306"/>
      <c r="B40" s="306" t="s">
        <v>1423</v>
      </c>
      <c r="C40" s="1113" t="s">
        <v>380</v>
      </c>
      <c r="D40" s="1576"/>
      <c r="E40" s="1107"/>
    </row>
    <row r="41" spans="1:6" ht="14.25" customHeight="1" x14ac:dyDescent="0.2">
      <c r="A41" s="306"/>
      <c r="B41" s="306" t="s">
        <v>1424</v>
      </c>
      <c r="C41" s="1113" t="s">
        <v>380</v>
      </c>
      <c r="D41" s="1576"/>
      <c r="E41" s="1107"/>
    </row>
    <row r="42" spans="1:6" ht="14.25" customHeight="1" x14ac:dyDescent="0.2">
      <c r="A42" s="306" t="s">
        <v>1425</v>
      </c>
      <c r="B42" s="306"/>
      <c r="C42" s="1574" t="s">
        <v>380</v>
      </c>
      <c r="D42" s="1576"/>
      <c r="E42" s="1107"/>
    </row>
    <row r="43" spans="1:6" ht="14.25" customHeight="1" x14ac:dyDescent="0.2">
      <c r="A43" s="306" t="s">
        <v>1426</v>
      </c>
      <c r="B43" s="306"/>
      <c r="C43" s="1114" t="s">
        <v>380</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4" t="s">
        <v>1576</v>
      </c>
      <c r="C49" s="2514"/>
      <c r="D49" s="2514"/>
      <c r="E49" s="1213"/>
    </row>
    <row r="50" spans="1:5" s="1121" customFormat="1" ht="3.75" customHeight="1" x14ac:dyDescent="0.2">
      <c r="A50" s="1120"/>
      <c r="B50" s="1524"/>
      <c r="C50" s="1524"/>
      <c r="D50" s="1524"/>
      <c r="E50" s="1213"/>
    </row>
    <row r="51" spans="1:5" s="1121" customFormat="1" ht="20.25" customHeight="1" x14ac:dyDescent="0.2">
      <c r="A51" s="1122">
        <v>6</v>
      </c>
      <c r="B51" s="2509" t="s">
        <v>1537</v>
      </c>
      <c r="C51" s="2509"/>
      <c r="D51" s="2509"/>
    </row>
    <row r="52" spans="1:5" ht="14.25" customHeight="1" x14ac:dyDescent="0.2">
      <c r="A52" s="1122"/>
      <c r="B52" s="2509"/>
      <c r="C52" s="2509"/>
      <c r="D52" s="250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9" colorId="8" zoomScaleNormal="100" workbookViewId="0">
      <selection activeCell="I85" sqref="I8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6" t="s">
        <v>1160</v>
      </c>
      <c r="B2" s="2116"/>
      <c r="C2" s="2116"/>
      <c r="D2" s="2116"/>
      <c r="E2" s="2116"/>
      <c r="F2" s="2116"/>
      <c r="G2" s="2116"/>
      <c r="H2" s="2116"/>
      <c r="I2" s="2116"/>
      <c r="J2" s="211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30" t="s">
        <v>1619</v>
      </c>
      <c r="B35" s="2131"/>
      <c r="C35" s="2131"/>
      <c r="D35" s="2131"/>
      <c r="E35" s="2132"/>
      <c r="F35" s="2132"/>
      <c r="G35" s="2132"/>
      <c r="H35" s="2132"/>
      <c r="I35" s="213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0" t="s">
        <v>310</v>
      </c>
      <c r="B47" s="2133"/>
      <c r="C47" s="2133"/>
      <c r="D47" s="2133"/>
      <c r="E47" s="2134"/>
      <c r="F47" s="2134"/>
      <c r="G47" s="2134"/>
      <c r="H47" s="2134"/>
      <c r="I47" s="213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33512</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7"/>
      <c r="C57" s="2138"/>
      <c r="D57" s="2138"/>
      <c r="E57" s="2138"/>
      <c r="F57" s="2138"/>
      <c r="G57" s="2138"/>
      <c r="H57" s="2138"/>
      <c r="I57" s="2138"/>
      <c r="J57" s="2139"/>
    </row>
    <row r="58" spans="1:10" s="176" customFormat="1" x14ac:dyDescent="0.2">
      <c r="A58" s="248"/>
      <c r="B58" s="2140"/>
      <c r="C58" s="2141"/>
      <c r="D58" s="2141"/>
      <c r="E58" s="2141"/>
      <c r="F58" s="2141"/>
      <c r="G58" s="2141"/>
      <c r="H58" s="2141"/>
      <c r="I58" s="2141"/>
      <c r="J58" s="2142"/>
    </row>
    <row r="59" spans="1:10" s="176" customFormat="1" x14ac:dyDescent="0.2">
      <c r="A59" s="248"/>
      <c r="B59" s="2140"/>
      <c r="C59" s="2141"/>
      <c r="D59" s="2141"/>
      <c r="E59" s="2141"/>
      <c r="F59" s="2141"/>
      <c r="G59" s="2141"/>
      <c r="H59" s="2141"/>
      <c r="I59" s="2141"/>
      <c r="J59" s="2142"/>
    </row>
    <row r="60" spans="1:10" s="176" customFormat="1" x14ac:dyDescent="0.2">
      <c r="A60" s="248"/>
      <c r="B60" s="2140"/>
      <c r="C60" s="2141"/>
      <c r="D60" s="2141"/>
      <c r="E60" s="2141"/>
      <c r="F60" s="2141"/>
      <c r="G60" s="2141"/>
      <c r="H60" s="2141"/>
      <c r="I60" s="2141"/>
      <c r="J60" s="2142"/>
    </row>
    <row r="61" spans="1:10" s="176" customFormat="1" x14ac:dyDescent="0.2">
      <c r="A61" s="248"/>
      <c r="B61" s="2140"/>
      <c r="C61" s="2141"/>
      <c r="D61" s="2141"/>
      <c r="E61" s="2141"/>
      <c r="F61" s="2141"/>
      <c r="G61" s="2141"/>
      <c r="H61" s="2141"/>
      <c r="I61" s="2141"/>
      <c r="J61" s="2142"/>
    </row>
    <row r="62" spans="1:10" s="176" customFormat="1" x14ac:dyDescent="0.2">
      <c r="A62" s="248"/>
      <c r="B62" s="2140"/>
      <c r="C62" s="2141"/>
      <c r="D62" s="2141"/>
      <c r="E62" s="2141"/>
      <c r="F62" s="2141"/>
      <c r="G62" s="2141"/>
      <c r="H62" s="2141"/>
      <c r="I62" s="2141"/>
      <c r="J62" s="2142"/>
    </row>
    <row r="63" spans="1:10" s="176" customFormat="1" x14ac:dyDescent="0.2">
      <c r="A63" s="248"/>
      <c r="B63" s="2140"/>
      <c r="C63" s="2141"/>
      <c r="D63" s="2141"/>
      <c r="E63" s="2141"/>
      <c r="F63" s="2141"/>
      <c r="G63" s="2141"/>
      <c r="H63" s="2141"/>
      <c r="I63" s="2141"/>
      <c r="J63" s="2142"/>
    </row>
    <row r="64" spans="1:10" s="176" customFormat="1" x14ac:dyDescent="0.2">
      <c r="A64" s="248"/>
      <c r="B64" s="2140"/>
      <c r="C64" s="2141"/>
      <c r="D64" s="2141"/>
      <c r="E64" s="2141"/>
      <c r="F64" s="2141"/>
      <c r="G64" s="2141"/>
      <c r="H64" s="2141"/>
      <c r="I64" s="2141"/>
      <c r="J64" s="2142"/>
    </row>
    <row r="65" spans="1:11" s="176" customFormat="1" x14ac:dyDescent="0.2">
      <c r="A65" s="248"/>
      <c r="B65" s="2140"/>
      <c r="C65" s="2141"/>
      <c r="D65" s="2141"/>
      <c r="E65" s="2141"/>
      <c r="F65" s="2141"/>
      <c r="G65" s="2141"/>
      <c r="H65" s="2141"/>
      <c r="I65" s="2141"/>
      <c r="J65" s="2142"/>
    </row>
    <row r="66" spans="1:11" s="176" customFormat="1" x14ac:dyDescent="0.2">
      <c r="A66" s="248"/>
      <c r="B66" s="2140"/>
      <c r="C66" s="2141"/>
      <c r="D66" s="2141"/>
      <c r="E66" s="2141"/>
      <c r="F66" s="2141"/>
      <c r="G66" s="2141"/>
      <c r="H66" s="2141"/>
      <c r="I66" s="2141"/>
      <c r="J66" s="2142"/>
    </row>
    <row r="67" spans="1:11" s="176" customFormat="1" ht="9" customHeight="1" x14ac:dyDescent="0.2">
      <c r="A67" s="249"/>
      <c r="B67" s="2143"/>
      <c r="C67" s="2144"/>
      <c r="D67" s="2144"/>
      <c r="E67" s="2144"/>
      <c r="F67" s="2144"/>
      <c r="G67" s="2144"/>
      <c r="H67" s="2144"/>
      <c r="I67" s="2144"/>
      <c r="J67" s="214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0" t="s">
        <v>1314</v>
      </c>
      <c r="B70" s="2133"/>
      <c r="C70" s="2133"/>
      <c r="D70" s="2133"/>
      <c r="E70" s="2134"/>
      <c r="F70" s="2134"/>
      <c r="G70" s="2134"/>
      <c r="H70" s="2134"/>
      <c r="I70" s="213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5" t="s">
        <v>1311</v>
      </c>
      <c r="B83" s="2135"/>
      <c r="C83" s="2135"/>
      <c r="D83" s="213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46" t="s">
        <v>1992</v>
      </c>
      <c r="B85" s="2146"/>
      <c r="C85" s="2146"/>
      <c r="D85" s="2147"/>
      <c r="E85" s="1594">
        <v>42460</v>
      </c>
      <c r="F85" s="1594">
        <v>13672</v>
      </c>
      <c r="G85" s="1594">
        <v>7878</v>
      </c>
      <c r="H85" s="1594">
        <v>95296</v>
      </c>
      <c r="I85" s="1967"/>
      <c r="J85" s="1777">
        <f>SUM(E85:I85)</f>
        <v>159306</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48" t="s">
        <v>1992</v>
      </c>
      <c r="B88" s="2149"/>
      <c r="C88" s="2149"/>
      <c r="D88" s="2150"/>
      <c r="E88" s="1594"/>
      <c r="F88" s="1594">
        <v>13672</v>
      </c>
      <c r="G88" s="1594"/>
      <c r="H88" s="1594"/>
      <c r="I88" s="1967"/>
      <c r="J88" s="1777">
        <f>SUM(E88:I88)</f>
        <v>13672</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172978</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7"/>
      <c r="C102" s="2118"/>
      <c r="D102" s="2118"/>
      <c r="E102" s="2118"/>
      <c r="F102" s="2118"/>
      <c r="G102" s="2118"/>
      <c r="H102" s="2118"/>
      <c r="I102" s="2119"/>
    </row>
    <row r="103" spans="1:9" s="176" customFormat="1" ht="11.25" customHeight="1" x14ac:dyDescent="0.2">
      <c r="A103" s="294"/>
      <c r="B103" s="2120"/>
      <c r="C103" s="2121"/>
      <c r="D103" s="2121"/>
      <c r="E103" s="2121"/>
      <c r="F103" s="2121"/>
      <c r="G103" s="2121"/>
      <c r="H103" s="2121"/>
      <c r="I103" s="2122"/>
    </row>
    <row r="104" spans="1:9" s="176" customFormat="1" ht="11.25" customHeight="1" x14ac:dyDescent="0.2">
      <c r="A104" s="294"/>
      <c r="B104" s="2120"/>
      <c r="C104" s="2121"/>
      <c r="D104" s="2121"/>
      <c r="E104" s="2121"/>
      <c r="F104" s="2121"/>
      <c r="G104" s="2121"/>
      <c r="H104" s="2121"/>
      <c r="I104" s="2122"/>
    </row>
    <row r="105" spans="1:9" s="176" customFormat="1" x14ac:dyDescent="0.2">
      <c r="A105" s="294"/>
      <c r="B105" s="2120"/>
      <c r="C105" s="2121"/>
      <c r="D105" s="2121"/>
      <c r="E105" s="2121"/>
      <c r="F105" s="2121"/>
      <c r="G105" s="2121"/>
      <c r="H105" s="2121"/>
      <c r="I105" s="2122"/>
    </row>
    <row r="106" spans="1:9" s="176" customFormat="1" ht="11.25" customHeight="1" x14ac:dyDescent="0.2">
      <c r="A106" s="294"/>
      <c r="B106" s="2120"/>
      <c r="C106" s="2121"/>
      <c r="D106" s="2121"/>
      <c r="E106" s="2121"/>
      <c r="F106" s="2121"/>
      <c r="G106" s="2121"/>
      <c r="H106" s="2121"/>
      <c r="I106" s="2122"/>
    </row>
    <row r="107" spans="1:9" s="176" customFormat="1" ht="11.25" customHeight="1" x14ac:dyDescent="0.2">
      <c r="A107" s="294"/>
      <c r="B107" s="2120"/>
      <c r="C107" s="2121"/>
      <c r="D107" s="2121"/>
      <c r="E107" s="2121"/>
      <c r="F107" s="2121"/>
      <c r="G107" s="2121"/>
      <c r="H107" s="2121"/>
      <c r="I107" s="2122"/>
    </row>
    <row r="108" spans="1:9" s="176" customFormat="1" ht="11.25" customHeight="1" x14ac:dyDescent="0.2">
      <c r="A108" s="294"/>
      <c r="B108" s="2120"/>
      <c r="C108" s="2121"/>
      <c r="D108" s="2121"/>
      <c r="E108" s="2121"/>
      <c r="F108" s="2121"/>
      <c r="G108" s="2121"/>
      <c r="H108" s="2121"/>
      <c r="I108" s="2122"/>
    </row>
    <row r="109" spans="1:9" s="176" customFormat="1" ht="11.25" customHeight="1" x14ac:dyDescent="0.2">
      <c r="A109" s="294"/>
      <c r="B109" s="2120"/>
      <c r="C109" s="2121"/>
      <c r="D109" s="2121"/>
      <c r="E109" s="2121"/>
      <c r="F109" s="2121"/>
      <c r="G109" s="2121"/>
      <c r="H109" s="2121"/>
      <c r="I109" s="2122"/>
    </row>
    <row r="110" spans="1:9" s="176" customFormat="1" ht="11.25" customHeight="1" x14ac:dyDescent="0.2">
      <c r="A110" s="294"/>
      <c r="B110" s="2120"/>
      <c r="C110" s="2121"/>
      <c r="D110" s="2121"/>
      <c r="E110" s="2121"/>
      <c r="F110" s="2121"/>
      <c r="G110" s="2121"/>
      <c r="H110" s="2121"/>
      <c r="I110" s="2122"/>
    </row>
    <row r="111" spans="1:9" s="176" customFormat="1" ht="11.25" customHeight="1" x14ac:dyDescent="0.2">
      <c r="A111" s="294"/>
      <c r="B111" s="2120"/>
      <c r="C111" s="2121"/>
      <c r="D111" s="2121"/>
      <c r="E111" s="2121"/>
      <c r="F111" s="2121"/>
      <c r="G111" s="2121"/>
      <c r="H111" s="2121"/>
      <c r="I111" s="2122"/>
    </row>
    <row r="112" spans="1:9" s="176" customFormat="1" ht="11.25" customHeight="1" x14ac:dyDescent="0.2">
      <c r="A112" s="294"/>
      <c r="B112" s="2123"/>
      <c r="C112" s="2124"/>
      <c r="D112" s="2124"/>
      <c r="E112" s="2124"/>
      <c r="F112" s="2124"/>
      <c r="G112" s="2124"/>
      <c r="H112" s="2124"/>
      <c r="I112" s="212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6"/>
      <c r="D114" s="212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7" t="s">
        <v>1321</v>
      </c>
      <c r="D117" s="2128"/>
      <c r="E117" s="2129"/>
      <c r="F117" s="2129"/>
      <c r="G117" s="2129"/>
      <c r="H117" s="2129"/>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9" zoomScale="110" zoomScaleNormal="110" workbookViewId="0">
      <selection activeCell="F51" sqref="F5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32" t="str">
        <f>'Single Audit Cover'!A7</f>
        <v xml:space="preserve">  Lemont-Bromberek CSD</v>
      </c>
      <c r="C1" s="2533"/>
      <c r="D1" s="2533"/>
      <c r="E1" s="2533"/>
      <c r="F1" s="2533"/>
      <c r="G1" s="2533"/>
      <c r="H1" s="2533"/>
      <c r="I1" s="2533"/>
      <c r="J1" s="1223"/>
    </row>
    <row r="2" spans="2:10" s="295" customFormat="1" ht="12.75" customHeight="1" x14ac:dyDescent="0.2">
      <c r="B2" s="2534" t="str">
        <f>'Single Audit Cover'!E7</f>
        <v xml:space="preserve">07016113A02 </v>
      </c>
      <c r="C2" s="2535"/>
      <c r="D2" s="2535"/>
      <c r="E2" s="2535"/>
      <c r="F2" s="2535"/>
      <c r="G2" s="2535"/>
      <c r="H2" s="2535"/>
      <c r="I2" s="2535"/>
      <c r="J2" s="1223"/>
    </row>
    <row r="3" spans="2:10" s="295" customFormat="1" ht="12.75" customHeight="1" x14ac:dyDescent="0.2">
      <c r="B3" s="2536" t="s">
        <v>1276</v>
      </c>
      <c r="C3" s="2537"/>
      <c r="D3" s="2537"/>
      <c r="E3" s="2537"/>
      <c r="F3" s="2537"/>
      <c r="G3" s="2537"/>
      <c r="H3" s="2537"/>
      <c r="I3" s="2537"/>
      <c r="J3" s="1224"/>
    </row>
    <row r="4" spans="2:10" s="295" customFormat="1" ht="12.75" customHeight="1" x14ac:dyDescent="0.2">
      <c r="B4" s="2536" t="str">
        <f>'Single Audit Cover'!A4</f>
        <v>Year Ending June 30, 2020</v>
      </c>
      <c r="C4" s="2537"/>
      <c r="D4" s="2537"/>
      <c r="E4" s="2537"/>
      <c r="F4" s="2537"/>
      <c r="G4" s="2537"/>
      <c r="H4" s="2537"/>
      <c r="I4" s="253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36" t="s">
        <v>1275</v>
      </c>
      <c r="C7" s="2537"/>
      <c r="D7" s="2537"/>
      <c r="E7" s="2537"/>
      <c r="F7" s="2537"/>
      <c r="G7" s="2537"/>
      <c r="H7" s="2537"/>
      <c r="I7" s="253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38" t="s">
        <v>2102</v>
      </c>
      <c r="D11" s="253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2021</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2021</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2021</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2021</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2021</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9" t="s">
        <v>2102</v>
      </c>
      <c r="E29" s="2539"/>
      <c r="F29" s="2539"/>
      <c r="G29" s="2539"/>
      <c r="H29" s="2539"/>
      <c r="I29" s="2539"/>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2021</v>
      </c>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40" t="s">
        <v>1731</v>
      </c>
      <c r="D37" s="2541"/>
      <c r="E37" s="2541"/>
      <c r="F37" s="2542"/>
      <c r="G37" s="2540" t="s">
        <v>1578</v>
      </c>
      <c r="H37" s="2541"/>
      <c r="I37" s="2542"/>
    </row>
    <row r="38" spans="2:9" ht="16.5" customHeight="1" x14ac:dyDescent="0.2">
      <c r="B38" s="1245" t="s">
        <v>2103</v>
      </c>
      <c r="C38" s="2528" t="s">
        <v>2104</v>
      </c>
      <c r="D38" s="2529"/>
      <c r="E38" s="2529"/>
      <c r="F38" s="2530"/>
      <c r="G38" s="2543">
        <f>' SEFA'!I29</f>
        <v>670344</v>
      </c>
      <c r="H38" s="2544"/>
      <c r="I38" s="2545"/>
    </row>
    <row r="39" spans="2:9" ht="16.5" customHeight="1" x14ac:dyDescent="0.2">
      <c r="B39" s="1245">
        <v>84.367000000000004</v>
      </c>
      <c r="C39" s="2528" t="s">
        <v>753</v>
      </c>
      <c r="D39" s="2529"/>
      <c r="E39" s="2529"/>
      <c r="F39" s="2530"/>
      <c r="G39" s="2531">
        <f>' SEFA'!I36+' SEFA'!I37</f>
        <v>77727</v>
      </c>
      <c r="H39" s="2531"/>
      <c r="I39" s="2531"/>
    </row>
    <row r="40" spans="2:9" ht="16.5" customHeight="1" x14ac:dyDescent="0.2">
      <c r="B40" s="1245"/>
      <c r="C40" s="2528"/>
      <c r="D40" s="2529"/>
      <c r="E40" s="2529"/>
      <c r="F40" s="2530"/>
      <c r="G40" s="2531"/>
      <c r="H40" s="2531"/>
      <c r="I40" s="2531"/>
    </row>
    <row r="41" spans="2:9" ht="16.5" customHeight="1" x14ac:dyDescent="0.2">
      <c r="B41" s="1245"/>
      <c r="C41" s="2528"/>
      <c r="D41" s="2529"/>
      <c r="E41" s="2529"/>
      <c r="F41" s="2530"/>
      <c r="G41" s="2531"/>
      <c r="H41" s="2531"/>
      <c r="I41" s="2531"/>
    </row>
    <row r="42" spans="2:9" ht="16.5" customHeight="1" x14ac:dyDescent="0.2">
      <c r="B42" s="1245"/>
      <c r="C42" s="2528"/>
      <c r="D42" s="2529"/>
      <c r="E42" s="2529"/>
      <c r="F42" s="2530"/>
      <c r="G42" s="2531"/>
      <c r="H42" s="2531"/>
      <c r="I42" s="2531"/>
    </row>
    <row r="43" spans="2:9" ht="16.5" customHeight="1" x14ac:dyDescent="0.2">
      <c r="B43" s="1245"/>
      <c r="C43" s="2521" t="s">
        <v>1579</v>
      </c>
      <c r="D43" s="2522"/>
      <c r="E43" s="2522"/>
      <c r="F43" s="2523"/>
      <c r="G43" s="2524">
        <f>SUM(G38:I42)</f>
        <v>748071</v>
      </c>
      <c r="H43" s="2524"/>
      <c r="I43" s="2524"/>
    </row>
    <row r="44" spans="2:9" ht="12.75" customHeight="1" x14ac:dyDescent="0.2"/>
    <row r="45" spans="2:9" ht="12.75" customHeight="1" x14ac:dyDescent="0.2">
      <c r="B45" s="1986" t="str">
        <f>"Total Federal Expenditures for 7/1/"&amp;MID('AFR20'!E2,3,2)-1&amp;"-6/30/"&amp;MID('AFR20'!E2,3,2)</f>
        <v>Total Federal Expenditures for 7/1/19-6/30/20</v>
      </c>
      <c r="C45" s="1987"/>
      <c r="D45" s="2525">
        <f>' SEFA'!I43</f>
        <v>1178807</v>
      </c>
      <c r="E45" s="2526"/>
    </row>
    <row r="46" spans="2:9" ht="5.25" customHeight="1" x14ac:dyDescent="0.2">
      <c r="B46" s="1246"/>
      <c r="D46" s="1247"/>
      <c r="E46" s="1248"/>
    </row>
    <row r="47" spans="2:9" ht="12.75" customHeight="1" x14ac:dyDescent="0.2">
      <c r="B47" s="1121" t="s">
        <v>1580</v>
      </c>
      <c r="C47" s="1121"/>
      <c r="D47" s="1249">
        <f>+G43/D45</f>
        <v>0.63460006599892937</v>
      </c>
      <c r="E47" s="1250"/>
      <c r="F47" s="1251"/>
      <c r="I47" s="1252"/>
    </row>
    <row r="48" spans="2:9" ht="9.9499999999999993" customHeight="1" x14ac:dyDescent="0.2"/>
    <row r="49" spans="1:9" x14ac:dyDescent="0.2">
      <c r="B49" s="1183" t="s">
        <v>1264</v>
      </c>
      <c r="C49" s="1103"/>
      <c r="D49" s="1103"/>
      <c r="E49" s="2527">
        <v>750000</v>
      </c>
      <c r="F49" s="2527"/>
      <c r="G49" s="2527"/>
      <c r="H49" s="300"/>
    </row>
    <row r="51" spans="1:9" ht="13.5" customHeight="1" x14ac:dyDescent="0.2">
      <c r="B51" s="1183" t="s">
        <v>1263</v>
      </c>
      <c r="C51" s="1103"/>
      <c r="E51" s="1239" t="s">
        <v>2021</v>
      </c>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32" t="str">
        <f>'Single Audit Cover'!A7</f>
        <v xml:space="preserve">  Lemont-Bromberek CSD</v>
      </c>
      <c r="C1" s="2532"/>
      <c r="D1" s="2532"/>
      <c r="E1" s="2532"/>
      <c r="F1" s="2532"/>
      <c r="G1" s="2532"/>
      <c r="H1" s="2532"/>
      <c r="I1" s="2532"/>
      <c r="J1" s="2532"/>
      <c r="K1" s="2532"/>
      <c r="L1" s="1189"/>
      <c r="M1" s="1189"/>
    </row>
    <row r="2" spans="1:13" ht="12" customHeight="1" x14ac:dyDescent="0.2">
      <c r="B2" s="2534" t="str">
        <f>'Single Audit Cover'!E7</f>
        <v xml:space="preserve">07016113A02 </v>
      </c>
      <c r="C2" s="2534"/>
      <c r="D2" s="2534"/>
      <c r="E2" s="2534"/>
      <c r="F2" s="2534"/>
      <c r="G2" s="2534"/>
      <c r="H2" s="2534"/>
      <c r="I2" s="2534"/>
      <c r="J2" s="2534"/>
      <c r="K2" s="2534"/>
      <c r="L2" s="1190"/>
      <c r="M2" s="1191"/>
    </row>
    <row r="3" spans="1:13" ht="10.35" customHeight="1" x14ac:dyDescent="0.2">
      <c r="B3" s="2548" t="s">
        <v>1276</v>
      </c>
      <c r="C3" s="2548"/>
      <c r="D3" s="2548"/>
      <c r="E3" s="2548"/>
      <c r="F3" s="2548"/>
      <c r="G3" s="2548"/>
      <c r="H3" s="2548"/>
      <c r="I3" s="2548"/>
      <c r="J3" s="2548"/>
      <c r="K3" s="2548"/>
      <c r="L3" s="1192"/>
      <c r="M3" s="1192"/>
    </row>
    <row r="4" spans="1:13" ht="14.25" customHeight="1" x14ac:dyDescent="0.2">
      <c r="B4" s="2549" t="str">
        <f>'Single Audit Cover'!A4</f>
        <v>Year Ending June 30, 2020</v>
      </c>
      <c r="C4" s="2549"/>
      <c r="D4" s="2549"/>
      <c r="E4" s="2549"/>
      <c r="F4" s="2549"/>
      <c r="G4" s="2549"/>
      <c r="H4" s="2549"/>
      <c r="I4" s="2549"/>
      <c r="J4" s="2549"/>
      <c r="K4" s="254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9" t="s">
        <v>1287</v>
      </c>
      <c r="C7" s="2549"/>
      <c r="D7" s="2550"/>
      <c r="E7" s="2550"/>
      <c r="F7" s="2550"/>
      <c r="G7" s="2550"/>
      <c r="H7" s="2550"/>
      <c r="I7" s="2550"/>
      <c r="J7" s="2550"/>
      <c r="K7" s="255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8"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47"/>
      <c r="C14" s="2547"/>
      <c r="D14" s="2547"/>
      <c r="E14" s="2547"/>
      <c r="F14" s="2547"/>
      <c r="G14" s="2547"/>
      <c r="H14" s="2547"/>
      <c r="I14" s="2547"/>
      <c r="J14" s="2547"/>
      <c r="K14" s="254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47"/>
      <c r="C17" s="2547"/>
      <c r="D17" s="2547"/>
      <c r="E17" s="2547"/>
      <c r="F17" s="2547"/>
      <c r="G17" s="2547"/>
      <c r="H17" s="2547"/>
      <c r="I17" s="2547"/>
      <c r="J17" s="2547"/>
      <c r="K17" s="2547"/>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51"/>
      <c r="C20" s="2551"/>
      <c r="D20" s="2547"/>
      <c r="E20" s="2547"/>
      <c r="F20" s="2547"/>
      <c r="G20" s="2547"/>
      <c r="H20" s="2547"/>
      <c r="I20" s="2547"/>
      <c r="J20" s="2547"/>
      <c r="K20" s="254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47"/>
      <c r="C23" s="2547"/>
      <c r="D23" s="2547"/>
      <c r="E23" s="2547"/>
      <c r="F23" s="2547"/>
      <c r="G23" s="2547"/>
      <c r="H23" s="2547"/>
      <c r="I23" s="2547"/>
      <c r="J23" s="2547"/>
      <c r="K23" s="254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47"/>
      <c r="C26" s="2547"/>
      <c r="D26" s="2547"/>
      <c r="E26" s="2547"/>
      <c r="F26" s="2547"/>
      <c r="G26" s="2547"/>
      <c r="H26" s="2547"/>
      <c r="I26" s="2547"/>
      <c r="J26" s="2547"/>
      <c r="K26" s="254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46"/>
      <c r="C29" s="2546"/>
      <c r="D29" s="2547"/>
      <c r="E29" s="2547"/>
      <c r="F29" s="2547"/>
      <c r="G29" s="2547"/>
      <c r="H29" s="2547"/>
      <c r="I29" s="2547"/>
      <c r="J29" s="2547"/>
      <c r="K29" s="254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46"/>
      <c r="C32" s="2546"/>
      <c r="D32" s="2547"/>
      <c r="E32" s="2547"/>
      <c r="F32" s="2547"/>
      <c r="G32" s="2547"/>
      <c r="H32" s="2547"/>
      <c r="I32" s="2547"/>
      <c r="J32" s="2547"/>
      <c r="K32" s="254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5" t="str">
        <f>'Single Audit Cover'!A7</f>
        <v xml:space="preserve">  Lemont-Bromberek CSD</v>
      </c>
      <c r="C1" s="2555"/>
      <c r="D1" s="2555"/>
      <c r="E1" s="2555"/>
      <c r="F1" s="2555"/>
      <c r="G1" s="2555"/>
      <c r="H1" s="2555"/>
      <c r="I1" s="2555"/>
      <c r="J1" s="2555"/>
      <c r="K1" s="2555"/>
      <c r="L1" s="1266"/>
    </row>
    <row r="2" spans="1:12" ht="12.75" customHeight="1" x14ac:dyDescent="0.2">
      <c r="B2" s="2556" t="str">
        <f>'Single Audit Cover'!E7</f>
        <v xml:space="preserve">07016113A02 </v>
      </c>
      <c r="C2" s="2556"/>
      <c r="D2" s="2556"/>
      <c r="E2" s="2556"/>
      <c r="F2" s="2556"/>
      <c r="G2" s="2556"/>
      <c r="H2" s="2556"/>
      <c r="I2" s="2556"/>
      <c r="J2" s="2556"/>
      <c r="K2" s="2556"/>
      <c r="L2" s="1267"/>
    </row>
    <row r="3" spans="1:12" ht="12.75" customHeight="1" x14ac:dyDescent="0.2">
      <c r="B3" s="2548" t="s">
        <v>1276</v>
      </c>
      <c r="C3" s="2548"/>
      <c r="D3" s="2548"/>
      <c r="E3" s="2548"/>
      <c r="F3" s="2548"/>
      <c r="G3" s="2548"/>
      <c r="H3" s="2548"/>
      <c r="I3" s="2548"/>
      <c r="J3" s="2548"/>
      <c r="K3" s="2548"/>
      <c r="L3" s="1192"/>
    </row>
    <row r="4" spans="1:12" ht="12.75" customHeight="1" x14ac:dyDescent="0.2">
      <c r="B4" s="2548" t="str">
        <f>'Single Audit Cover'!A4</f>
        <v>Year Ending June 30, 2020</v>
      </c>
      <c r="C4" s="2548"/>
      <c r="D4" s="2548"/>
      <c r="E4" s="2548"/>
      <c r="F4" s="2548"/>
      <c r="G4" s="2548"/>
      <c r="H4" s="2548"/>
      <c r="I4" s="2548"/>
      <c r="J4" s="2548"/>
      <c r="K4" s="2548"/>
      <c r="L4" s="1192"/>
    </row>
    <row r="5" spans="1:12" ht="5.25" customHeight="1" x14ac:dyDescent="0.2">
      <c r="B5" s="1081" t="s">
        <v>1161</v>
      </c>
      <c r="C5" s="1081"/>
      <c r="L5" s="300"/>
    </row>
    <row r="6" spans="1:12" ht="30.75" customHeight="1" x14ac:dyDescent="0.2">
      <c r="A6" s="300"/>
      <c r="B6" s="2557" t="s">
        <v>1299</v>
      </c>
      <c r="C6" s="2557"/>
      <c r="D6" s="2557"/>
      <c r="E6" s="2557"/>
      <c r="F6" s="2557"/>
      <c r="G6" s="2557"/>
      <c r="H6" s="2557"/>
      <c r="I6" s="2557"/>
      <c r="J6" s="2557"/>
      <c r="K6" s="2557"/>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8"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9"/>
      <c r="G12" s="2539"/>
      <c r="H12" s="2539"/>
      <c r="I12" s="2539"/>
      <c r="J12" s="2539"/>
      <c r="K12" s="253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52"/>
      <c r="E14" s="2552"/>
      <c r="F14" s="2552"/>
      <c r="H14" s="1275" t="s">
        <v>1294</v>
      </c>
      <c r="I14" s="2553"/>
      <c r="J14" s="2553"/>
      <c r="K14" s="255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53"/>
      <c r="E16" s="2553"/>
      <c r="F16" s="2553"/>
      <c r="G16" s="2553"/>
      <c r="H16" s="2553"/>
      <c r="I16" s="2553"/>
      <c r="J16" s="2553"/>
      <c r="K16" s="2553"/>
      <c r="L16" s="300"/>
    </row>
    <row r="17" spans="2:12" ht="13.5" customHeight="1" x14ac:dyDescent="0.2">
      <c r="B17" s="1201" t="s">
        <v>1292</v>
      </c>
      <c r="C17" s="1201"/>
      <c r="D17" s="2554"/>
      <c r="E17" s="2554"/>
      <c r="F17" s="2554"/>
      <c r="G17" s="2554"/>
      <c r="H17" s="2554"/>
      <c r="I17" s="2554"/>
      <c r="J17" s="2554"/>
      <c r="K17" s="255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47"/>
      <c r="C20" s="2547"/>
      <c r="D20" s="2547"/>
      <c r="E20" s="2547"/>
      <c r="F20" s="2547"/>
      <c r="G20" s="2547"/>
      <c r="H20" s="2547"/>
      <c r="I20" s="2547"/>
      <c r="J20" s="2547"/>
      <c r="K20" s="2547"/>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47"/>
      <c r="C23" s="2547"/>
      <c r="D23" s="2547"/>
      <c r="E23" s="2547"/>
      <c r="F23" s="2547"/>
      <c r="G23" s="2547"/>
      <c r="H23" s="2547"/>
      <c r="I23" s="2547"/>
      <c r="J23" s="2547"/>
      <c r="K23" s="2547"/>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47"/>
      <c r="C26" s="2547"/>
      <c r="D26" s="2547"/>
      <c r="E26" s="2547"/>
      <c r="F26" s="2547"/>
      <c r="G26" s="2547"/>
      <c r="H26" s="2547"/>
      <c r="I26" s="2547"/>
      <c r="J26" s="2547"/>
      <c r="K26" s="2547"/>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47"/>
      <c r="C29" s="2547"/>
      <c r="D29" s="2547"/>
      <c r="E29" s="2547"/>
      <c r="F29" s="2547"/>
      <c r="G29" s="2547"/>
      <c r="H29" s="2547"/>
      <c r="I29" s="2547"/>
      <c r="J29" s="2547"/>
      <c r="K29" s="2547"/>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47"/>
      <c r="C32" s="2547"/>
      <c r="D32" s="2547"/>
      <c r="E32" s="2547"/>
      <c r="F32" s="2547"/>
      <c r="G32" s="2547"/>
      <c r="H32" s="2547"/>
      <c r="I32" s="2547"/>
      <c r="J32" s="2547"/>
      <c r="K32" s="2547"/>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47"/>
      <c r="C35" s="2547"/>
      <c r="D35" s="2547"/>
      <c r="E35" s="2547"/>
      <c r="F35" s="2547"/>
      <c r="G35" s="2547"/>
      <c r="H35" s="2547"/>
      <c r="I35" s="2547"/>
      <c r="J35" s="2547"/>
      <c r="K35" s="2547"/>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47"/>
      <c r="C38" s="2547"/>
      <c r="D38" s="2547"/>
      <c r="E38" s="2547"/>
      <c r="F38" s="2547"/>
      <c r="G38" s="2547"/>
      <c r="H38" s="2547"/>
      <c r="I38" s="2547"/>
      <c r="J38" s="2547"/>
      <c r="K38" s="2547"/>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47"/>
      <c r="C41" s="2547"/>
      <c r="D41" s="2547"/>
      <c r="E41" s="2547"/>
      <c r="F41" s="2547"/>
      <c r="G41" s="2547"/>
      <c r="H41" s="2547"/>
      <c r="I41" s="2547"/>
      <c r="J41" s="2547"/>
      <c r="K41" s="2547"/>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32" t="str">
        <f>'Single Audit Cover'!A7</f>
        <v xml:space="preserve">  Lemont-Bromberek CSD</v>
      </c>
      <c r="C1" s="2532"/>
      <c r="D1" s="2532"/>
      <c r="E1" s="1285"/>
    </row>
    <row r="2" spans="2:5" s="1103" customFormat="1" ht="12.75" customHeight="1" x14ac:dyDescent="0.2">
      <c r="B2" s="2534" t="str">
        <f>'Single Audit Cover'!E7</f>
        <v xml:space="preserve">07016113A02 </v>
      </c>
      <c r="C2" s="2534"/>
      <c r="D2" s="2534"/>
      <c r="E2" s="1286"/>
    </row>
    <row r="3" spans="2:5" ht="12.75" customHeight="1" x14ac:dyDescent="0.2">
      <c r="B3" s="2548" t="s">
        <v>1746</v>
      </c>
      <c r="C3" s="2548"/>
      <c r="D3" s="2548"/>
      <c r="E3" s="1095"/>
    </row>
    <row r="4" spans="2:5" s="1103" customFormat="1" ht="12.75" customHeight="1" x14ac:dyDescent="0.2">
      <c r="B4" s="2558" t="str">
        <f>'Single Audit Cover'!A4</f>
        <v>Year Ending June 30, 2020</v>
      </c>
      <c r="C4" s="2558"/>
      <c r="D4" s="2558"/>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66" sqref="B6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1" t="s">
        <v>383</v>
      </c>
      <c r="B1" s="2151"/>
      <c r="C1" s="2151"/>
      <c r="D1" s="2151"/>
      <c r="E1" s="2151"/>
      <c r="F1" s="2151"/>
      <c r="G1" s="2151"/>
      <c r="H1" s="2151"/>
      <c r="I1" s="2151"/>
      <c r="J1" s="2151"/>
      <c r="K1" s="2151"/>
      <c r="L1" s="2151"/>
      <c r="M1" s="215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1205717089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1.4355E-2</v>
      </c>
      <c r="E10" s="333" t="s">
        <v>998</v>
      </c>
      <c r="F10" s="332">
        <v>2.1770000000000001E-3</v>
      </c>
      <c r="G10" s="333" t="s">
        <v>998</v>
      </c>
      <c r="H10" s="332">
        <v>9.2900000000000003E-4</v>
      </c>
      <c r="I10" s="333" t="s">
        <v>999</v>
      </c>
      <c r="J10" s="1473">
        <f>ROUND(D10+F10+H10,5)</f>
        <v>1.746E-2</v>
      </c>
      <c r="K10" s="217"/>
      <c r="L10" s="332">
        <v>0</v>
      </c>
      <c r="M10" s="217"/>
    </row>
    <row r="11" spans="1:14" ht="7.5" customHeight="1" x14ac:dyDescent="0.2">
      <c r="B11" s="217"/>
      <c r="C11" s="217"/>
      <c r="D11" s="2161" t="str">
        <f>IF(SUM(J10)&lt;=0.0999999,"","Enter the Tax Rates by moving the decimal two places to the left.")</f>
        <v/>
      </c>
      <c r="E11" s="2162"/>
      <c r="F11" s="2162"/>
      <c r="G11" s="2162"/>
      <c r="H11" s="2162"/>
      <c r="I11" s="2162"/>
      <c r="J11" s="216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26771513</v>
      </c>
      <c r="E16" s="1597"/>
      <c r="F16" s="1596">
        <f>SUM('Acct Summary 7-8'!C17,'Acct Summary 7-8'!D17,'Acct Summary 7-8'!F17)</f>
        <v>24671435</v>
      </c>
      <c r="G16" s="1597"/>
      <c r="H16" s="1596">
        <f>SUM(D16-F16)</f>
        <v>2100078</v>
      </c>
      <c r="I16" s="1598"/>
      <c r="J16" s="1596">
        <f>SUM('Acct Summary 7-8'!C81,'Acct Summary 7-8'!D81,'Acct Summary 7-8'!F81,'Acct Summary 7-8'!I81)</f>
        <v>21037489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4">
        <f>IF(B31="X",(J7*0.069),IF(B32="X",(J7*0.138),"Enter x in a.or b."))</f>
        <v>83194479.141000003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3732835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52"/>
      <c r="C54" s="2153"/>
      <c r="D54" s="2153"/>
      <c r="E54" s="2153"/>
      <c r="F54" s="2153"/>
      <c r="G54" s="2153"/>
      <c r="H54" s="2153"/>
      <c r="I54" s="2153"/>
      <c r="J54" s="2153"/>
      <c r="K54" s="2153"/>
      <c r="L54" s="2154"/>
      <c r="M54" s="357"/>
    </row>
    <row r="55" spans="1:13" ht="12.75" customHeight="1" x14ac:dyDescent="0.2">
      <c r="B55" s="2155"/>
      <c r="C55" s="2156"/>
      <c r="D55" s="2156"/>
      <c r="E55" s="2156"/>
      <c r="F55" s="2156"/>
      <c r="G55" s="2156"/>
      <c r="H55" s="2156"/>
      <c r="I55" s="2156"/>
      <c r="J55" s="2156"/>
      <c r="K55" s="2156"/>
      <c r="L55" s="2157"/>
      <c r="M55" s="357"/>
    </row>
    <row r="56" spans="1:13" ht="12.75" customHeight="1" x14ac:dyDescent="0.2">
      <c r="B56" s="2155"/>
      <c r="C56" s="2156"/>
      <c r="D56" s="2156"/>
      <c r="E56" s="2156"/>
      <c r="F56" s="2156"/>
      <c r="G56" s="2156"/>
      <c r="H56" s="2156"/>
      <c r="I56" s="2156"/>
      <c r="J56" s="2156"/>
      <c r="K56" s="2156"/>
      <c r="L56" s="2157"/>
      <c r="M56" s="217"/>
    </row>
    <row r="57" spans="1:13" ht="12.75" customHeight="1" x14ac:dyDescent="0.2">
      <c r="B57" s="2155"/>
      <c r="C57" s="2156"/>
      <c r="D57" s="2156"/>
      <c r="E57" s="2156"/>
      <c r="F57" s="2156"/>
      <c r="G57" s="2156"/>
      <c r="H57" s="2156"/>
      <c r="I57" s="2156"/>
      <c r="J57" s="2156"/>
      <c r="K57" s="2156"/>
      <c r="L57" s="2157"/>
      <c r="M57" s="217"/>
    </row>
    <row r="58" spans="1:13" x14ac:dyDescent="0.2">
      <c r="B58" s="2158"/>
      <c r="C58" s="2159"/>
      <c r="D58" s="2159"/>
      <c r="E58" s="2159"/>
      <c r="F58" s="2159"/>
      <c r="G58" s="2159"/>
      <c r="H58" s="2159"/>
      <c r="I58" s="2159"/>
      <c r="J58" s="2159"/>
      <c r="K58" s="2159"/>
      <c r="L58" s="216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3"/>
      <c r="D61" s="216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6"/>
      <c r="B1" s="2167"/>
      <c r="C1" s="2167"/>
      <c r="D1" s="361"/>
      <c r="E1" s="361"/>
      <c r="F1" s="361"/>
      <c r="G1" s="361"/>
      <c r="H1" s="361"/>
      <c r="I1" s="361"/>
      <c r="J1" s="361"/>
      <c r="K1" s="361"/>
      <c r="L1" s="361"/>
      <c r="M1" s="361"/>
      <c r="N1" s="361"/>
      <c r="O1" s="2166"/>
      <c r="P1" s="2167"/>
      <c r="Q1" s="2167"/>
    </row>
    <row r="2" spans="1:18" ht="15" x14ac:dyDescent="0.2">
      <c r="A2" s="2170" t="s">
        <v>552</v>
      </c>
      <c r="B2" s="2170"/>
      <c r="C2" s="2170"/>
      <c r="D2" s="2170"/>
      <c r="E2" s="2170"/>
      <c r="F2" s="2170"/>
      <c r="G2" s="2170"/>
      <c r="H2" s="2170"/>
      <c r="I2" s="2170"/>
      <c r="J2" s="2170"/>
      <c r="K2" s="2170"/>
      <c r="L2" s="2170"/>
      <c r="M2" s="2170"/>
      <c r="N2" s="2170"/>
      <c r="O2" s="2170"/>
      <c r="P2" s="2170"/>
      <c r="Q2" s="2170"/>
      <c r="R2" s="2170"/>
    </row>
    <row r="3" spans="1:18" ht="12.75" x14ac:dyDescent="0.2">
      <c r="A3" s="2171" t="s">
        <v>1399</v>
      </c>
      <c r="B3" s="2171"/>
      <c r="C3" s="2171"/>
      <c r="D3" s="2171"/>
      <c r="E3" s="2171"/>
      <c r="F3" s="2171"/>
      <c r="G3" s="2171"/>
      <c r="H3" s="2171"/>
      <c r="I3" s="2171"/>
      <c r="J3" s="2171"/>
      <c r="K3" s="2171"/>
      <c r="L3" s="2171"/>
      <c r="M3" s="2171"/>
      <c r="N3" s="2171"/>
      <c r="O3" s="2171"/>
      <c r="P3" s="2171"/>
      <c r="Q3" s="2171"/>
      <c r="R3" s="2171"/>
    </row>
    <row r="4" spans="1:18" x14ac:dyDescent="0.2">
      <c r="A4" s="2172" t="s">
        <v>1540</v>
      </c>
      <c r="B4" s="2172"/>
      <c r="C4" s="2172"/>
      <c r="D4" s="2172"/>
      <c r="E4" s="2172"/>
      <c r="F4" s="2172"/>
      <c r="G4" s="2172"/>
      <c r="H4" s="2172"/>
      <c r="I4" s="2172"/>
      <c r="J4" s="2172"/>
      <c r="K4" s="2172"/>
      <c r="L4" s="2172"/>
      <c r="M4" s="2172"/>
      <c r="N4" s="2172"/>
      <c r="O4" s="2172"/>
      <c r="P4" s="2172"/>
      <c r="Q4" s="2172"/>
      <c r="R4" s="217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Lemont-Bromberek CSD</v>
      </c>
      <c r="E7" s="368"/>
      <c r="G7" s="247"/>
      <c r="H7" s="364"/>
      <c r="I7" s="364"/>
      <c r="J7" s="364"/>
      <c r="K7" s="364"/>
      <c r="L7" s="307"/>
      <c r="M7" s="307"/>
      <c r="N7" s="307"/>
      <c r="O7" s="307"/>
      <c r="P7" s="307"/>
    </row>
    <row r="8" spans="1:18" ht="12.75" x14ac:dyDescent="0.2">
      <c r="A8" s="307"/>
      <c r="B8" s="307"/>
      <c r="C8" s="366" t="s">
        <v>1117</v>
      </c>
      <c r="D8" s="369" t="str">
        <f>COVER!A13</f>
        <v xml:space="preserve">07016113A02 </v>
      </c>
      <c r="E8" s="370"/>
      <c r="G8" s="307"/>
      <c r="H8" s="307"/>
      <c r="I8" s="307"/>
      <c r="J8" s="307"/>
      <c r="K8" s="307"/>
      <c r="L8" s="307"/>
      <c r="M8" s="307"/>
      <c r="N8" s="307"/>
      <c r="O8" s="307"/>
      <c r="P8" s="307"/>
    </row>
    <row r="9" spans="1:18" ht="12.75" x14ac:dyDescent="0.2">
      <c r="A9" s="307"/>
      <c r="B9" s="307"/>
      <c r="C9" s="366" t="s">
        <v>708</v>
      </c>
      <c r="D9" s="371" t="str">
        <f>COVER!A15</f>
        <v>Cook and 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21037489</v>
      </c>
      <c r="I12" s="380"/>
      <c r="J12" s="380"/>
      <c r="K12" s="1609">
        <f>TRUNC((H12/H13*100000),5)/100000</f>
        <v>0.79982809999999993</v>
      </c>
      <c r="L12" s="381"/>
      <c r="M12" s="337" t="s">
        <v>1136</v>
      </c>
      <c r="N12" s="337"/>
      <c r="O12" s="1612">
        <v>0.35</v>
      </c>
      <c r="P12" s="213"/>
      <c r="Q12" s="213"/>
    </row>
    <row r="13" spans="1:18" s="382" customFormat="1" ht="12.75" x14ac:dyDescent="0.2">
      <c r="A13" s="213"/>
      <c r="B13" s="377"/>
      <c r="C13" s="2168" t="s">
        <v>1315</v>
      </c>
      <c r="D13" s="2169"/>
      <c r="E13" s="213"/>
      <c r="F13" s="383" t="s">
        <v>788</v>
      </c>
      <c r="G13" s="378"/>
      <c r="H13" s="1601">
        <f>SUM('Acct Summary 7-8'!C8+'Acct Summary 7-8'!D8+'Acct Summary 7-8'!F8+'Acct Summary 7-8'!I8)+H14</f>
        <v>26302513</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-469000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24671435</v>
      </c>
      <c r="I17" s="380"/>
      <c r="J17" s="389"/>
      <c r="K17" s="1609">
        <f>TRUNC((H17/H18*100000),5)/100000</f>
        <v>0.93798775039999993</v>
      </c>
      <c r="L17" s="381"/>
      <c r="M17" s="390" t="s">
        <v>1163</v>
      </c>
      <c r="O17" s="1615" t="str">
        <f>IF(AND(O16="2", J20 &gt; 2),"1",IF(AND(O16 = "1", J20 &gt; 2),"2",IF(AND(O16="1", J20 &gt;1),"1","0")))</f>
        <v>0</v>
      </c>
      <c r="P17" s="213"/>
    </row>
    <row r="18" spans="1:18" s="382" customFormat="1" ht="11.25" x14ac:dyDescent="0.2">
      <c r="A18" s="213"/>
      <c r="B18" s="377"/>
      <c r="C18" s="2168" t="s">
        <v>1308</v>
      </c>
      <c r="D18" s="2169"/>
      <c r="E18" s="213"/>
      <c r="F18" s="391" t="s">
        <v>789</v>
      </c>
      <c r="G18" s="378"/>
      <c r="H18" s="1601">
        <f>SUM('Acct Summary 7-8'!C8+'Acct Summary 7-8'!D8+'Acct Summary 7-8'!F8+'Acct Summary 7-8'!I8)+H19</f>
        <v>26302513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-469000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65" t="s">
        <v>1398</v>
      </c>
      <c r="D24" s="2165"/>
      <c r="E24" s="213"/>
      <c r="F24" s="213" t="s">
        <v>442</v>
      </c>
      <c r="G24" s="378"/>
      <c r="H24" s="1601">
        <f>SUM('Assets-Liab 5-6'!C4+'Assets-Liab 5-6'!D4+'Assets-Liab 5-6'!F4+'Assets-Liab 5-6'!I4+'Assets-Liab 5-6'!C5+'Assets-Liab 5-6'!D5+'Assets-Liab 5-6'!F5+'Assets-Liab 5-6'!I5)</f>
        <v>22830110</v>
      </c>
      <c r="I24" s="394"/>
      <c r="J24" s="394"/>
      <c r="K24" s="1605">
        <f>TRUNC(((H24/H25*100000)/100000),2)</f>
        <v>333.13</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68531.763890000002</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17894047.317850001</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3732835</v>
      </c>
      <c r="I32" s="392"/>
      <c r="J32" s="392"/>
      <c r="K32" s="1605">
        <f>TRUNC(100-((((H32/H33*100))*100)/100),2)</f>
        <v>95.51</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83194479.141000003</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H38" sqref="H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5" t="s">
        <v>967</v>
      </c>
      <c r="B3" s="2176"/>
      <c r="C3" s="1351"/>
      <c r="D3" s="1352"/>
      <c r="E3" s="1352"/>
      <c r="F3" s="1352"/>
      <c r="G3" s="1352"/>
      <c r="H3" s="1352"/>
      <c r="I3" s="1352"/>
      <c r="J3" s="1352"/>
      <c r="K3" s="1352"/>
      <c r="L3" s="1352"/>
      <c r="M3" s="1353"/>
      <c r="N3" s="1354"/>
    </row>
    <row r="4" spans="1:14" ht="13.5" customHeight="1" x14ac:dyDescent="0.2">
      <c r="A4" s="427" t="s">
        <v>1635</v>
      </c>
      <c r="B4" s="428"/>
      <c r="C4" s="1622">
        <v>19201843</v>
      </c>
      <c r="D4" s="1623">
        <v>2214282</v>
      </c>
      <c r="E4" s="1623">
        <v>4819916</v>
      </c>
      <c r="F4" s="1623">
        <v>1413985</v>
      </c>
      <c r="G4" s="1623">
        <v>562267</v>
      </c>
      <c r="H4" s="1623">
        <v>1906420</v>
      </c>
      <c r="I4" s="1623"/>
      <c r="J4" s="1624"/>
      <c r="K4" s="1623"/>
      <c r="L4" s="1623">
        <v>130474</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v>8663996</v>
      </c>
      <c r="D6" s="1623">
        <v>1261606</v>
      </c>
      <c r="E6" s="1623">
        <v>2606335</v>
      </c>
      <c r="F6" s="1623">
        <v>538229</v>
      </c>
      <c r="G6" s="1627">
        <v>384492</v>
      </c>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v>364338</v>
      </c>
      <c r="D8" s="1624"/>
      <c r="E8" s="1624"/>
      <c r="F8" s="1624">
        <v>103174</v>
      </c>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28230177</v>
      </c>
      <c r="D13" s="1637">
        <f t="shared" ref="D13:L13" si="0">SUM(D4:D12)</f>
        <v>3475888</v>
      </c>
      <c r="E13" s="1637">
        <f t="shared" si="0"/>
        <v>7426251</v>
      </c>
      <c r="F13" s="1637">
        <f t="shared" si="0"/>
        <v>2055388</v>
      </c>
      <c r="G13" s="1637">
        <f t="shared" si="0"/>
        <v>946759</v>
      </c>
      <c r="H13" s="1637">
        <f t="shared" si="0"/>
        <v>1906420</v>
      </c>
      <c r="I13" s="1637">
        <f t="shared" si="0"/>
        <v>0</v>
      </c>
      <c r="J13" s="1637">
        <f t="shared" si="0"/>
        <v>0</v>
      </c>
      <c r="K13" s="1637">
        <f t="shared" si="0"/>
        <v>0</v>
      </c>
      <c r="L13" s="1637">
        <f t="shared" si="0"/>
        <v>130474</v>
      </c>
      <c r="M13" s="1625"/>
      <c r="N13" s="1626"/>
    </row>
    <row r="14" spans="1:14" ht="18" customHeight="1" thickTop="1" x14ac:dyDescent="0.2">
      <c r="A14" s="2177" t="s">
        <v>146</v>
      </c>
      <c r="B14" s="2178"/>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f>'Cap Outlay Deprec 26'!L5</f>
        <v>1507280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'Cap Outlay Deprec 26'!L8</f>
        <v>14815042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f>'Cap Outlay Deprec 26'!L10</f>
        <v>1127377</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'Cap Outlay Deprec 26'!L12</f>
        <v>1239503</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f>'Cap Outlay Deprec 26'!L15</f>
        <v>770200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3732835</v>
      </c>
    </row>
    <row r="23" spans="1:14" ht="13.5" customHeight="1" thickBot="1" x14ac:dyDescent="0.25">
      <c r="A23" s="1475" t="s">
        <v>638</v>
      </c>
      <c r="B23" s="1478"/>
      <c r="C23" s="1625"/>
      <c r="D23" s="1625"/>
      <c r="E23" s="1625"/>
      <c r="F23" s="1625"/>
      <c r="G23" s="1625"/>
      <c r="H23" s="1625"/>
      <c r="I23" s="1625"/>
      <c r="J23" s="1625"/>
      <c r="K23" s="1625"/>
      <c r="L23" s="1625"/>
      <c r="M23" s="1644">
        <f>SUM(M15:M22)</f>
        <v>19459402</v>
      </c>
      <c r="N23" s="1644">
        <f>SUM(N21:N22)</f>
        <v>3732835</v>
      </c>
    </row>
    <row r="24" spans="1:14" ht="18" customHeight="1" thickTop="1" x14ac:dyDescent="0.2">
      <c r="A24" s="2179" t="s">
        <v>594</v>
      </c>
      <c r="B24" s="2180"/>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v>102362</v>
      </c>
      <c r="D27" s="1624">
        <f>57985+77020</f>
        <v>135005</v>
      </c>
      <c r="E27" s="1624"/>
      <c r="F27" s="1624">
        <v>44706</v>
      </c>
      <c r="G27" s="1624">
        <v>123660</v>
      </c>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v>1616466</v>
      </c>
      <c r="D30" s="1629"/>
      <c r="E30" s="1624"/>
      <c r="F30" s="1624"/>
      <c r="G30" s="1624"/>
      <c r="H30" s="1624"/>
      <c r="I30" s="1624"/>
      <c r="J30" s="1624"/>
      <c r="K30" s="1633"/>
      <c r="L30" s="1625"/>
      <c r="M30" s="1625"/>
      <c r="N30" s="1625"/>
    </row>
    <row r="31" spans="1:14" ht="13.5" customHeight="1" x14ac:dyDescent="0.2">
      <c r="A31" s="430" t="s">
        <v>646</v>
      </c>
      <c r="B31" s="429">
        <v>480</v>
      </c>
      <c r="C31" s="1623">
        <v>581</v>
      </c>
      <c r="D31" s="1624"/>
      <c r="E31" s="1624"/>
      <c r="F31" s="1623">
        <v>526</v>
      </c>
      <c r="G31" s="1624"/>
      <c r="H31" s="1624"/>
      <c r="I31" s="1624"/>
      <c r="J31" s="1624"/>
      <c r="K31" s="1624"/>
      <c r="L31" s="1625"/>
      <c r="M31" s="1625"/>
      <c r="N31" s="1625"/>
    </row>
    <row r="32" spans="1:14" ht="13.5" customHeight="1" x14ac:dyDescent="0.2">
      <c r="A32" s="434" t="s">
        <v>647</v>
      </c>
      <c r="B32" s="435">
        <v>490</v>
      </c>
      <c r="C32" s="1649">
        <v>8978683</v>
      </c>
      <c r="D32" s="1649">
        <v>1293709</v>
      </c>
      <c r="E32" s="1629">
        <v>2672315</v>
      </c>
      <c r="F32" s="1629">
        <v>551926</v>
      </c>
      <c r="G32" s="1629">
        <v>394277</v>
      </c>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130474</v>
      </c>
      <c r="M33" s="1625"/>
      <c r="N33" s="1626"/>
    </row>
    <row r="34" spans="1:14" ht="13.5" customHeight="1" thickBot="1" x14ac:dyDescent="0.25">
      <c r="A34" s="1476" t="s">
        <v>649</v>
      </c>
      <c r="B34" s="1477"/>
      <c r="C34" s="1650">
        <f>SUM(C25:C33)</f>
        <v>10698092</v>
      </c>
      <c r="D34" s="1650">
        <f t="shared" ref="D34:K34" si="1">SUM(D25:D33)</f>
        <v>1428714</v>
      </c>
      <c r="E34" s="1650">
        <f t="shared" si="1"/>
        <v>2672315</v>
      </c>
      <c r="F34" s="1650">
        <f t="shared" si="1"/>
        <v>597158</v>
      </c>
      <c r="G34" s="1650">
        <f t="shared" si="1"/>
        <v>517937</v>
      </c>
      <c r="H34" s="1650">
        <f t="shared" si="1"/>
        <v>0</v>
      </c>
      <c r="I34" s="1650">
        <f t="shared" si="1"/>
        <v>0</v>
      </c>
      <c r="J34" s="1650">
        <f t="shared" si="1"/>
        <v>0</v>
      </c>
      <c r="K34" s="1650">
        <f t="shared" si="1"/>
        <v>0</v>
      </c>
      <c r="L34" s="1651">
        <f>SUM(L33)</f>
        <v>130474</v>
      </c>
      <c r="M34" s="1625"/>
      <c r="N34" s="1635"/>
    </row>
    <row r="35" spans="1:14" ht="18" customHeight="1" thickTop="1" x14ac:dyDescent="0.2">
      <c r="A35" s="2181" t="s">
        <v>526</v>
      </c>
      <c r="B35" s="218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3732835</v>
      </c>
    </row>
    <row r="37" spans="1:14" ht="13.5" thickBot="1" x14ac:dyDescent="0.25">
      <c r="A37" s="1475" t="s">
        <v>648</v>
      </c>
      <c r="B37" s="1478"/>
      <c r="C37" s="1632"/>
      <c r="D37" s="1632"/>
      <c r="E37" s="1632"/>
      <c r="F37" s="1632"/>
      <c r="G37" s="1632"/>
      <c r="H37" s="1632"/>
      <c r="I37" s="1632"/>
      <c r="J37" s="1632"/>
      <c r="K37" s="1632"/>
      <c r="L37" s="1635"/>
      <c r="M37" s="1625"/>
      <c r="N37" s="1644">
        <f>SUM(N36:N36)</f>
        <v>3732835</v>
      </c>
    </row>
    <row r="38" spans="1:14" s="307" customFormat="1" ht="13.5" customHeight="1" thickTop="1" x14ac:dyDescent="0.2">
      <c r="A38" s="438" t="s">
        <v>417</v>
      </c>
      <c r="B38" s="432">
        <v>714</v>
      </c>
      <c r="C38" s="1623"/>
      <c r="D38" s="1623">
        <v>2047174</v>
      </c>
      <c r="E38" s="1623">
        <v>4753936</v>
      </c>
      <c r="F38" s="1623">
        <v>1458230</v>
      </c>
      <c r="G38" s="1623">
        <v>428822</v>
      </c>
      <c r="H38" s="1623">
        <v>1906420</v>
      </c>
      <c r="I38" s="1623"/>
      <c r="J38" s="1624"/>
      <c r="K38" s="1623"/>
      <c r="L38" s="1636"/>
      <c r="M38" s="1654"/>
      <c r="N38" s="1654"/>
    </row>
    <row r="39" spans="1:14" s="307" customFormat="1" ht="13.5" customHeight="1" x14ac:dyDescent="0.2">
      <c r="A39" s="438" t="s">
        <v>339</v>
      </c>
      <c r="B39" s="432">
        <v>730</v>
      </c>
      <c r="C39" s="1623">
        <v>17532085</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f>M23</f>
        <v>19459402</v>
      </c>
      <c r="N40" s="1654"/>
    </row>
    <row r="41" spans="1:14" ht="13.5" customHeight="1" thickBot="1" x14ac:dyDescent="0.25">
      <c r="A41" s="1475" t="s">
        <v>650</v>
      </c>
      <c r="B41" s="1454"/>
      <c r="C41" s="1644">
        <f>(SUM(C34,C37,C38,C39))</f>
        <v>28230177</v>
      </c>
      <c r="D41" s="1644">
        <f t="shared" ref="D41:L41" si="2">SUM(D34,D37,D38:D39)</f>
        <v>3475888</v>
      </c>
      <c r="E41" s="1644">
        <f t="shared" si="2"/>
        <v>7426251</v>
      </c>
      <c r="F41" s="1644">
        <f t="shared" si="2"/>
        <v>2055388</v>
      </c>
      <c r="G41" s="1644">
        <f t="shared" si="2"/>
        <v>946759</v>
      </c>
      <c r="H41" s="1644">
        <f t="shared" si="2"/>
        <v>1906420</v>
      </c>
      <c r="I41" s="1644">
        <f t="shared" si="2"/>
        <v>0</v>
      </c>
      <c r="J41" s="1644">
        <f t="shared" si="2"/>
        <v>0</v>
      </c>
      <c r="K41" s="1644">
        <f t="shared" si="2"/>
        <v>0</v>
      </c>
      <c r="L41" s="1644">
        <f t="shared" si="2"/>
        <v>130474</v>
      </c>
      <c r="M41" s="1644">
        <f>SUM(M40)</f>
        <v>19459402</v>
      </c>
      <c r="N41" s="1644">
        <f>SUM(N37)</f>
        <v>3732835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pane="bottomLeft" activeCell="H8" sqref="H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9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03" t="s">
        <v>1167</v>
      </c>
      <c r="B3" s="2204"/>
      <c r="C3" s="1356"/>
      <c r="D3" s="1357"/>
      <c r="E3" s="1357"/>
      <c r="F3" s="1357"/>
      <c r="G3" s="1357"/>
      <c r="H3" s="1357"/>
      <c r="I3" s="1357"/>
      <c r="J3" s="1357"/>
      <c r="K3" s="1358"/>
      <c r="L3" s="446"/>
    </row>
    <row r="4" spans="1:13" ht="15.75" customHeight="1" x14ac:dyDescent="0.2">
      <c r="A4" s="1587" t="s">
        <v>1485</v>
      </c>
      <c r="B4" s="1588">
        <v>1000</v>
      </c>
      <c r="C4" s="1656">
        <f>'Revenues 9-14'!C109</f>
        <v>19311719</v>
      </c>
      <c r="D4" s="1656">
        <f>'Revenues 9-14'!D109</f>
        <v>2778496</v>
      </c>
      <c r="E4" s="1656">
        <f>'Revenues 9-14'!E109</f>
        <v>5149255</v>
      </c>
      <c r="F4" s="1656">
        <f>'Revenues 9-14'!F109</f>
        <v>1089972</v>
      </c>
      <c r="G4" s="1656">
        <f>'Revenues 9-14'!G109</f>
        <v>748792</v>
      </c>
      <c r="H4" s="1656">
        <f>'Revenues 9-14'!H109</f>
        <v>18753</v>
      </c>
      <c r="I4" s="1656">
        <f>'Revenues 9-14'!I109</f>
        <v>0</v>
      </c>
      <c r="J4" s="1656">
        <f>'Revenues 9-14'!J109</f>
        <v>0</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1966443</v>
      </c>
      <c r="D6" s="1657">
        <f>'Revenues 9-14'!D170</f>
        <v>50000</v>
      </c>
      <c r="E6" s="1657">
        <f>'Revenues 9-14'!E170</f>
        <v>0</v>
      </c>
      <c r="F6" s="1657">
        <f>'Revenues 9-14'!F170</f>
        <v>416864</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1158019</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22436181</v>
      </c>
      <c r="D8" s="1644">
        <f t="shared" ref="D8:K8" si="0">SUM(D4:D7)</f>
        <v>2828496</v>
      </c>
      <c r="E8" s="1644">
        <f t="shared" si="0"/>
        <v>5149255</v>
      </c>
      <c r="F8" s="1644">
        <f t="shared" si="0"/>
        <v>1506836</v>
      </c>
      <c r="G8" s="1644">
        <f t="shared" si="0"/>
        <v>748792</v>
      </c>
      <c r="H8" s="1644">
        <f t="shared" si="0"/>
        <v>18753</v>
      </c>
      <c r="I8" s="1644">
        <f t="shared" si="0"/>
        <v>0</v>
      </c>
      <c r="J8" s="1644">
        <f t="shared" si="0"/>
        <v>0</v>
      </c>
      <c r="K8" s="1644">
        <f t="shared" si="0"/>
        <v>0</v>
      </c>
      <c r="L8" s="325"/>
    </row>
    <row r="9" spans="1:13" ht="15.75" thickTop="1" x14ac:dyDescent="0.2">
      <c r="A9" s="449" t="s">
        <v>1637</v>
      </c>
      <c r="B9" s="450">
        <v>3998</v>
      </c>
      <c r="C9" s="1636">
        <v>9029733</v>
      </c>
      <c r="D9" s="1663"/>
      <c r="E9" s="1636"/>
      <c r="F9" s="1636"/>
      <c r="G9" s="1664"/>
      <c r="H9" s="1636"/>
      <c r="I9" s="1659" t="s">
        <v>1161</v>
      </c>
      <c r="J9" s="1633"/>
      <c r="K9" s="1636"/>
      <c r="L9" s="325"/>
    </row>
    <row r="10" spans="1:13" s="452" customFormat="1" ht="13.5" thickBot="1" x14ac:dyDescent="0.25">
      <c r="A10" s="1475" t="s">
        <v>1165</v>
      </c>
      <c r="B10" s="1456"/>
      <c r="C10" s="1644">
        <f>SUM(C8:C9)</f>
        <v>31465914</v>
      </c>
      <c r="D10" s="1644">
        <f t="shared" ref="D10:K10" si="1">SUM(D8:D9)</f>
        <v>2828496</v>
      </c>
      <c r="E10" s="1644">
        <f t="shared" si="1"/>
        <v>5149255</v>
      </c>
      <c r="F10" s="1644">
        <f t="shared" si="1"/>
        <v>1506836</v>
      </c>
      <c r="G10" s="1644">
        <f t="shared" si="1"/>
        <v>748792</v>
      </c>
      <c r="H10" s="1644">
        <f t="shared" si="1"/>
        <v>18753</v>
      </c>
      <c r="I10" s="1644">
        <f t="shared" si="1"/>
        <v>0</v>
      </c>
      <c r="J10" s="1644">
        <f t="shared" si="1"/>
        <v>0</v>
      </c>
      <c r="K10" s="1644">
        <f t="shared" si="1"/>
        <v>0</v>
      </c>
      <c r="L10" s="451"/>
    </row>
    <row r="11" spans="1:13" s="452" customFormat="1" ht="16.7" customHeight="1" thickTop="1" x14ac:dyDescent="0.2">
      <c r="A11" s="2177" t="s">
        <v>1168</v>
      </c>
      <c r="B11" s="2178"/>
      <c r="C11" s="1652"/>
      <c r="D11" s="1653"/>
      <c r="E11" s="1653"/>
      <c r="F11" s="1653"/>
      <c r="G11" s="1653"/>
      <c r="H11" s="1653"/>
      <c r="I11" s="1653"/>
      <c r="J11" s="1653"/>
      <c r="K11" s="1665"/>
      <c r="L11" s="451"/>
    </row>
    <row r="12" spans="1:13" ht="15.75" customHeight="1" x14ac:dyDescent="0.2">
      <c r="A12" s="1359" t="s">
        <v>453</v>
      </c>
      <c r="B12" s="1361">
        <v>1000</v>
      </c>
      <c r="C12" s="1656">
        <f>'Expenditures 15-22'!K33</f>
        <v>13494477</v>
      </c>
      <c r="D12" s="1666" t="s">
        <v>1161</v>
      </c>
      <c r="E12" s="1625" t="s">
        <v>1161</v>
      </c>
      <c r="F12" s="1625" t="s">
        <v>1161</v>
      </c>
      <c r="G12" s="1656">
        <f>'Expenditures 15-22'!K229</f>
        <v>262714</v>
      </c>
      <c r="H12" s="1667"/>
      <c r="I12" s="1625" t="s">
        <v>1161</v>
      </c>
      <c r="J12" s="1625" t="s">
        <v>1161</v>
      </c>
      <c r="K12" s="1667" t="s">
        <v>1161</v>
      </c>
      <c r="L12" s="325"/>
    </row>
    <row r="13" spans="1:13" ht="15.75" customHeight="1" x14ac:dyDescent="0.2">
      <c r="A13" s="1359" t="s">
        <v>454</v>
      </c>
      <c r="B13" s="1361">
        <v>2000</v>
      </c>
      <c r="C13" s="1657">
        <f>'Expenditures 15-22'!K74</f>
        <v>5569125</v>
      </c>
      <c r="D13" s="1657">
        <f>'Expenditures 15-22'!K129</f>
        <v>3432025</v>
      </c>
      <c r="E13" s="1626" t="s">
        <v>1161</v>
      </c>
      <c r="F13" s="1657">
        <f>'Expenditures 15-22'!K184</f>
        <v>1380054</v>
      </c>
      <c r="G13" s="1657">
        <f>'Expenditures 15-22'!K279</f>
        <v>439980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32113</v>
      </c>
      <c r="D14" s="1657">
        <f>'Expenditures 15-22'!K130</f>
        <v>0</v>
      </c>
      <c r="E14" s="1666" t="s">
        <v>1161</v>
      </c>
      <c r="F14" s="1657">
        <f>'Expenditures 15-22'!K185</f>
        <v>7818</v>
      </c>
      <c r="G14" s="1657">
        <f>'Expenditures 15-22'!K280</f>
        <v>54</v>
      </c>
      <c r="H14" s="1662"/>
      <c r="I14" s="1625" t="s">
        <v>1161</v>
      </c>
      <c r="J14" s="1625" t="s">
        <v>1161</v>
      </c>
      <c r="K14" s="1662" t="s">
        <v>1161</v>
      </c>
      <c r="L14" s="325"/>
    </row>
    <row r="15" spans="1:13" ht="15.75" customHeight="1" x14ac:dyDescent="0.2">
      <c r="A15" s="1359" t="s">
        <v>107</v>
      </c>
      <c r="B15" s="1361">
        <v>4000</v>
      </c>
      <c r="C15" s="1657">
        <f>'Expenditures 15-22'!K102</f>
        <v>755823</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5004711</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19851538</v>
      </c>
      <c r="D17" s="1644">
        <f t="shared" si="2"/>
        <v>3432025</v>
      </c>
      <c r="E17" s="1644">
        <f t="shared" si="2"/>
        <v>5004711</v>
      </c>
      <c r="F17" s="1644">
        <f t="shared" si="2"/>
        <v>1387872</v>
      </c>
      <c r="G17" s="1644">
        <f t="shared" si="2"/>
        <v>702748</v>
      </c>
      <c r="H17" s="1644">
        <f t="shared" si="2"/>
        <v>0</v>
      </c>
      <c r="I17" s="1625"/>
      <c r="J17" s="1644">
        <f>SUM(J12:J16)</f>
        <v>0</v>
      </c>
      <c r="K17" s="1644">
        <f>SUM(K12:K16)</f>
        <v>0</v>
      </c>
      <c r="L17" s="325"/>
    </row>
    <row r="18" spans="1:12" ht="15" customHeight="1" thickTop="1" x14ac:dyDescent="0.2">
      <c r="A18" s="1479" t="s">
        <v>1638</v>
      </c>
      <c r="B18" s="1480">
        <v>4180</v>
      </c>
      <c r="C18" s="1656">
        <f t="shared" ref="C18:H18" si="3">C9</f>
        <v>9029733</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28881271</v>
      </c>
      <c r="D19" s="1644">
        <f t="shared" si="4"/>
        <v>3432025</v>
      </c>
      <c r="E19" s="1644">
        <f t="shared" si="4"/>
        <v>5004711</v>
      </c>
      <c r="F19" s="1644">
        <f t="shared" si="4"/>
        <v>1387872</v>
      </c>
      <c r="G19" s="1644">
        <f t="shared" si="4"/>
        <v>702748</v>
      </c>
      <c r="H19" s="1644">
        <f t="shared" si="4"/>
        <v>0</v>
      </c>
      <c r="I19" s="1625"/>
      <c r="J19" s="1644">
        <f>SUM(J17:J18)</f>
        <v>0</v>
      </c>
      <c r="K19" s="1644">
        <f>SUM(K17:K18)</f>
        <v>0</v>
      </c>
      <c r="L19" s="325"/>
    </row>
    <row r="20" spans="1:12" ht="16.5" thickTop="1" thickBot="1" x14ac:dyDescent="0.25">
      <c r="A20" s="2193" t="s">
        <v>1639</v>
      </c>
      <c r="B20" s="2194"/>
      <c r="C20" s="1672">
        <f>C8-C17</f>
        <v>2584643</v>
      </c>
      <c r="D20" s="1672">
        <f t="shared" ref="D20:K20" si="5">D8-D17</f>
        <v>-603529</v>
      </c>
      <c r="E20" s="1672">
        <f t="shared" si="5"/>
        <v>144544</v>
      </c>
      <c r="F20" s="1672">
        <f t="shared" si="5"/>
        <v>118964</v>
      </c>
      <c r="G20" s="1672">
        <f t="shared" si="5"/>
        <v>46044</v>
      </c>
      <c r="H20" s="1672">
        <f t="shared" si="5"/>
        <v>18753</v>
      </c>
      <c r="I20" s="1672">
        <f t="shared" si="5"/>
        <v>0</v>
      </c>
      <c r="J20" s="1672">
        <f t="shared" si="5"/>
        <v>0</v>
      </c>
      <c r="K20" s="1672">
        <f t="shared" si="5"/>
        <v>0</v>
      </c>
      <c r="L20" s="325"/>
    </row>
    <row r="21" spans="1:12" ht="16.7" customHeight="1" thickTop="1" x14ac:dyDescent="0.2">
      <c r="A21" s="2205" t="s">
        <v>591</v>
      </c>
      <c r="B21" s="2206"/>
      <c r="C21" s="1652"/>
      <c r="D21" s="1653"/>
      <c r="E21" s="1653"/>
      <c r="F21" s="1653"/>
      <c r="G21" s="1653"/>
      <c r="H21" s="1653"/>
      <c r="I21" s="1653"/>
      <c r="J21" s="1653"/>
      <c r="K21" s="1665"/>
      <c r="L21" s="453"/>
    </row>
    <row r="22" spans="1:12" ht="15.75" customHeight="1" collapsed="1" x14ac:dyDescent="0.2">
      <c r="A22" s="2201" t="s">
        <v>592</v>
      </c>
      <c r="B22" s="2202"/>
      <c r="C22" s="1632"/>
      <c r="D22" s="1632"/>
      <c r="E22" s="1632"/>
      <c r="F22" s="1632"/>
      <c r="G22" s="1632"/>
      <c r="H22" s="1632"/>
      <c r="I22" s="1632"/>
      <c r="J22" s="1632"/>
      <c r="K22" s="1632"/>
      <c r="L22" s="325"/>
    </row>
    <row r="23" spans="1:12" s="433" customFormat="1" ht="15.75" customHeight="1" x14ac:dyDescent="0.2">
      <c r="A23" s="2197" t="s">
        <v>290</v>
      </c>
      <c r="B23" s="2198"/>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v>1246000</v>
      </c>
      <c r="E27" s="1673"/>
      <c r="F27" s="1624"/>
      <c r="G27" s="1635"/>
      <c r="H27" s="1635"/>
      <c r="I27" s="1635"/>
      <c r="J27" s="1635"/>
      <c r="K27" s="1635"/>
      <c r="L27" s="453"/>
    </row>
    <row r="28" spans="1:12" s="433" customFormat="1" ht="13.5" customHeight="1" x14ac:dyDescent="0.2">
      <c r="A28" s="1305" t="s">
        <v>1384</v>
      </c>
      <c r="B28" s="432">
        <v>7140</v>
      </c>
      <c r="C28" s="1624">
        <v>47193</v>
      </c>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9" t="s">
        <v>974</v>
      </c>
      <c r="B32" s="2200"/>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469000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207" t="s">
        <v>371</v>
      </c>
      <c r="B44" s="2208"/>
      <c r="C44" s="1674">
        <f>SUM(C24:C43)</f>
        <v>47193</v>
      </c>
      <c r="D44" s="1674">
        <f t="shared" ref="D44:K44" si="6">SUM(D24:D43)</f>
        <v>1246000</v>
      </c>
      <c r="E44" s="1674">
        <f t="shared" si="6"/>
        <v>0</v>
      </c>
      <c r="F44" s="1674">
        <f t="shared" si="6"/>
        <v>0</v>
      </c>
      <c r="G44" s="1674">
        <f t="shared" si="6"/>
        <v>0</v>
      </c>
      <c r="H44" s="1674">
        <f t="shared" si="6"/>
        <v>469000</v>
      </c>
      <c r="I44" s="1674">
        <f t="shared" si="6"/>
        <v>0</v>
      </c>
      <c r="J44" s="1674">
        <f t="shared" si="6"/>
        <v>0</v>
      </c>
      <c r="K44" s="1674">
        <f t="shared" si="6"/>
        <v>0</v>
      </c>
      <c r="L44" s="453"/>
    </row>
    <row r="45" spans="1:12" ht="15.75" customHeight="1" thickTop="1" x14ac:dyDescent="0.2">
      <c r="A45" s="2201" t="s">
        <v>108</v>
      </c>
      <c r="B45" s="2202"/>
      <c r="C45" s="1675"/>
      <c r="D45" s="1675"/>
      <c r="E45" s="1675"/>
      <c r="F45" s="1675"/>
      <c r="G45" s="1675"/>
      <c r="H45" s="1675"/>
      <c r="I45" s="1675"/>
      <c r="J45" s="1675"/>
      <c r="K45" s="1675"/>
      <c r="L45" s="325"/>
    </row>
    <row r="46" spans="1:12" s="433" customFormat="1" ht="15.75" customHeight="1" x14ac:dyDescent="0.2">
      <c r="A46" s="2209" t="s">
        <v>109</v>
      </c>
      <c r="B46" s="2210"/>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1246000</v>
      </c>
      <c r="D49" s="1624"/>
      <c r="E49" s="1635"/>
      <c r="F49" s="1624"/>
      <c r="G49" s="1635"/>
      <c r="H49" s="1635"/>
      <c r="I49" s="1632"/>
      <c r="J49" s="1635"/>
      <c r="K49" s="1632"/>
      <c r="L49" s="453"/>
    </row>
    <row r="50" spans="1:12" s="433" customFormat="1" x14ac:dyDescent="0.2">
      <c r="A50" s="1306" t="s">
        <v>1384</v>
      </c>
      <c r="B50" s="432">
        <v>8140</v>
      </c>
      <c r="C50" s="1624"/>
      <c r="D50" s="1624"/>
      <c r="E50" s="1624">
        <v>47193</v>
      </c>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v>469000</v>
      </c>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83" t="s">
        <v>437</v>
      </c>
      <c r="B76" s="2184"/>
      <c r="C76" s="1674">
        <f t="shared" ref="C76:K76" si="7">SUM(C47:C75)</f>
        <v>1246000</v>
      </c>
      <c r="D76" s="1674">
        <f t="shared" si="7"/>
        <v>469000</v>
      </c>
      <c r="E76" s="1674">
        <f t="shared" si="7"/>
        <v>47193</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85" t="s">
        <v>1169</v>
      </c>
      <c r="B77" s="2186"/>
      <c r="C77" s="1674">
        <f t="shared" ref="C77:K77" si="8">C44-C76</f>
        <v>-1198807</v>
      </c>
      <c r="D77" s="1674">
        <f t="shared" si="8"/>
        <v>777000</v>
      </c>
      <c r="E77" s="1674">
        <f t="shared" si="8"/>
        <v>-47193</v>
      </c>
      <c r="F77" s="1674">
        <f t="shared" si="8"/>
        <v>0</v>
      </c>
      <c r="G77" s="1674">
        <f t="shared" si="8"/>
        <v>0</v>
      </c>
      <c r="H77" s="1674">
        <f t="shared" si="8"/>
        <v>469000</v>
      </c>
      <c r="I77" s="1674">
        <f t="shared" si="8"/>
        <v>0</v>
      </c>
      <c r="J77" s="1674">
        <f t="shared" si="8"/>
        <v>0</v>
      </c>
      <c r="K77" s="1674">
        <f t="shared" si="8"/>
        <v>0</v>
      </c>
      <c r="L77" s="325"/>
    </row>
    <row r="78" spans="1:12" ht="21.75" customHeight="1" thickTop="1" thickBot="1" x14ac:dyDescent="0.25">
      <c r="A78" s="2189" t="s">
        <v>593</v>
      </c>
      <c r="B78" s="2190"/>
      <c r="C78" s="1679">
        <f t="shared" ref="C78:K78" si="9">C20+C77</f>
        <v>1385836</v>
      </c>
      <c r="D78" s="1679">
        <f t="shared" si="9"/>
        <v>173471</v>
      </c>
      <c r="E78" s="1679">
        <f t="shared" si="9"/>
        <v>97351</v>
      </c>
      <c r="F78" s="1679">
        <f t="shared" si="9"/>
        <v>118964</v>
      </c>
      <c r="G78" s="1679">
        <f t="shared" si="9"/>
        <v>46044</v>
      </c>
      <c r="H78" s="1679">
        <f t="shared" si="9"/>
        <v>487753</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16146249</v>
      </c>
      <c r="D79" s="1680">
        <v>1873703</v>
      </c>
      <c r="E79" s="1680">
        <v>4656585</v>
      </c>
      <c r="F79" s="1680">
        <v>1339266</v>
      </c>
      <c r="G79" s="1680">
        <v>382778</v>
      </c>
      <c r="H79" s="1680">
        <v>1418667</v>
      </c>
      <c r="I79" s="1680"/>
      <c r="J79" s="1680"/>
      <c r="K79" s="1680"/>
      <c r="L79" s="325"/>
    </row>
    <row r="80" spans="1:12" x14ac:dyDescent="0.2">
      <c r="A80" s="2195" t="s">
        <v>1775</v>
      </c>
      <c r="B80" s="2196"/>
      <c r="C80" s="1624"/>
      <c r="D80" s="1624"/>
      <c r="E80" s="1624"/>
      <c r="F80" s="1624"/>
      <c r="G80" s="1624"/>
      <c r="H80" s="1624"/>
      <c r="I80" s="1624"/>
      <c r="J80" s="1624"/>
      <c r="K80" s="1624"/>
      <c r="L80" s="325"/>
    </row>
    <row r="81" spans="1:12" ht="13.5" thickBot="1" x14ac:dyDescent="0.25">
      <c r="A81" s="2187" t="str">
        <f>"Fund Balances - June 30, "&amp;'AFR20'!E2</f>
        <v>Fund Balances - June 30, 2020</v>
      </c>
      <c r="B81" s="2188"/>
      <c r="C81" s="1644">
        <f>(SUM(C78:C80))</f>
        <v>17532085</v>
      </c>
      <c r="D81" s="1644">
        <f>SUM(D78:D80)</f>
        <v>2047174</v>
      </c>
      <c r="E81" s="1644">
        <f t="shared" ref="E81:K81" si="10">SUM(E78:E80)</f>
        <v>4753936</v>
      </c>
      <c r="F81" s="1644">
        <f t="shared" si="10"/>
        <v>1458230</v>
      </c>
      <c r="G81" s="1644">
        <f t="shared" si="10"/>
        <v>428822</v>
      </c>
      <c r="H81" s="1644">
        <f t="shared" si="10"/>
        <v>1906420</v>
      </c>
      <c r="I81" s="1644">
        <f t="shared" si="10"/>
        <v>0</v>
      </c>
      <c r="J81" s="1644">
        <f t="shared" si="10"/>
        <v>0</v>
      </c>
      <c r="K81" s="1644">
        <f t="shared" si="10"/>
        <v>0</v>
      </c>
      <c r="L81" s="325"/>
    </row>
    <row r="82" spans="1:12" ht="0.75" customHeight="1" thickTop="1" thickBot="1" x14ac:dyDescent="0.25">
      <c r="A82" s="459" t="s">
        <v>340</v>
      </c>
      <c r="B82" s="460"/>
      <c r="C82" s="461">
        <f>(C81-C79)</f>
        <v>1385836</v>
      </c>
      <c r="D82" s="461">
        <f t="shared" ref="D82:K82" si="11">(D81-D79)</f>
        <v>173471</v>
      </c>
      <c r="E82" s="461">
        <f t="shared" si="11"/>
        <v>97351</v>
      </c>
      <c r="F82" s="461">
        <f t="shared" si="11"/>
        <v>118964</v>
      </c>
      <c r="G82" s="461">
        <f t="shared" si="11"/>
        <v>46044</v>
      </c>
      <c r="H82" s="461">
        <f t="shared" si="11"/>
        <v>487753</v>
      </c>
      <c r="I82" s="461">
        <f t="shared" si="11"/>
        <v>0</v>
      </c>
      <c r="J82" s="461">
        <f t="shared" si="11"/>
        <v>0</v>
      </c>
      <c r="K82" s="461">
        <f t="shared" si="11"/>
        <v>0</v>
      </c>
    </row>
    <row r="83" spans="1:12" ht="14.25" hidden="1" thickTop="1" thickBot="1" x14ac:dyDescent="0.25">
      <c r="A83" s="462" t="s">
        <v>341</v>
      </c>
      <c r="B83" s="428"/>
      <c r="C83" s="463">
        <f>C82/C81</f>
        <v>7.904570391941404E-2</v>
      </c>
      <c r="D83" s="463">
        <f t="shared" ref="D83:K83" si="12">D82/D81</f>
        <v>8.4736812796567362E-2</v>
      </c>
      <c r="E83" s="463">
        <f t="shared" si="12"/>
        <v>2.047797866862322E-2</v>
      </c>
      <c r="F83" s="463">
        <f t="shared" si="12"/>
        <v>8.1581094889009276E-2</v>
      </c>
      <c r="G83" s="463">
        <f t="shared" si="12"/>
        <v>0.10737322245593743</v>
      </c>
      <c r="H83" s="463">
        <f t="shared" si="12"/>
        <v>0.25584760965579462</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0" activePane="bottomLeft" state="frozen"/>
      <selection pane="bottomLeft" activeCell="C191" sqref="C19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1" t="s">
        <v>1782</v>
      </c>
      <c r="B1" s="416"/>
      <c r="C1" s="417" t="s">
        <v>422</v>
      </c>
      <c r="D1" s="417" t="s">
        <v>423</v>
      </c>
      <c r="E1" s="417" t="s">
        <v>424</v>
      </c>
      <c r="F1" s="417" t="s">
        <v>425</v>
      </c>
      <c r="G1" s="417" t="s">
        <v>426</v>
      </c>
      <c r="H1" s="417" t="s">
        <v>427</v>
      </c>
      <c r="I1" s="417" t="s">
        <v>428</v>
      </c>
      <c r="J1" s="417" t="s">
        <v>429</v>
      </c>
      <c r="K1" s="417" t="s">
        <v>751</v>
      </c>
    </row>
    <row r="2" spans="1:12" ht="36" x14ac:dyDescent="0.2">
      <c r="A2" s="219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16563227</v>
      </c>
      <c r="D5" s="1636">
        <v>2460886</v>
      </c>
      <c r="E5" s="1623">
        <v>5101690</v>
      </c>
      <c r="F5" s="1681">
        <v>1063411</v>
      </c>
      <c r="G5" s="1623">
        <v>329194</v>
      </c>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v>240519</v>
      </c>
      <c r="D7" s="1623"/>
      <c r="E7" s="1625"/>
      <c r="F7" s="1624"/>
      <c r="G7" s="1624"/>
      <c r="H7" s="1624"/>
      <c r="I7" s="1625"/>
      <c r="J7" s="1625"/>
      <c r="K7" s="1625"/>
    </row>
    <row r="8" spans="1:12" x14ac:dyDescent="0.2">
      <c r="A8" s="427" t="s">
        <v>410</v>
      </c>
      <c r="B8" s="429">
        <v>1150</v>
      </c>
      <c r="C8" s="1630"/>
      <c r="D8" s="1630"/>
      <c r="E8" s="1632"/>
      <c r="F8" s="1632"/>
      <c r="G8" s="1636">
        <v>419598</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16803746</v>
      </c>
      <c r="D12" s="1683">
        <f t="shared" si="0"/>
        <v>2460886</v>
      </c>
      <c r="E12" s="1683">
        <f t="shared" si="0"/>
        <v>5101690</v>
      </c>
      <c r="F12" s="1683">
        <f t="shared" si="0"/>
        <v>1063411</v>
      </c>
      <c r="G12" s="1683">
        <f t="shared" si="0"/>
        <v>748792</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360798</v>
      </c>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360798</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41760</v>
      </c>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41760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22792</v>
      </c>
      <c r="G42" s="1625"/>
      <c r="H42" s="1625"/>
      <c r="I42" s="1625"/>
      <c r="J42" s="1625"/>
      <c r="K42" s="1625"/>
    </row>
    <row r="43" spans="1:11" ht="12.75" customHeight="1" x14ac:dyDescent="0.2">
      <c r="A43" s="427" t="s">
        <v>832</v>
      </c>
      <c r="B43" s="429">
        <v>1412</v>
      </c>
      <c r="C43" s="1625"/>
      <c r="D43" s="1625"/>
      <c r="E43" s="1625"/>
      <c r="F43" s="1623">
        <v>3769</v>
      </c>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26561</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551089</v>
      </c>
      <c r="D65" s="1623"/>
      <c r="E65" s="1623">
        <v>47565</v>
      </c>
      <c r="F65" s="1624"/>
      <c r="G65" s="1623"/>
      <c r="H65" s="1623">
        <v>18753</v>
      </c>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551089</v>
      </c>
      <c r="D67" s="1644">
        <f t="shared" ref="D67:K67" si="2">SUM(D65:D66)</f>
        <v>0</v>
      </c>
      <c r="E67" s="1644">
        <f t="shared" si="2"/>
        <v>47565</v>
      </c>
      <c r="F67" s="1644">
        <f t="shared" si="2"/>
        <v>0</v>
      </c>
      <c r="G67" s="1644">
        <f t="shared" si="2"/>
        <v>0</v>
      </c>
      <c r="H67" s="1644">
        <f t="shared" si="2"/>
        <v>18753</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189589</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189589</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175131</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175131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456261</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v>136158</v>
      </c>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v>11000</v>
      </c>
      <c r="D92" s="1625"/>
      <c r="E92" s="1625"/>
      <c r="F92" s="1625"/>
      <c r="G92" s="1625"/>
      <c r="H92" s="1625"/>
      <c r="I92" s="1625"/>
      <c r="J92" s="1625"/>
      <c r="K92" s="1625"/>
    </row>
    <row r="93" spans="1:11" ht="12.75" customHeight="1" thickBot="1" x14ac:dyDescent="0.25">
      <c r="A93" s="1455" t="s">
        <v>241</v>
      </c>
      <c r="B93" s="1456"/>
      <c r="C93" s="1644">
        <f>SUM(C84:C92)</f>
        <v>603419</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v>176173</v>
      </c>
      <c r="E95" s="1667"/>
      <c r="F95" s="1667"/>
      <c r="G95" s="1667"/>
      <c r="H95" s="1667"/>
      <c r="I95" s="1667"/>
      <c r="J95" s="1667"/>
      <c r="K95" s="1667"/>
    </row>
    <row r="96" spans="1:11" ht="12.75" customHeight="1" x14ac:dyDescent="0.2">
      <c r="A96" s="427" t="s">
        <v>388</v>
      </c>
      <c r="B96" s="429">
        <v>1920</v>
      </c>
      <c r="C96" s="1682">
        <v>101274</v>
      </c>
      <c r="D96" s="1682">
        <v>813</v>
      </c>
      <c r="E96" s="1634"/>
      <c r="F96" s="1633"/>
      <c r="G96" s="1633"/>
      <c r="H96" s="1633"/>
      <c r="I96" s="1633"/>
      <c r="J96" s="1633"/>
      <c r="K96" s="1633"/>
    </row>
    <row r="97" spans="1:12" ht="12.75" customHeight="1" x14ac:dyDescent="0.2">
      <c r="A97" s="1310" t="s">
        <v>242</v>
      </c>
      <c r="B97" s="477">
        <v>1930</v>
      </c>
      <c r="C97" s="1648"/>
      <c r="D97" s="1624">
        <v>122250</v>
      </c>
      <c r="E97" s="1629"/>
      <c r="F97" s="1624"/>
      <c r="G97" s="1624"/>
      <c r="H97" s="1624"/>
      <c r="I97" s="1624"/>
      <c r="J97" s="1624"/>
      <c r="K97" s="1624"/>
    </row>
    <row r="98" spans="1:12" ht="12.75" customHeight="1" x14ac:dyDescent="0.2">
      <c r="A98" s="427" t="s">
        <v>188</v>
      </c>
      <c r="B98" s="429">
        <v>1940</v>
      </c>
      <c r="C98" s="1648">
        <v>60004</v>
      </c>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v>12659</v>
      </c>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v>382670</v>
      </c>
      <c r="D106" s="1648"/>
      <c r="E106" s="1624"/>
      <c r="F106" s="1624"/>
      <c r="G106" s="1624"/>
      <c r="H106" s="1624"/>
      <c r="I106" s="1667"/>
      <c r="J106" s="1624"/>
      <c r="K106" s="1624"/>
    </row>
    <row r="107" spans="1:12" ht="12.75" customHeight="1" x14ac:dyDescent="0.2">
      <c r="A107" s="427" t="s">
        <v>78</v>
      </c>
      <c r="B107" s="429">
        <v>1999</v>
      </c>
      <c r="C107" s="1682">
        <v>42239</v>
      </c>
      <c r="D107" s="1623">
        <v>5715</v>
      </c>
      <c r="E107" s="1623"/>
      <c r="F107" s="1623"/>
      <c r="G107" s="1623"/>
      <c r="H107" s="1623"/>
      <c r="I107" s="1623"/>
      <c r="J107" s="1624"/>
      <c r="K107" s="1623"/>
    </row>
    <row r="108" spans="1:12" ht="12.75" customHeight="1" thickBot="1" x14ac:dyDescent="0.25">
      <c r="A108" s="1455" t="s">
        <v>484</v>
      </c>
      <c r="B108" s="1457"/>
      <c r="C108" s="1683">
        <f>SUM(C95:C107)</f>
        <v>586187</v>
      </c>
      <c r="D108" s="1683">
        <f t="shared" ref="D108:K108" si="3">SUM(D95:D107)</f>
        <v>317610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19311719</v>
      </c>
      <c r="D109" s="1691">
        <f t="shared" si="4"/>
        <v>2778496</v>
      </c>
      <c r="E109" s="1691">
        <f t="shared" si="4"/>
        <v>5149255</v>
      </c>
      <c r="F109" s="1691">
        <f t="shared" si="4"/>
        <v>1089972</v>
      </c>
      <c r="G109" s="1691">
        <f t="shared" si="4"/>
        <v>748792</v>
      </c>
      <c r="H109" s="1691">
        <f t="shared" si="4"/>
        <v>18753</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1583720</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1583720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170447</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170447</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105135</v>
      </c>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105135</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1083</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31390</v>
      </c>
      <c r="G152" s="1624"/>
      <c r="H152" s="1625"/>
      <c r="I152" s="1625"/>
      <c r="J152" s="1625"/>
      <c r="K152" s="1625"/>
    </row>
    <row r="153" spans="1:11" ht="12.75" customHeight="1" x14ac:dyDescent="0.2">
      <c r="A153" s="427" t="s">
        <v>1050</v>
      </c>
      <c r="B153" s="478">
        <v>3510</v>
      </c>
      <c r="C153" s="1682"/>
      <c r="D153" s="1623"/>
      <c r="E153" s="1690"/>
      <c r="F153" s="1623">
        <v>385474</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416864</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106058</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11" t="s">
        <v>395</v>
      </c>
      <c r="B169" s="2212"/>
      <c r="C169" s="1708">
        <f t="shared" ref="C169:K169" si="6">SUM(C132,C141,C145,C146:C150,C155,C156:C167,C168)</f>
        <v>382723</v>
      </c>
      <c r="D169" s="1708">
        <f t="shared" si="6"/>
        <v>50000</v>
      </c>
      <c r="E169" s="1708">
        <f t="shared" si="6"/>
        <v>0</v>
      </c>
      <c r="F169" s="1708">
        <f t="shared" si="6"/>
        <v>416864</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1966443</v>
      </c>
      <c r="D170" s="1691">
        <f t="shared" si="7"/>
        <v>50000</v>
      </c>
      <c r="E170" s="1691">
        <f t="shared" si="7"/>
        <v>0</v>
      </c>
      <c r="F170" s="1691">
        <f t="shared" si="7"/>
        <v>416864</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13" t="s">
        <v>1478</v>
      </c>
      <c r="B172" s="2214"/>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17" t="s">
        <v>1649</v>
      </c>
      <c r="B175" s="221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21" t="s">
        <v>1648</v>
      </c>
      <c r="B176" s="2222"/>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9" t="s">
        <v>780</v>
      </c>
      <c r="B181" s="222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15" t="s">
        <v>1783</v>
      </c>
      <c r="B182" s="2216"/>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105737</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v>49630</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155367</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231411</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231411</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22303</v>
      </c>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525682</v>
      </c>
      <c r="D213" s="1623"/>
      <c r="E213" s="1625"/>
      <c r="F213" s="1623"/>
      <c r="G213" s="1623"/>
      <c r="H213" s="1625"/>
      <c r="I213" s="1625"/>
      <c r="J213" s="1625"/>
      <c r="K213" s="1625"/>
    </row>
    <row r="214" spans="1:11" ht="12.75" customHeight="1" x14ac:dyDescent="0.2">
      <c r="A214" s="427" t="s">
        <v>1047</v>
      </c>
      <c r="B214" s="429">
        <v>4625</v>
      </c>
      <c r="C214" s="1682">
        <v>122360</v>
      </c>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670345</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v>18634</v>
      </c>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77727</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v>4535</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1158019</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1158019</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22436181</v>
      </c>
      <c r="D268" s="1691">
        <f t="shared" si="12"/>
        <v>2828496</v>
      </c>
      <c r="E268" s="1691">
        <f t="shared" si="12"/>
        <v>5149255</v>
      </c>
      <c r="F268" s="1691">
        <f t="shared" si="12"/>
        <v>1506836</v>
      </c>
      <c r="G268" s="1691">
        <f t="shared" si="12"/>
        <v>748792</v>
      </c>
      <c r="H268" s="1691">
        <f t="shared" si="12"/>
        <v>18753</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42" activePane="bottomLeft" state="frozen"/>
      <selection pane="bottomLeft" activeCell="K74" sqref="K7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9" t="s">
        <v>294</v>
      </c>
      <c r="B3" s="2230"/>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6794150</v>
      </c>
      <c r="D5" s="1623">
        <v>2608002</v>
      </c>
      <c r="E5" s="1623">
        <v>334472</v>
      </c>
      <c r="F5" s="1623">
        <v>267594</v>
      </c>
      <c r="G5" s="1623">
        <v>0</v>
      </c>
      <c r="H5" s="1623">
        <v>35592</v>
      </c>
      <c r="I5" s="1624"/>
      <c r="J5" s="1624">
        <v>47443</v>
      </c>
      <c r="K5" s="1722">
        <f>SUM(C5:J5)</f>
        <v>10087253</v>
      </c>
      <c r="L5" s="1623">
        <f>10534631+100000</f>
        <v>10634631</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v>1923588</v>
      </c>
      <c r="D8" s="1623">
        <v>33299</v>
      </c>
      <c r="E8" s="1623">
        <v>65409</v>
      </c>
      <c r="F8" s="1623">
        <v>40295</v>
      </c>
      <c r="G8" s="1623"/>
      <c r="H8" s="1623">
        <v>538</v>
      </c>
      <c r="I8" s="1624"/>
      <c r="J8" s="1624"/>
      <c r="K8" s="1722">
        <f t="shared" si="0"/>
        <v>2063129</v>
      </c>
      <c r="L8" s="1623">
        <v>2054828</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v>195860</v>
      </c>
      <c r="D11" s="1624">
        <v>2514</v>
      </c>
      <c r="E11" s="1624"/>
      <c r="F11" s="1624">
        <v>9314</v>
      </c>
      <c r="G11" s="1624"/>
      <c r="H11" s="1624"/>
      <c r="I11" s="1624"/>
      <c r="J11" s="1624"/>
      <c r="K11" s="1722">
        <f t="shared" si="0"/>
        <v>207688</v>
      </c>
      <c r="L11" s="1623">
        <v>184281</v>
      </c>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v>151893</v>
      </c>
      <c r="D14" s="1623">
        <v>1643</v>
      </c>
      <c r="E14" s="1623">
        <v>5070</v>
      </c>
      <c r="F14" s="1623">
        <v>20372</v>
      </c>
      <c r="G14" s="1623"/>
      <c r="H14" s="1623">
        <v>14274</v>
      </c>
      <c r="I14" s="1624"/>
      <c r="J14" s="1624"/>
      <c r="K14" s="1722">
        <f t="shared" si="0"/>
        <v>193252</v>
      </c>
      <c r="L14" s="1623">
        <v>159425</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v>289017</v>
      </c>
      <c r="D18" s="1623">
        <v>4090</v>
      </c>
      <c r="E18" s="1623">
        <v>74</v>
      </c>
      <c r="F18" s="1623">
        <v>878</v>
      </c>
      <c r="G18" s="1623"/>
      <c r="H18" s="1623"/>
      <c r="I18" s="1624"/>
      <c r="J18" s="1624"/>
      <c r="K18" s="1722">
        <f t="shared" si="0"/>
        <v>294059</v>
      </c>
      <c r="L18" s="1623">
        <v>317570</v>
      </c>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v>649096</v>
      </c>
      <c r="I22" s="1723"/>
      <c r="J22" s="1632"/>
      <c r="K22" s="1722">
        <f t="shared" si="0"/>
        <v>649096</v>
      </c>
      <c r="L22" s="1627">
        <v>575000</v>
      </c>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9354508</v>
      </c>
      <c r="D33" s="1724">
        <f t="shared" ref="D33:L33" si="1">SUM(D5:D32)</f>
        <v>2649548</v>
      </c>
      <c r="E33" s="1724">
        <f t="shared" si="1"/>
        <v>405025</v>
      </c>
      <c r="F33" s="1724">
        <f t="shared" si="1"/>
        <v>338453</v>
      </c>
      <c r="G33" s="1724">
        <f t="shared" si="1"/>
        <v>0</v>
      </c>
      <c r="H33" s="1724">
        <f t="shared" si="1"/>
        <v>699500</v>
      </c>
      <c r="I33" s="1724">
        <f t="shared" si="1"/>
        <v>0</v>
      </c>
      <c r="J33" s="1724">
        <f t="shared" si="1"/>
        <v>47443</v>
      </c>
      <c r="K33" s="1724">
        <f t="shared" si="1"/>
        <v>13494477</v>
      </c>
      <c r="L33" s="1724">
        <f t="shared" si="1"/>
        <v>13925735</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400199</v>
      </c>
      <c r="D36" s="1636">
        <v>6107</v>
      </c>
      <c r="E36" s="1636"/>
      <c r="F36" s="1636"/>
      <c r="G36" s="1636"/>
      <c r="H36" s="1636"/>
      <c r="I36" s="1624"/>
      <c r="J36" s="1624"/>
      <c r="K36" s="1722">
        <f t="shared" ref="K36:K41" si="2">SUM(C36:J36)</f>
        <v>406306</v>
      </c>
      <c r="L36" s="1623">
        <v>386361</v>
      </c>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v>146735</v>
      </c>
      <c r="D38" s="1623"/>
      <c r="E38" s="1623">
        <v>2452</v>
      </c>
      <c r="F38" s="1623">
        <v>8363</v>
      </c>
      <c r="G38" s="1623"/>
      <c r="H38" s="1623"/>
      <c r="I38" s="1624"/>
      <c r="J38" s="1624"/>
      <c r="K38" s="1722">
        <f t="shared" si="2"/>
        <v>157550</v>
      </c>
      <c r="L38" s="1623">
        <v>148027</v>
      </c>
    </row>
    <row r="39" spans="1:14" x14ac:dyDescent="0.2">
      <c r="A39" s="1319" t="s">
        <v>197</v>
      </c>
      <c r="B39" s="503">
        <v>2140</v>
      </c>
      <c r="C39" s="1623">
        <v>193142</v>
      </c>
      <c r="D39" s="1623">
        <v>2934</v>
      </c>
      <c r="E39" s="1623"/>
      <c r="F39" s="1623">
        <v>2663</v>
      </c>
      <c r="G39" s="1623"/>
      <c r="H39" s="1623"/>
      <c r="I39" s="1624"/>
      <c r="J39" s="1624"/>
      <c r="K39" s="1722">
        <f t="shared" si="2"/>
        <v>198739</v>
      </c>
      <c r="L39" s="1623">
        <v>192551</v>
      </c>
    </row>
    <row r="40" spans="1:14" x14ac:dyDescent="0.2">
      <c r="A40" s="1319" t="s">
        <v>198</v>
      </c>
      <c r="B40" s="503">
        <v>2150</v>
      </c>
      <c r="C40" s="1623">
        <v>267451</v>
      </c>
      <c r="D40" s="1623">
        <v>4302</v>
      </c>
      <c r="E40" s="1623"/>
      <c r="F40" s="1623">
        <v>1381</v>
      </c>
      <c r="G40" s="1623"/>
      <c r="H40" s="1623"/>
      <c r="I40" s="1624"/>
      <c r="J40" s="1624"/>
      <c r="K40" s="1722">
        <f t="shared" si="2"/>
        <v>273134</v>
      </c>
      <c r="L40" s="1623">
        <v>265318</v>
      </c>
    </row>
    <row r="41" spans="1:14" x14ac:dyDescent="0.2">
      <c r="A41" s="1319" t="s">
        <v>1653</v>
      </c>
      <c r="B41" s="503">
        <v>2190</v>
      </c>
      <c r="C41" s="1623">
        <v>75942</v>
      </c>
      <c r="D41" s="1623"/>
      <c r="E41" s="1623"/>
      <c r="F41" s="1623"/>
      <c r="G41" s="1623"/>
      <c r="H41" s="1623"/>
      <c r="I41" s="1624"/>
      <c r="J41" s="1624"/>
      <c r="K41" s="1722">
        <f t="shared" si="2"/>
        <v>75942</v>
      </c>
      <c r="L41" s="1623">
        <v>14036</v>
      </c>
    </row>
    <row r="42" spans="1:14" ht="12.75" customHeight="1" thickBot="1" x14ac:dyDescent="0.25">
      <c r="A42" s="1429" t="s">
        <v>556</v>
      </c>
      <c r="B42" s="1430" t="s">
        <v>711</v>
      </c>
      <c r="C42" s="1724">
        <f>SUM(C36:C41)</f>
        <v>1083469</v>
      </c>
      <c r="D42" s="1724">
        <f t="shared" ref="D42:L42" si="3">SUM(D36:D41)</f>
        <v>13343</v>
      </c>
      <c r="E42" s="1724">
        <f t="shared" si="3"/>
        <v>2452</v>
      </c>
      <c r="F42" s="1724">
        <f t="shared" si="3"/>
        <v>12407</v>
      </c>
      <c r="G42" s="1724">
        <f t="shared" si="3"/>
        <v>0</v>
      </c>
      <c r="H42" s="1724">
        <f t="shared" si="3"/>
        <v>0</v>
      </c>
      <c r="I42" s="1724">
        <f t="shared" si="3"/>
        <v>0</v>
      </c>
      <c r="J42" s="1724">
        <f t="shared" si="3"/>
        <v>0</v>
      </c>
      <c r="K42" s="1724">
        <f t="shared" si="3"/>
        <v>1111671</v>
      </c>
      <c r="L42" s="1724">
        <f t="shared" si="3"/>
        <v>1006293</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366605</v>
      </c>
      <c r="D44" s="1636">
        <v>13331</v>
      </c>
      <c r="E44" s="1636">
        <v>666324</v>
      </c>
      <c r="F44" s="1636">
        <v>184537</v>
      </c>
      <c r="G44" s="1636">
        <v>90033</v>
      </c>
      <c r="H44" s="1636"/>
      <c r="I44" s="1624">
        <v>343176</v>
      </c>
      <c r="J44" s="1624"/>
      <c r="K44" s="1728">
        <f>SUM(C44:J44)</f>
        <v>1664006</v>
      </c>
      <c r="L44" s="1636">
        <f>1257114+430000</f>
        <v>1687114</v>
      </c>
    </row>
    <row r="45" spans="1:14" x14ac:dyDescent="0.2">
      <c r="A45" s="1319" t="s">
        <v>810</v>
      </c>
      <c r="B45" s="503">
        <v>2220</v>
      </c>
      <c r="C45" s="1623">
        <v>401239</v>
      </c>
      <c r="D45" s="1623">
        <v>5090</v>
      </c>
      <c r="E45" s="1623"/>
      <c r="F45" s="1623">
        <v>2433</v>
      </c>
      <c r="G45" s="1623"/>
      <c r="H45" s="1623"/>
      <c r="I45" s="1624"/>
      <c r="J45" s="1624"/>
      <c r="K45" s="1728">
        <f>SUM(C45:J45)</f>
        <v>408762</v>
      </c>
      <c r="L45" s="1623">
        <v>425777</v>
      </c>
    </row>
    <row r="46" spans="1:14" x14ac:dyDescent="0.2">
      <c r="A46" s="1319" t="s">
        <v>811</v>
      </c>
      <c r="B46" s="503">
        <v>2230</v>
      </c>
      <c r="C46" s="1623"/>
      <c r="D46" s="1623"/>
      <c r="E46" s="1623">
        <v>27959</v>
      </c>
      <c r="F46" s="1623"/>
      <c r="G46" s="1623"/>
      <c r="H46" s="1623"/>
      <c r="I46" s="1624"/>
      <c r="J46" s="1624"/>
      <c r="K46" s="1728">
        <f>SUM(C46:J46)</f>
        <v>27959</v>
      </c>
      <c r="L46" s="1623">
        <v>30800</v>
      </c>
    </row>
    <row r="47" spans="1:14" ht="12.75" customHeight="1" thickBot="1" x14ac:dyDescent="0.25">
      <c r="A47" s="1429" t="s">
        <v>557</v>
      </c>
      <c r="B47" s="1430" t="s">
        <v>32</v>
      </c>
      <c r="C47" s="1724">
        <f>SUM(C44:C46)</f>
        <v>767844</v>
      </c>
      <c r="D47" s="1724">
        <f t="shared" ref="D47:K47" si="4">SUM(D44:D46)</f>
        <v>18421</v>
      </c>
      <c r="E47" s="1724">
        <f t="shared" si="4"/>
        <v>694283</v>
      </c>
      <c r="F47" s="1724">
        <f t="shared" si="4"/>
        <v>186970</v>
      </c>
      <c r="G47" s="1724">
        <f t="shared" si="4"/>
        <v>90033</v>
      </c>
      <c r="H47" s="1724">
        <f t="shared" si="4"/>
        <v>0</v>
      </c>
      <c r="I47" s="1724">
        <f t="shared" si="4"/>
        <v>343176</v>
      </c>
      <c r="J47" s="1724">
        <f t="shared" si="4"/>
        <v>0</v>
      </c>
      <c r="K47" s="1724">
        <f t="shared" si="4"/>
        <v>2100727</v>
      </c>
      <c r="L47" s="1724">
        <f>SUM(L44:L46)</f>
        <v>2143691</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v>336110</v>
      </c>
      <c r="F49" s="1636">
        <v>2728</v>
      </c>
      <c r="G49" s="1636"/>
      <c r="H49" s="1636">
        <v>25438</v>
      </c>
      <c r="I49" s="1624"/>
      <c r="J49" s="1624"/>
      <c r="K49" s="1728">
        <f>SUM(C49:J49)</f>
        <v>364276</v>
      </c>
      <c r="L49" s="1636">
        <v>384700</v>
      </c>
    </row>
    <row r="50" spans="1:14" x14ac:dyDescent="0.2">
      <c r="A50" s="1319" t="s">
        <v>813</v>
      </c>
      <c r="B50" s="503">
        <v>2320</v>
      </c>
      <c r="C50" s="1623">
        <v>295320</v>
      </c>
      <c r="D50" s="1623">
        <v>29250</v>
      </c>
      <c r="E50" s="1623">
        <v>40867</v>
      </c>
      <c r="F50" s="1623">
        <v>5268</v>
      </c>
      <c r="G50" s="1623"/>
      <c r="H50" s="1623">
        <v>26549</v>
      </c>
      <c r="I50" s="1624"/>
      <c r="J50" s="1624"/>
      <c r="K50" s="1728">
        <f>SUM(C50:J50)</f>
        <v>397254</v>
      </c>
      <c r="L50" s="1623">
        <v>380564</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295320</v>
      </c>
      <c r="D53" s="1724">
        <f t="shared" ref="D53:L53" si="5">SUM(D49:D52)</f>
        <v>29250</v>
      </c>
      <c r="E53" s="1724">
        <f t="shared" si="5"/>
        <v>376977</v>
      </c>
      <c r="F53" s="1724">
        <f t="shared" si="5"/>
        <v>7996</v>
      </c>
      <c r="G53" s="1724">
        <f t="shared" si="5"/>
        <v>0</v>
      </c>
      <c r="H53" s="1724">
        <f t="shared" si="5"/>
        <v>51987</v>
      </c>
      <c r="I53" s="1724">
        <f t="shared" si="5"/>
        <v>0</v>
      </c>
      <c r="J53" s="1724">
        <f t="shared" si="5"/>
        <v>0</v>
      </c>
      <c r="K53" s="1724">
        <f t="shared" si="5"/>
        <v>761530</v>
      </c>
      <c r="L53" s="1724">
        <f t="shared" si="5"/>
        <v>765264</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939178</v>
      </c>
      <c r="D55" s="1636">
        <v>80679</v>
      </c>
      <c r="E55" s="1636">
        <v>4403</v>
      </c>
      <c r="F55" s="1636">
        <v>14370</v>
      </c>
      <c r="G55" s="1636"/>
      <c r="H55" s="1636">
        <v>9421</v>
      </c>
      <c r="I55" s="1624"/>
      <c r="J55" s="1624"/>
      <c r="K55" s="1728">
        <f>SUM(C55:J55)</f>
        <v>1048051</v>
      </c>
      <c r="L55" s="1636">
        <v>1040772</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939178</v>
      </c>
      <c r="D57" s="1729">
        <f t="shared" ref="D57:K57" si="6">SUM(D55:D56)</f>
        <v>80679</v>
      </c>
      <c r="E57" s="1729">
        <f t="shared" si="6"/>
        <v>4403</v>
      </c>
      <c r="F57" s="1729">
        <f t="shared" si="6"/>
        <v>14370</v>
      </c>
      <c r="G57" s="1729">
        <f t="shared" si="6"/>
        <v>0</v>
      </c>
      <c r="H57" s="1729">
        <f t="shared" si="6"/>
        <v>9421</v>
      </c>
      <c r="I57" s="1729">
        <f t="shared" si="6"/>
        <v>0</v>
      </c>
      <c r="J57" s="1729">
        <f t="shared" si="6"/>
        <v>0</v>
      </c>
      <c r="K57" s="1729">
        <f t="shared" si="6"/>
        <v>1048051</v>
      </c>
      <c r="L57" s="1724">
        <f>SUM(L55:L56)</f>
        <v>1040772</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125059</v>
      </c>
      <c r="D59" s="1636">
        <v>14244</v>
      </c>
      <c r="E59" s="1636">
        <v>8144</v>
      </c>
      <c r="F59" s="1636">
        <v>2519</v>
      </c>
      <c r="G59" s="1636"/>
      <c r="H59" s="1636">
        <v>1992</v>
      </c>
      <c r="I59" s="1624"/>
      <c r="J59" s="1624"/>
      <c r="K59" s="1728">
        <f t="shared" ref="K59:K64" si="7">SUM(C59:J59)</f>
        <v>151958</v>
      </c>
      <c r="L59" s="1636">
        <v>170589</v>
      </c>
      <c r="M59" s="501"/>
      <c r="N59" s="501"/>
    </row>
    <row r="60" spans="1:14" s="321" customFormat="1" x14ac:dyDescent="0.2">
      <c r="A60" s="1319" t="s">
        <v>460</v>
      </c>
      <c r="B60" s="503">
        <v>2520</v>
      </c>
      <c r="C60" s="1623">
        <v>105575</v>
      </c>
      <c r="D60" s="1623"/>
      <c r="E60" s="1623"/>
      <c r="F60" s="1623"/>
      <c r="G60" s="1623"/>
      <c r="H60" s="1623"/>
      <c r="I60" s="1624"/>
      <c r="J60" s="1624"/>
      <c r="K60" s="1728">
        <f t="shared" si="7"/>
        <v>105575</v>
      </c>
      <c r="L60" s="1623">
        <v>105570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21755</v>
      </c>
      <c r="D63" s="1623">
        <v>184</v>
      </c>
      <c r="E63" s="1623">
        <v>262374</v>
      </c>
      <c r="F63" s="1623">
        <v>5046</v>
      </c>
      <c r="G63" s="1623"/>
      <c r="H63" s="1623"/>
      <c r="I63" s="1624"/>
      <c r="J63" s="1624"/>
      <c r="K63" s="1728">
        <f t="shared" si="7"/>
        <v>289359</v>
      </c>
      <c r="L63" s="1623">
        <v>271000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252389</v>
      </c>
      <c r="D65" s="1724">
        <f t="shared" ref="D65:L65" si="8">SUM(D59:D64)</f>
        <v>14428</v>
      </c>
      <c r="E65" s="1724">
        <f t="shared" si="8"/>
        <v>270518</v>
      </c>
      <c r="F65" s="1724">
        <f t="shared" si="8"/>
        <v>7565</v>
      </c>
      <c r="G65" s="1724">
        <f t="shared" si="8"/>
        <v>0</v>
      </c>
      <c r="H65" s="1724">
        <f t="shared" si="8"/>
        <v>1992</v>
      </c>
      <c r="I65" s="1724">
        <f t="shared" si="8"/>
        <v>0</v>
      </c>
      <c r="J65" s="1724">
        <f t="shared" si="8"/>
        <v>0</v>
      </c>
      <c r="K65" s="1724">
        <f t="shared" si="8"/>
        <v>546892</v>
      </c>
      <c r="L65" s="1724">
        <f t="shared" si="8"/>
        <v>547159</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v>254</v>
      </c>
      <c r="D71" s="1623"/>
      <c r="E71" s="1623"/>
      <c r="F71" s="1623"/>
      <c r="G71" s="1623"/>
      <c r="H71" s="1623"/>
      <c r="I71" s="1624"/>
      <c r="J71" s="1624"/>
      <c r="K71" s="1728">
        <f>SUM(C71:J71)</f>
        <v>254</v>
      </c>
      <c r="L71" s="1623">
        <v>2000</v>
      </c>
      <c r="M71" s="501"/>
      <c r="N71" s="501"/>
    </row>
    <row r="72" spans="1:14" s="321" customFormat="1" ht="12.75" customHeight="1" thickBot="1" x14ac:dyDescent="0.25">
      <c r="A72" s="1429" t="s">
        <v>37</v>
      </c>
      <c r="B72" s="1432" t="s">
        <v>36</v>
      </c>
      <c r="C72" s="1724">
        <f>SUM(C67:C71)</f>
        <v>254</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254</v>
      </c>
      <c r="L72" s="1724">
        <f>SUM(L67:L71)</f>
        <v>2000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3338454</v>
      </c>
      <c r="D74" s="1731">
        <f t="shared" ref="D74:K74" si="10">SUM(D42,D47,D53,D57,D65,D72,D73)</f>
        <v>156121</v>
      </c>
      <c r="E74" s="1731">
        <f t="shared" si="10"/>
        <v>1348633</v>
      </c>
      <c r="F74" s="1731">
        <f t="shared" si="10"/>
        <v>229308</v>
      </c>
      <c r="G74" s="1731">
        <f t="shared" si="10"/>
        <v>90033</v>
      </c>
      <c r="H74" s="1731">
        <f t="shared" si="10"/>
        <v>63400</v>
      </c>
      <c r="I74" s="1731">
        <f t="shared" si="10"/>
        <v>343176</v>
      </c>
      <c r="J74" s="1731">
        <f t="shared" si="10"/>
        <v>0</v>
      </c>
      <c r="K74" s="1731">
        <f t="shared" si="10"/>
        <v>5569125</v>
      </c>
      <c r="L74" s="1731">
        <f>SUM(L42,L47,L53,L57,L65,L72,L73)</f>
        <v>5505179</v>
      </c>
    </row>
    <row r="75" spans="1:14" s="254" customFormat="1" ht="15.75" customHeight="1" thickTop="1" thickBot="1" x14ac:dyDescent="0.25">
      <c r="A75" s="1393" t="s">
        <v>47</v>
      </c>
      <c r="B75" s="1394" t="s">
        <v>571</v>
      </c>
      <c r="C75" s="1699">
        <v>12223</v>
      </c>
      <c r="D75" s="1699">
        <v>1394</v>
      </c>
      <c r="E75" s="1699">
        <v>17752</v>
      </c>
      <c r="F75" s="1699">
        <v>744</v>
      </c>
      <c r="G75" s="1699"/>
      <c r="H75" s="1699"/>
      <c r="I75" s="1677"/>
      <c r="J75" s="1677"/>
      <c r="K75" s="1724">
        <f>SUM(C75:J75)</f>
        <v>32113</v>
      </c>
      <c r="L75" s="1701">
        <v>52667</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v>140442</v>
      </c>
      <c r="F79" s="1723"/>
      <c r="G79" s="1723"/>
      <c r="H79" s="1623">
        <v>615381</v>
      </c>
      <c r="I79" s="1632"/>
      <c r="J79" s="1632"/>
      <c r="K79" s="1722">
        <f t="shared" si="11"/>
        <v>755823</v>
      </c>
      <c r="L79" s="1623">
        <v>956687</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140442</v>
      </c>
      <c r="F84" s="1723"/>
      <c r="G84" s="1723"/>
      <c r="H84" s="1724">
        <f>SUM(H78:H83)</f>
        <v>615381</v>
      </c>
      <c r="I84" s="1632"/>
      <c r="J84" s="1632"/>
      <c r="K84" s="1724">
        <f>SUM(K78:K83)</f>
        <v>755823</v>
      </c>
      <c r="L84" s="1724">
        <f>SUM(L78:L83)</f>
        <v>956687</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140442</v>
      </c>
      <c r="F102" s="1723"/>
      <c r="G102" s="1723"/>
      <c r="H102" s="1731">
        <f>SUM(H84,H92,H100,H101)</f>
        <v>615381</v>
      </c>
      <c r="I102" s="1632"/>
      <c r="J102" s="1632"/>
      <c r="K102" s="1731">
        <f>SUM(K84,K92,K100,K101)</f>
        <v>755823</v>
      </c>
      <c r="L102" s="1731">
        <f>SUM(L84,L92,L100,L101)</f>
        <v>956687</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12705185</v>
      </c>
      <c r="D114" s="1724">
        <f t="shared" ref="D114:K114" si="13">SUM(D33,D74,D75,D102,D112,D113)</f>
        <v>2807063</v>
      </c>
      <c r="E114" s="1724">
        <f t="shared" si="13"/>
        <v>1911852</v>
      </c>
      <c r="F114" s="1724">
        <f t="shared" si="13"/>
        <v>568505</v>
      </c>
      <c r="G114" s="1724">
        <f t="shared" si="13"/>
        <v>90033</v>
      </c>
      <c r="H114" s="1724">
        <f>SUM(H33,H74,H75,H102,H112,H113)</f>
        <v>1378281</v>
      </c>
      <c r="I114" s="1724">
        <f t="shared" si="13"/>
        <v>343176</v>
      </c>
      <c r="J114" s="1724">
        <f t="shared" si="13"/>
        <v>47443</v>
      </c>
      <c r="K114" s="1724">
        <f t="shared" si="13"/>
        <v>19851538</v>
      </c>
      <c r="L114" s="1724">
        <f>SUM(L33,L74,L75,L102,L112,L113)</f>
        <v>20440268</v>
      </c>
    </row>
    <row r="115" spans="1:14" ht="13.5" thickTop="1" x14ac:dyDescent="0.2">
      <c r="A115" s="2248" t="s">
        <v>989</v>
      </c>
      <c r="B115" s="2249"/>
      <c r="C115" s="1725"/>
      <c r="D115" s="1725"/>
      <c r="E115" s="1725"/>
      <c r="F115" s="1725"/>
      <c r="G115" s="1725"/>
      <c r="H115" s="1725"/>
      <c r="I115" s="1725"/>
      <c r="J115" s="1725"/>
      <c r="K115" s="1739">
        <f>'Revenues 9-14'!C268-'Expenditures 15-22'!K114</f>
        <v>2584643</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26" t="s">
        <v>293</v>
      </c>
      <c r="B117" s="2227"/>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v>31775</v>
      </c>
      <c r="F120" s="1623"/>
      <c r="G120" s="1623"/>
      <c r="H120" s="1623"/>
      <c r="I120" s="1624"/>
      <c r="J120" s="1624"/>
      <c r="K120" s="1722">
        <f>SUM(C120:J120)</f>
        <v>31775</v>
      </c>
      <c r="L120" s="1623">
        <v>31775</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707125</v>
      </c>
      <c r="D124" s="1623">
        <v>251888</v>
      </c>
      <c r="E124" s="1623">
        <v>655184</v>
      </c>
      <c r="F124" s="1623">
        <v>517473</v>
      </c>
      <c r="G124" s="1623">
        <v>1268580</v>
      </c>
      <c r="H124" s="1623"/>
      <c r="I124" s="1624"/>
      <c r="J124" s="1624"/>
      <c r="K124" s="1724">
        <f>SUM(C124:J124)</f>
        <v>3400250</v>
      </c>
      <c r="L124" s="1623">
        <f>2305216+1202000</f>
        <v>3507216</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707125</v>
      </c>
      <c r="D127" s="1724">
        <f t="shared" ref="D127:L127" si="14">SUM(D122:D126)</f>
        <v>251888</v>
      </c>
      <c r="E127" s="1724">
        <f t="shared" si="14"/>
        <v>655184</v>
      </c>
      <c r="F127" s="1724">
        <f t="shared" si="14"/>
        <v>517473</v>
      </c>
      <c r="G127" s="1724">
        <f t="shared" si="14"/>
        <v>1268580</v>
      </c>
      <c r="H127" s="1724">
        <f t="shared" si="14"/>
        <v>0</v>
      </c>
      <c r="I127" s="1724">
        <f t="shared" si="14"/>
        <v>0</v>
      </c>
      <c r="J127" s="1724">
        <f t="shared" si="14"/>
        <v>0</v>
      </c>
      <c r="K127" s="1724">
        <f t="shared" si="14"/>
        <v>3400250</v>
      </c>
      <c r="L127" s="1724">
        <f t="shared" si="14"/>
        <v>3507216</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707125</v>
      </c>
      <c r="D129" s="1731">
        <f t="shared" ref="D129:L129" si="15">SUM(D120,D127,D128)</f>
        <v>251888</v>
      </c>
      <c r="E129" s="1731">
        <f t="shared" si="15"/>
        <v>686959</v>
      </c>
      <c r="F129" s="1731">
        <f t="shared" si="15"/>
        <v>517473</v>
      </c>
      <c r="G129" s="1731">
        <f t="shared" si="15"/>
        <v>1268580</v>
      </c>
      <c r="H129" s="1731">
        <f t="shared" si="15"/>
        <v>0</v>
      </c>
      <c r="I129" s="1731">
        <f t="shared" si="15"/>
        <v>0</v>
      </c>
      <c r="J129" s="1731">
        <f t="shared" si="15"/>
        <v>0</v>
      </c>
      <c r="K129" s="1731">
        <f t="shared" si="15"/>
        <v>3432025</v>
      </c>
      <c r="L129" s="1731">
        <f t="shared" si="15"/>
        <v>3538991</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8" t="s">
        <v>616</v>
      </c>
      <c r="B151" s="2220"/>
      <c r="C151" s="1724">
        <f>SUM(C129,C130,C139,C149,C150)</f>
        <v>707125</v>
      </c>
      <c r="D151" s="1724">
        <f t="shared" ref="D151:K151" si="16">SUM(D129,D130,D139,D149,D150)</f>
        <v>251888</v>
      </c>
      <c r="E151" s="1724">
        <f t="shared" si="16"/>
        <v>686959</v>
      </c>
      <c r="F151" s="1724">
        <f t="shared" si="16"/>
        <v>517473</v>
      </c>
      <c r="G151" s="1724">
        <f t="shared" si="16"/>
        <v>1268580</v>
      </c>
      <c r="H151" s="1724">
        <f t="shared" si="16"/>
        <v>0</v>
      </c>
      <c r="I151" s="1724">
        <f t="shared" si="16"/>
        <v>0</v>
      </c>
      <c r="J151" s="1724">
        <f t="shared" si="16"/>
        <v>0</v>
      </c>
      <c r="K151" s="1724">
        <f t="shared" si="16"/>
        <v>3432025</v>
      </c>
      <c r="L151" s="1724">
        <f>SUM(L129,L130,L139,L149,L150)</f>
        <v>3538991</v>
      </c>
    </row>
    <row r="152" spans="1:14" ht="12.75" customHeight="1" thickTop="1" x14ac:dyDescent="0.2">
      <c r="A152" s="2241" t="s">
        <v>1170</v>
      </c>
      <c r="B152" s="2242"/>
      <c r="C152" s="1725"/>
      <c r="D152" s="1725"/>
      <c r="E152" s="1725"/>
      <c r="F152" s="1725"/>
      <c r="G152" s="1725"/>
      <c r="H152" s="1725"/>
      <c r="I152" s="1725"/>
      <c r="J152" s="1723"/>
      <c r="K152" s="1739">
        <f>'Revenues 9-14'!D268-'Expenditures 15-22'!K151</f>
        <v>-603529</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26" t="s">
        <v>617</v>
      </c>
      <c r="B154" s="222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66230</v>
      </c>
      <c r="I169" s="1723"/>
      <c r="J169" s="1723"/>
      <c r="K169" s="1722">
        <f>SUM(C169:H169)</f>
        <v>66230</v>
      </c>
      <c r="L169" s="1745">
        <v>100</v>
      </c>
    </row>
    <row r="170" spans="1:14" ht="33.75" customHeight="1" x14ac:dyDescent="0.2">
      <c r="A170" s="543" t="s">
        <v>1654</v>
      </c>
      <c r="B170" s="545" t="s">
        <v>31</v>
      </c>
      <c r="C170" s="1723"/>
      <c r="D170" s="1723"/>
      <c r="E170" s="1723"/>
      <c r="F170" s="1723"/>
      <c r="G170" s="1723"/>
      <c r="H170" s="1696">
        <v>1753992</v>
      </c>
      <c r="I170" s="1723"/>
      <c r="J170" s="1723"/>
      <c r="K170" s="1722">
        <f>SUM(C170:J170)</f>
        <v>1753992</v>
      </c>
      <c r="L170" s="1696">
        <v>5005000</v>
      </c>
    </row>
    <row r="171" spans="1:14" ht="15.75" customHeight="1" x14ac:dyDescent="0.2">
      <c r="A171" s="507" t="s">
        <v>761</v>
      </c>
      <c r="B171" s="546" t="s">
        <v>84</v>
      </c>
      <c r="C171" s="1723"/>
      <c r="D171" s="1723"/>
      <c r="E171" s="1623"/>
      <c r="F171" s="1723"/>
      <c r="G171" s="1723"/>
      <c r="H171" s="1696">
        <f>3184489</f>
        <v>3184489</v>
      </c>
      <c r="I171" s="1632"/>
      <c r="J171" s="1723"/>
      <c r="K171" s="1722">
        <f>SUM(C171:J171)</f>
        <v>3184489</v>
      </c>
      <c r="L171" s="1696"/>
    </row>
    <row r="172" spans="1:14" ht="12.75" customHeight="1" thickBot="1" x14ac:dyDescent="0.25">
      <c r="A172" s="1429" t="s">
        <v>633</v>
      </c>
      <c r="B172" s="1430" t="s">
        <v>489</v>
      </c>
      <c r="C172" s="1723"/>
      <c r="D172" s="1723"/>
      <c r="E172" s="1731">
        <f>SUM(E168,E169,E170,E171)</f>
        <v>0</v>
      </c>
      <c r="F172" s="1723"/>
      <c r="G172" s="1723"/>
      <c r="H172" s="1731">
        <f>SUM(H168,H169,H170,H171)</f>
        <v>5004711</v>
      </c>
      <c r="I172" s="1734"/>
      <c r="J172" s="1723"/>
      <c r="K172" s="1731">
        <f>SUM(K168,K169,K170,K171)</f>
        <v>5004711</v>
      </c>
      <c r="L172" s="1731">
        <f>SUM(L168,L169,L170,L171)</f>
        <v>5005100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5004711</v>
      </c>
      <c r="I174" s="1734"/>
      <c r="J174" s="1723"/>
      <c r="K174" s="1731">
        <f>SUM(K160,K172,K173)</f>
        <v>5004711</v>
      </c>
      <c r="L174" s="1731">
        <f>SUM(L160,L172,L173)</f>
        <v>5005100</v>
      </c>
    </row>
    <row r="175" spans="1:14" ht="13.5" thickTop="1" x14ac:dyDescent="0.2">
      <c r="A175" s="2248" t="s">
        <v>989</v>
      </c>
      <c r="B175" s="2249"/>
      <c r="C175" s="1723"/>
      <c r="D175" s="1723"/>
      <c r="E175" s="1723"/>
      <c r="F175" s="1723"/>
      <c r="G175" s="1723"/>
      <c r="H175" s="1725"/>
      <c r="I175" s="1723"/>
      <c r="J175" s="1723"/>
      <c r="K175" s="1739">
        <f>'Revenues 9-14'!E268-'Expenditures 15-22'!K174</f>
        <v>144544</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v>24002</v>
      </c>
      <c r="F180" s="1623"/>
      <c r="G180" s="1623"/>
      <c r="H180" s="1623"/>
      <c r="I180" s="1624"/>
      <c r="J180" s="1624"/>
      <c r="K180" s="1722">
        <f>SUM(C180:J180)</f>
        <v>24002</v>
      </c>
      <c r="L180" s="1623">
        <v>24002</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521214</v>
      </c>
      <c r="D182" s="1623">
        <v>29777</v>
      </c>
      <c r="E182" s="1623">
        <v>711654</v>
      </c>
      <c r="F182" s="1623">
        <v>93407</v>
      </c>
      <c r="G182" s="1623"/>
      <c r="H182" s="1623"/>
      <c r="I182" s="1624"/>
      <c r="J182" s="1624"/>
      <c r="K182" s="1722">
        <f>SUM(C182:J182)</f>
        <v>1356052</v>
      </c>
      <c r="L182" s="1623">
        <v>1346998</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521214</v>
      </c>
      <c r="D184" s="1731">
        <f t="shared" ref="D184:J184" si="17">SUM(D180,D182,D183)</f>
        <v>29777</v>
      </c>
      <c r="E184" s="1731">
        <f t="shared" si="17"/>
        <v>735656</v>
      </c>
      <c r="F184" s="1731">
        <f t="shared" si="17"/>
        <v>93407</v>
      </c>
      <c r="G184" s="1731">
        <f t="shared" si="17"/>
        <v>0</v>
      </c>
      <c r="H184" s="1731">
        <f t="shared" si="17"/>
        <v>0</v>
      </c>
      <c r="I184" s="1731">
        <f t="shared" si="17"/>
        <v>0</v>
      </c>
      <c r="J184" s="1731">
        <f t="shared" si="17"/>
        <v>0</v>
      </c>
      <c r="K184" s="1731">
        <f>SUM(K180,K182,K183)</f>
        <v>1380054</v>
      </c>
      <c r="L184" s="1731">
        <f>SUM(L180, L182:L183)</f>
        <v>1371000</v>
      </c>
    </row>
    <row r="185" spans="1:14" ht="15.75" customHeight="1" thickTop="1" thickBot="1" x14ac:dyDescent="0.25">
      <c r="A185" s="1405" t="s">
        <v>933</v>
      </c>
      <c r="B185" s="1394">
        <v>3000</v>
      </c>
      <c r="C185" s="1701"/>
      <c r="D185" s="1701"/>
      <c r="E185" s="1701">
        <v>7818</v>
      </c>
      <c r="F185" s="1701"/>
      <c r="G185" s="1701"/>
      <c r="H185" s="1701"/>
      <c r="I185" s="1677"/>
      <c r="J185" s="1677"/>
      <c r="K185" s="1724">
        <f>SUM(C185:J185)</f>
        <v>7818</v>
      </c>
      <c r="L185" s="1701">
        <v>10000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521214</v>
      </c>
      <c r="D210" s="1724">
        <f>SUM(D184,D185)</f>
        <v>29777</v>
      </c>
      <c r="E210" s="1724">
        <f>SUM(E184,E185,E196)</f>
        <v>743474</v>
      </c>
      <c r="F210" s="1724">
        <f>SUM(F184,F185)</f>
        <v>93407</v>
      </c>
      <c r="G210" s="1724">
        <f>SUM(G184,G185)</f>
        <v>0</v>
      </c>
      <c r="H210" s="1724">
        <f>SUM(H184,H185,H196,H208,H209)</f>
        <v>0</v>
      </c>
      <c r="I210" s="1724">
        <f>SUM(I184,I185)</f>
        <v>0</v>
      </c>
      <c r="J210" s="1724">
        <f>SUM(J184,J185)</f>
        <v>0</v>
      </c>
      <c r="K210" s="1722">
        <f>SUM(K184,K185,K196,K208,K209)</f>
        <v>1387872</v>
      </c>
      <c r="L210" s="1724">
        <f>SUM(L184,L185,L196,L208,L209)</f>
        <v>1381000</v>
      </c>
    </row>
    <row r="211" spans="1:14" ht="13.5" thickTop="1" x14ac:dyDescent="0.2">
      <c r="A211" s="2248" t="s">
        <v>989</v>
      </c>
      <c r="B211" s="2249"/>
      <c r="C211" s="1725"/>
      <c r="D211" s="1725"/>
      <c r="E211" s="1725"/>
      <c r="F211" s="1725"/>
      <c r="G211" s="1725"/>
      <c r="H211" s="1725"/>
      <c r="I211" s="1723"/>
      <c r="J211" s="1723"/>
      <c r="K211" s="1739">
        <f>'Revenues 9-14'!F268-'Expenditures 15-22'!K210</f>
        <v>118964</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43" t="s">
        <v>959</v>
      </c>
      <c r="B213" s="2244"/>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107366</v>
      </c>
      <c r="E215" s="1723"/>
      <c r="F215" s="1723"/>
      <c r="G215" s="1723"/>
      <c r="H215" s="1723"/>
      <c r="I215" s="1723"/>
      <c r="J215" s="1723"/>
      <c r="K215" s="1722">
        <f>D215</f>
        <v>107366</v>
      </c>
      <c r="L215" s="1623">
        <v>684000</v>
      </c>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v>142604</v>
      </c>
      <c r="E217" s="1723"/>
      <c r="F217" s="1723"/>
      <c r="G217" s="1723"/>
      <c r="H217" s="1723"/>
      <c r="I217" s="1723"/>
      <c r="J217" s="1723"/>
      <c r="K217" s="1722">
        <f t="shared" si="19"/>
        <v>142604</v>
      </c>
      <c r="L217" s="1623">
        <v>0</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v>6117</v>
      </c>
      <c r="E223" s="1723"/>
      <c r="F223" s="1723"/>
      <c r="G223" s="1723"/>
      <c r="H223" s="1723"/>
      <c r="I223" s="1723"/>
      <c r="J223" s="1723"/>
      <c r="K223" s="1722">
        <f t="shared" si="19"/>
        <v>6117</v>
      </c>
      <c r="L223" s="1623">
        <v>4542</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v>6627</v>
      </c>
      <c r="E227" s="1723"/>
      <c r="F227" s="1723"/>
      <c r="G227" s="1723"/>
      <c r="H227" s="1723"/>
      <c r="I227" s="1723"/>
      <c r="J227" s="1723"/>
      <c r="K227" s="1722">
        <f t="shared" si="19"/>
        <v>6627</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262714</v>
      </c>
      <c r="E229" s="1723"/>
      <c r="F229" s="1723"/>
      <c r="G229" s="1723"/>
      <c r="H229" s="1723"/>
      <c r="I229" s="1723"/>
      <c r="J229" s="1723"/>
      <c r="K229" s="1724">
        <f>SUM(K215:K228)</f>
        <v>262714</v>
      </c>
      <c r="L229" s="1724">
        <f>SUM(L215:L228)</f>
        <v>688542</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5805</v>
      </c>
      <c r="E232" s="1723"/>
      <c r="F232" s="1723"/>
      <c r="G232" s="1723"/>
      <c r="H232" s="1723"/>
      <c r="I232" s="1723"/>
      <c r="J232" s="1723"/>
      <c r="K232" s="1722">
        <f t="shared" ref="K232:K237" si="20">D232</f>
        <v>5805</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v>23515</v>
      </c>
      <c r="E234" s="1723"/>
      <c r="F234" s="1723"/>
      <c r="G234" s="1723"/>
      <c r="H234" s="1723"/>
      <c r="I234" s="1723"/>
      <c r="J234" s="1723"/>
      <c r="K234" s="1722">
        <f t="shared" si="20"/>
        <v>23515</v>
      </c>
      <c r="L234" s="1623"/>
    </row>
    <row r="235" spans="1:12" x14ac:dyDescent="0.2">
      <c r="A235" s="1319" t="s">
        <v>197</v>
      </c>
      <c r="B235" s="503">
        <v>2140</v>
      </c>
      <c r="C235" s="1723"/>
      <c r="D235" s="1623">
        <v>2801</v>
      </c>
      <c r="E235" s="1723"/>
      <c r="F235" s="1723"/>
      <c r="G235" s="1723"/>
      <c r="H235" s="1723"/>
      <c r="I235" s="1723"/>
      <c r="J235" s="1723"/>
      <c r="K235" s="1722">
        <f t="shared" si="20"/>
        <v>2801</v>
      </c>
      <c r="L235" s="1623"/>
    </row>
    <row r="236" spans="1:12" x14ac:dyDescent="0.2">
      <c r="A236" s="1319" t="s">
        <v>198</v>
      </c>
      <c r="B236" s="503">
        <v>2150</v>
      </c>
      <c r="C236" s="1723"/>
      <c r="D236" s="1623">
        <v>4009</v>
      </c>
      <c r="E236" s="1723"/>
      <c r="F236" s="1723"/>
      <c r="G236" s="1723"/>
      <c r="H236" s="1723"/>
      <c r="I236" s="1723"/>
      <c r="J236" s="1723"/>
      <c r="K236" s="1722">
        <f t="shared" si="20"/>
        <v>4009</v>
      </c>
      <c r="L236" s="1623"/>
    </row>
    <row r="237" spans="1:12" x14ac:dyDescent="0.2">
      <c r="A237" s="1319" t="s">
        <v>164</v>
      </c>
      <c r="B237" s="503">
        <v>2190</v>
      </c>
      <c r="C237" s="1723"/>
      <c r="D237" s="1623">
        <v>18363</v>
      </c>
      <c r="E237" s="1723"/>
      <c r="F237" s="1723"/>
      <c r="G237" s="1723"/>
      <c r="H237" s="1723"/>
      <c r="I237" s="1723"/>
      <c r="J237" s="1723"/>
      <c r="K237" s="1722">
        <f t="shared" si="20"/>
        <v>18363</v>
      </c>
      <c r="L237" s="1623"/>
    </row>
    <row r="238" spans="1:12" ht="12.75" customHeight="1" thickBot="1" x14ac:dyDescent="0.25">
      <c r="A238" s="1429" t="s">
        <v>556</v>
      </c>
      <c r="B238" s="1432" t="s">
        <v>711</v>
      </c>
      <c r="C238" s="1723"/>
      <c r="D238" s="1724">
        <f>SUM(D232:D237)</f>
        <v>54493</v>
      </c>
      <c r="E238" s="1723"/>
      <c r="F238" s="1723"/>
      <c r="G238" s="1723"/>
      <c r="H238" s="1723"/>
      <c r="I238" s="1723"/>
      <c r="J238" s="1723"/>
      <c r="K238" s="1724">
        <f>SUM(K232:K237)</f>
        <v>54493</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44685</v>
      </c>
      <c r="E240" s="1723"/>
      <c r="F240" s="1723"/>
      <c r="G240" s="1723"/>
      <c r="H240" s="1723"/>
      <c r="I240" s="1723"/>
      <c r="J240" s="1723"/>
      <c r="K240" s="1728">
        <f>D240</f>
        <v>44685</v>
      </c>
      <c r="L240" s="1636"/>
    </row>
    <row r="241" spans="1:12" x14ac:dyDescent="0.2">
      <c r="A241" s="1319" t="s">
        <v>810</v>
      </c>
      <c r="B241" s="503">
        <v>2220</v>
      </c>
      <c r="C241" s="1723"/>
      <c r="D241" s="1623">
        <v>18750</v>
      </c>
      <c r="E241" s="1723"/>
      <c r="F241" s="1723"/>
      <c r="G241" s="1723"/>
      <c r="H241" s="1723"/>
      <c r="I241" s="1723"/>
      <c r="J241" s="1723"/>
      <c r="K241" s="1728">
        <f>D241</f>
        <v>18750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63435</v>
      </c>
      <c r="E243" s="1723"/>
      <c r="F243" s="1723"/>
      <c r="G243" s="1723"/>
      <c r="H243" s="1723"/>
      <c r="I243" s="1723"/>
      <c r="J243" s="1723"/>
      <c r="K243" s="1724">
        <f>SUM(K240:K242)</f>
        <v>63435</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14777</v>
      </c>
      <c r="E245" s="1723"/>
      <c r="F245" s="1723"/>
      <c r="G245" s="1723"/>
      <c r="H245" s="1723"/>
      <c r="I245" s="1723"/>
      <c r="J245" s="1723"/>
      <c r="K245" s="1728">
        <f>D245</f>
        <v>14777</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14777</v>
      </c>
      <c r="E257" s="1723"/>
      <c r="F257" s="1723"/>
      <c r="G257" s="1723"/>
      <c r="H257" s="1723"/>
      <c r="I257" s="1723"/>
      <c r="J257" s="1723"/>
      <c r="K257" s="1724">
        <f>SUM(K245:K256)</f>
        <v>14777</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54002</v>
      </c>
      <c r="E259" s="1723"/>
      <c r="F259" s="1723"/>
      <c r="G259" s="1723"/>
      <c r="H259" s="1723"/>
      <c r="I259" s="1723"/>
      <c r="J259" s="1723"/>
      <c r="K259" s="1728">
        <f>D259</f>
        <v>54002</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54002</v>
      </c>
      <c r="E261" s="1723"/>
      <c r="F261" s="1723"/>
      <c r="G261" s="1723"/>
      <c r="H261" s="1723"/>
      <c r="I261" s="1723"/>
      <c r="J261" s="1723"/>
      <c r="K261" s="1724">
        <f>SUM(K259:K260)</f>
        <v>54002</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1819</v>
      </c>
      <c r="E263" s="1723"/>
      <c r="F263" s="1723"/>
      <c r="G263" s="1723"/>
      <c r="H263" s="1723"/>
      <c r="I263" s="1723"/>
      <c r="J263" s="1723"/>
      <c r="K263" s="1728">
        <f>D263</f>
        <v>1819</v>
      </c>
      <c r="L263" s="1636"/>
    </row>
    <row r="264" spans="1:14" x14ac:dyDescent="0.2">
      <c r="A264" s="1319" t="s">
        <v>460</v>
      </c>
      <c r="B264" s="559">
        <v>2520</v>
      </c>
      <c r="C264" s="1723"/>
      <c r="D264" s="1623">
        <v>19991</v>
      </c>
      <c r="E264" s="1723"/>
      <c r="F264" s="1723"/>
      <c r="G264" s="1723"/>
      <c r="H264" s="1723"/>
      <c r="I264" s="1723"/>
      <c r="J264" s="1723"/>
      <c r="K264" s="1728">
        <f t="shared" ref="K264:K269" si="22">D264</f>
        <v>19991</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132406</v>
      </c>
      <c r="E266" s="1723"/>
      <c r="F266" s="1723"/>
      <c r="G266" s="1723"/>
      <c r="H266" s="1723"/>
      <c r="I266" s="1723"/>
      <c r="J266" s="1723"/>
      <c r="K266" s="1728">
        <f t="shared" si="22"/>
        <v>132406</v>
      </c>
      <c r="L266" s="1623"/>
    </row>
    <row r="267" spans="1:14" x14ac:dyDescent="0.2">
      <c r="A267" s="1319" t="s">
        <v>947</v>
      </c>
      <c r="B267" s="503">
        <v>2550</v>
      </c>
      <c r="C267" s="1723"/>
      <c r="D267" s="1623">
        <v>98107</v>
      </c>
      <c r="E267" s="1723"/>
      <c r="F267" s="1723"/>
      <c r="G267" s="1723"/>
      <c r="H267" s="1723"/>
      <c r="I267" s="1723"/>
      <c r="J267" s="1723"/>
      <c r="K267" s="1728">
        <f t="shared" si="22"/>
        <v>98107</v>
      </c>
      <c r="L267" s="1623"/>
    </row>
    <row r="268" spans="1:14" x14ac:dyDescent="0.2">
      <c r="A268" s="1319" t="s">
        <v>100</v>
      </c>
      <c r="B268" s="503">
        <v>2560</v>
      </c>
      <c r="C268" s="1723"/>
      <c r="D268" s="1623">
        <v>904</v>
      </c>
      <c r="E268" s="1723"/>
      <c r="F268" s="1723"/>
      <c r="G268" s="1723"/>
      <c r="H268" s="1723"/>
      <c r="I268" s="1723"/>
      <c r="J268" s="1723"/>
      <c r="K268" s="1728">
        <f t="shared" si="22"/>
        <v>904</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253227</v>
      </c>
      <c r="E270" s="1723"/>
      <c r="F270" s="1723"/>
      <c r="G270" s="1723"/>
      <c r="H270" s="1723"/>
      <c r="I270" s="1723"/>
      <c r="J270" s="1723"/>
      <c r="K270" s="1724">
        <f>SUM(K263:K269)</f>
        <v>253227</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v>46</v>
      </c>
      <c r="E276" s="1723"/>
      <c r="F276" s="1723"/>
      <c r="G276" s="1723"/>
      <c r="H276" s="1723"/>
      <c r="I276" s="1723"/>
      <c r="J276" s="1723"/>
      <c r="K276" s="1728">
        <f>D276</f>
        <v>46</v>
      </c>
      <c r="L276" s="1623"/>
    </row>
    <row r="277" spans="1:12" ht="12.75" customHeight="1" thickBot="1" x14ac:dyDescent="0.25">
      <c r="A277" s="1442" t="s">
        <v>37</v>
      </c>
      <c r="B277" s="1430" t="s">
        <v>36</v>
      </c>
      <c r="C277" s="1723"/>
      <c r="D277" s="1724">
        <f>SUM(D272:D276)</f>
        <v>46</v>
      </c>
      <c r="E277" s="1723"/>
      <c r="F277" s="1723"/>
      <c r="G277" s="1723"/>
      <c r="H277" s="1723"/>
      <c r="I277" s="1723"/>
      <c r="J277" s="1723"/>
      <c r="K277" s="1724">
        <f>SUM(K272:K276)</f>
        <v>46</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439980</v>
      </c>
      <c r="E279" s="1723"/>
      <c r="F279" s="1723"/>
      <c r="G279" s="1723"/>
      <c r="H279" s="1723"/>
      <c r="I279" s="1723"/>
      <c r="J279" s="1723"/>
      <c r="K279" s="1731">
        <f>SUM(K238,K243,K257,K261,K270,K277,K278)</f>
        <v>439980</v>
      </c>
      <c r="L279" s="1731">
        <f>SUM(L238,L243,L257,L261,L270,L277,L278)</f>
        <v>0</v>
      </c>
    </row>
    <row r="280" spans="1:12" ht="15.75" customHeight="1" thickTop="1" thickBot="1" x14ac:dyDescent="0.25">
      <c r="A280" s="1407" t="s">
        <v>870</v>
      </c>
      <c r="B280" s="1396">
        <v>3000</v>
      </c>
      <c r="C280" s="1723"/>
      <c r="D280" s="1701">
        <v>54</v>
      </c>
      <c r="E280" s="1723"/>
      <c r="F280" s="1723"/>
      <c r="G280" s="1723"/>
      <c r="H280" s="1723"/>
      <c r="I280" s="1723"/>
      <c r="J280" s="1723"/>
      <c r="K280" s="1737">
        <f>D280</f>
        <v>54</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9" t="s">
        <v>502</v>
      </c>
      <c r="B295" s="2240"/>
      <c r="C295" s="1723"/>
      <c r="D295" s="1724">
        <f>SUM(D229,D279,D280,D285)</f>
        <v>702748</v>
      </c>
      <c r="E295" s="1723"/>
      <c r="F295" s="1723"/>
      <c r="G295" s="1723"/>
      <c r="H295" s="1724">
        <f>H293</f>
        <v>0</v>
      </c>
      <c r="I295" s="1723"/>
      <c r="J295" s="1723"/>
      <c r="K295" s="1724">
        <f>SUM(K229,K279,K280,K285,K293,K294)</f>
        <v>702748</v>
      </c>
      <c r="L295" s="1724">
        <f>SUM(L229,L279,L280,L285,L293,L294)</f>
        <v>688542</v>
      </c>
    </row>
    <row r="296" spans="1:14" ht="13.5" thickTop="1" x14ac:dyDescent="0.2">
      <c r="A296" s="2248" t="s">
        <v>989</v>
      </c>
      <c r="B296" s="2249"/>
      <c r="C296" s="1723"/>
      <c r="D296" s="1725"/>
      <c r="E296" s="1723"/>
      <c r="F296" s="1723"/>
      <c r="G296" s="1723"/>
      <c r="H296" s="1757"/>
      <c r="I296" s="1723"/>
      <c r="J296" s="1723"/>
      <c r="K296" s="1739">
        <f>'Revenues 9-14'!G268-'Expenditures 15-22'!K295</f>
        <v>46044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31" t="s">
        <v>142</v>
      </c>
      <c r="B298" s="2225"/>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36" t="s">
        <v>275</v>
      </c>
      <c r="B312" s="2237"/>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32" t="s">
        <v>989</v>
      </c>
      <c r="B313" s="2233"/>
      <c r="C313" s="1727"/>
      <c r="D313" s="1727"/>
      <c r="E313" s="1727"/>
      <c r="F313" s="1727"/>
      <c r="G313" s="1727"/>
      <c r="H313" s="1727"/>
      <c r="I313" s="1727"/>
      <c r="J313" s="1727"/>
      <c r="K313" s="1746">
        <f>'Revenues 9-14'!H268-'Expenditures 15-22'!K312</f>
        <v>18753</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45" t="s">
        <v>148</v>
      </c>
      <c r="B315" s="2246"/>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7" t="s">
        <v>892</v>
      </c>
      <c r="B317" s="2246"/>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34" t="s">
        <v>989</v>
      </c>
      <c r="B343" s="2235"/>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24" t="s">
        <v>960</v>
      </c>
      <c r="B345" s="2225"/>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48" t="s">
        <v>989</v>
      </c>
      <c r="B368" s="2249"/>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schemas.microsoft.com/office/2006/metadata/properties"/>
    <ds:schemaRef ds:uri="http://purl.org/dc/dcmitype/"/>
    <ds:schemaRef ds:uri="http://schemas.microsoft.com/office/2006/documentManagement/types"/>
    <ds:schemaRef ds:uri="http://www.w3.org/XML/1998/namespace"/>
    <ds:schemaRef ds:uri="http://purl.org/dc/elements/1.1/"/>
    <ds:schemaRef ds:uri="http://schemas.openxmlformats.org/package/2006/metadata/core-properties"/>
    <ds:schemaRef ds:uri="http://schemas.microsoft.com/sharepoint/v3"/>
    <ds:schemaRef ds:uri="http://schemas.microsoft.com/office/infopath/2007/PartnerControl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Cap Outlay Deprec 26</vt:lpstr>
      <vt:lpstr>Rest Tax Levies-Tort Im 25</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2020-10-30T14:21:19Z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