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ABEBFC9-C8CF-42D4-80D1-A4C2B0F11E26}"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189" i="106" l="1"/>
  <c r="D7189" i="106" s="1"/>
  <c r="E64" i="184"/>
  <c r="N64" i="184" s="1"/>
  <c r="B7171" i="106"/>
  <c r="D7171" i="106" s="1"/>
  <c r="E62" i="184"/>
  <c r="N62" i="184" s="1"/>
  <c r="B7153" i="106"/>
  <c r="D7153" i="106" s="1"/>
  <c r="E60" i="184"/>
  <c r="N60" i="184" s="1"/>
  <c r="B7135" i="106"/>
  <c r="D7135" i="106" s="1"/>
  <c r="E58" i="184"/>
  <c r="N58" i="184" s="1"/>
  <c r="D31" i="108"/>
  <c r="E16" i="184"/>
  <c r="H16" i="184" s="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H15" i="184"/>
  <c r="G33" i="108"/>
  <c r="E17" i="184"/>
  <c r="H17" i="184" s="1"/>
  <c r="G30" i="108"/>
  <c r="H12" i="184"/>
  <c r="H19" i="184" s="1"/>
  <c r="L20" i="184" s="1"/>
  <c r="F71" i="34"/>
  <c r="B7696" i="106"/>
  <c r="D7696" i="106" s="1"/>
  <c r="E66"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L151" i="29"/>
  <c r="C266" i="5"/>
  <c r="J24" i="12"/>
  <c r="B7730" i="106"/>
  <c r="D7730" i="106" s="1"/>
  <c r="E367" i="29" l="1"/>
  <c r="B3635" i="106"/>
  <c r="B3459" i="106"/>
  <c r="D3459" i="106" s="1"/>
  <c r="M20" i="3"/>
  <c r="B2864" i="106" s="1"/>
  <c r="D2864" i="106" s="1"/>
  <c r="N23" i="3"/>
  <c r="B284" i="106" s="1"/>
  <c r="D284" i="106" s="1"/>
  <c r="B7220" i="106"/>
  <c r="D7220" i="106" s="1"/>
  <c r="F75" i="34"/>
  <c r="B7886" i="106" s="1"/>
  <c r="D7886" i="106" s="1"/>
  <c r="B7222" i="106"/>
  <c r="D7222" i="106" s="1"/>
  <c r="F76" i="34"/>
  <c r="B7887" i="106" s="1"/>
  <c r="D7887" i="106" s="1"/>
  <c r="B7235" i="106"/>
  <c r="D7235" i="106" s="1"/>
  <c r="B2056" i="106"/>
  <c r="D2056" i="106" s="1"/>
  <c r="M16" i="3"/>
  <c r="B273" i="106" s="1"/>
  <c r="D273" i="106" s="1"/>
  <c r="E19" i="184"/>
  <c r="B2059" i="106"/>
  <c r="D2059" i="106" s="1"/>
  <c r="M19" i="3"/>
  <c r="B276" i="106" s="1"/>
  <c r="D276" i="106" s="1"/>
  <c r="B2058" i="106"/>
  <c r="D2058" i="106" s="1"/>
  <c r="M18" i="3"/>
  <c r="B275" i="106" s="1"/>
  <c r="D275" i="106" s="1"/>
  <c r="B2057" i="106"/>
  <c r="D2057" i="106" s="1"/>
  <c r="M17" i="3"/>
  <c r="L16" i="11"/>
  <c r="B2061" i="106" s="1"/>
  <c r="D2061" i="106" s="1"/>
  <c r="B2031" i="106"/>
  <c r="D2031" i="106" s="1"/>
  <c r="L114" i="29"/>
  <c r="F41" i="108"/>
  <c r="G43" i="108" s="1"/>
  <c r="K342" i="29"/>
  <c r="F13" i="34" s="1"/>
  <c r="N66"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M23" i="3" l="1"/>
  <c r="B274" i="106"/>
  <c r="D274" i="106" s="1"/>
  <c r="B1145" i="106"/>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F77" i="34" l="1"/>
  <c r="B279" i="106"/>
  <c r="D279" i="106" s="1"/>
  <c r="M40" i="3"/>
  <c r="K17" i="4"/>
  <c r="B3575" i="106" s="1"/>
  <c r="D3575" i="106" s="1"/>
  <c r="D8" i="146"/>
  <c r="J20" i="4"/>
  <c r="B6230" i="106" s="1"/>
  <c r="D6230"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280" i="106"/>
  <c r="D280" i="106" s="1"/>
  <c r="M41" i="3"/>
  <c r="J78" i="4"/>
  <c r="J81" i="4" s="1"/>
  <c r="J38" i="3"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14" i="106" l="1"/>
  <c r="D6214" i="106" s="1"/>
  <c r="J41" i="3"/>
  <c r="B281" i="106"/>
  <c r="D281" i="106" s="1"/>
  <c r="D54" i="36"/>
  <c r="D78" i="4"/>
  <c r="D81" i="4" s="1"/>
  <c r="D38" i="3" s="1"/>
  <c r="B6263" i="106"/>
  <c r="D6263" i="106"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2912" i="106" l="1"/>
  <c r="D2912" i="106" s="1"/>
  <c r="I41" i="3"/>
  <c r="B3566" i="106"/>
  <c r="D3566" i="106" s="1"/>
  <c r="K41" i="3"/>
  <c r="D51" i="36"/>
  <c r="B6216" i="106"/>
  <c r="D6216" i="106" s="1"/>
  <c r="B2437" i="106"/>
  <c r="D2437" i="106" s="1"/>
  <c r="D75" i="36"/>
  <c r="D41" i="3"/>
  <c r="B3239" i="106"/>
  <c r="D3239" i="106" s="1"/>
  <c r="F176" i="34"/>
  <c r="B7878" i="106" s="1"/>
  <c r="D7878" i="106" s="1"/>
  <c r="B7835" i="106"/>
  <c r="D7835" i="106" s="1"/>
  <c r="B3278" i="106"/>
  <c r="D3278" i="106" s="1"/>
  <c r="E81" i="4"/>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D52" i="36"/>
  <c r="B3568" i="106"/>
  <c r="D3568" i="106" s="1"/>
  <c r="D50" i="36"/>
  <c r="B2913" i="106"/>
  <c r="D2913" i="106" s="1"/>
  <c r="B2477" i="106"/>
  <c r="D2477" i="106" s="1"/>
  <c r="G41" i="3"/>
  <c r="B2475" i="106"/>
  <c r="D2475" i="106" s="1"/>
  <c r="F41" i="3"/>
  <c r="B124" i="106"/>
  <c r="D124" i="106" s="1"/>
  <c r="D45"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B190" i="106"/>
  <c r="D190" i="106" s="1"/>
  <c r="D48"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<sst xmlns="http://schemas.openxmlformats.org/spreadsheetml/2006/main" count="5149" uniqueCount="2082">
  <si>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</si>
  <si>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</si>
  <si>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</si>
  <si>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</si>
  <si>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</si>
  <si>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</si>
  <si>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</si>
  <si>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</si>
  <si>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</si>
  <si>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</si>
  <si>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</si>
  <si>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</si>
  <si>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</si>
  <si>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</si>
  <si>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</si>
  <si>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</si>
  <si>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</si>
  <si>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</si>
  <si>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</si>
  <si>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</si>
  <si>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</si>
  <si>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</si>
  <si>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</si>
  <si>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</si>
  <si>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</si>
  <si>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</si>
  <si>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</si>
  <si>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</si>
  <si>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</si>
  <si>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</si>
  <si>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</si>
  <si>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</si>
  <si>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</si>
  <si>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</si>
  <si>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</si>
  <si>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</si>
  <si>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</si>
  <si>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</si>
  <si>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</si>
  <si>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</si>
  <si>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</si>
  <si>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</si>
  <si>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</si>
  <si>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</si>
  <si>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</si>
  <si>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</si>
  <si>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</si>
  <si>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</si>
  <si>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</si>
  <si>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</si>
  <si>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</si>
  <si>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</si>
  <si>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</si>
  <si>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</si>
  <si>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</si>
  <si>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</si>
  <si>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</si>
  <si>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</si>
  <si>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</si>
  <si>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</si>
  <si>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</si>
  <si>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</si>
  <si>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</si>
  <si>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</si>
  <si>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</si>
  <si>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</si>
  <si>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</si>
  <si>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</si>
  <si>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</si>
  <si>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</si>
  <si>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</si>
  <si>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</si>
  <si>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</si>
  <si>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</si>
  <si>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</si>
  <si>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</si>
  <si>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</si>
  <si>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</si>
  <si>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</si>
  <si>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</si>
  <si>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</si>
  <si>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</si>
  <si>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</si>
  <si>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</si>
  <si>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</si>
  <si>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</si>
  <si>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</si>
  <si>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</si>
  <si>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</si>
  <si>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</si>
  <si>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</si>
  <si>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</si>
  <si>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</si>
  <si>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</si>
  <si>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</si>
  <si>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</si>
  <si>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</si>
  <si>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</si>
  <si>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</si>
  <si>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</si>
  <si>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</si>
  <si>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</si>
  <si>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</si>
  <si>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</si>
  <si>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</si>
  <si>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</si>
  <si>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</si>
  <si>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</si>
  <si>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</si>
  <si>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</si>
  <si>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</si>
  <si>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</si>
  <si>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</si>
  <si>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</si>
  <si>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</si>
  <si>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</si>
  <si>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</si>
  <si>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</si>
  <si>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</si>
  <si>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</si>
  <si>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</si>
  <si>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</si>
  <si>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</si>
  <si>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</si>
  <si>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</si>
  <si>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</si>
  <si>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</si>
  <si>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</si>
  <si>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</si>
  <si>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</si>
  <si>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</si>
  <si>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</si>
  <si>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</si>
  <si>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</si>
  <si>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</si>
  <si>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</si>
  <si>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</si>
  <si>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</si>
  <si>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</si>
  <si>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</si>
  <si>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</si>
  <si>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</si>
  <si>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</si>
  <si>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</si>
  <si>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</si>
  <si>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</si>
  <si>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</si>
  <si>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</si>
  <si>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</si>
  <si>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</si>
  <si>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</si>
  <si>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</si>
  <si>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</si>
  <si>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</si>
  <si>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</si>
  <si>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</si>
  <si>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</si>
  <si>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</si>
  <si>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</si>
  <si>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</si>
  <si>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</si>
  <si>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</si>
  <si>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</si>
  <si>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</si>
  <si>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</si>
  <si>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</si>
  <si>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</si>
  <si>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</si>
  <si>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</si>
  <si>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</si>
  <si>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</si>
  <si>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</si>
  <si>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</si>
  <si>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</si>
  <si>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</si>
  <si>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</si>
  <si>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</si>
  <si>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</si>
  <si>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</si>
  <si>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</si>
  <si>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</si>
  <si>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</si>
  <si>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</si>
  <si>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</si>
  <si>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</si>
  <si>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</si>
  <si>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</si>
  <si>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</si>
  <si>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</si>
  <si>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</si>
  <si>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</si>
  <si>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</si>
  <si>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</si>
  <si>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</si>
  <si>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</si>
  <si>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</si>
  <si>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</si>
  <si>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</si>
  <si>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</si>
  <si>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</si>
  <si>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</si>
  <si>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</si>
  <si>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</si>
  <si>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</si>
  <si>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</si>
  <si>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</si>
  <si>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</si>
  <si>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</si>
  <si>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</si>
  <si>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</si>
  <si>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</si>
  <si>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</si>
  <si>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</si>
  <si>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</si>
  <si>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</si>
  <si>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</si>
  <si>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</si>
  <si>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</si>
  <si>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</si>
  <si>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</si>
  <si>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</si>
  <si>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</si>
  <si>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</si>
  <si>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</si>
  <si>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</si>
  <si>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</si>
  <si>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</si>
  <si>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</si>
  <si>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</si>
  <si>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</si>
  <si>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</si>
  <si>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</si>
  <si>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</si>
  <si>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</si>
  <si>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</si>
  <si>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</si>
  <si>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</si>
  <si>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</si>
  <si>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</si>
  <si>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</si>
  <si>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</si>
  <si>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</si>
  <si>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</si>
  <si>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</si>
  <si>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</si>
  <si>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</si>
  <si>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</si>
  <si>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</si>
  <si>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</si>
  <si>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</si>
  <si>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</si>
  <si>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</si>
  <si>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</si>
  <si>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</si>
  <si>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</si>
  <si>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</si>
  <si>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</si>
  <si>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</si>
  <si>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</si>
  <si>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</si>
  <si>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</si>
  <si>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</si>
  <si>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</si>
  <si>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</si>
  <si>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</si>
  <si>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</si>
  <si>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</si>
  <si>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</si>
  <si>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</si>
  <si>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</si>
  <si>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</si>
  <si>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</si>
  <si>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</si>
  <si>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</si>
  <si>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</si>
  <si>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</si>
  <si>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</si>
  <si>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</si>
  <si>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</si>
  <si>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</si>
  <si>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</si>
  <si>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</si>
  <si>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</si>
  <si>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</si>
  <si>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</si>
  <si>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</si>
  <si>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</si>
  <si>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</si>
  <si>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</si>
  <si>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</si>
  <si>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</si>
  <si>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</si>
  <si>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</si>
  <si>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</si>
  <si>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</si>
  <si>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</si>
  <si>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</si>
  <si>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</si>
  <si>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</si>
  <si>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</si>
  <si>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</si>
  <si>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</si>
  <si>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</si>
  <si>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</si>
  <si>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</si>
  <si>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</si>
  <si>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</si>
  <si>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</si>
  <si>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</si>
  <si>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</si>
  <si>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</si>
  <si>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</si>
  <si>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</si>
  <si>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</si>
  <si>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</si>
  <si>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</si>
  <si>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</si>
  <si>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</si>
  <si>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</si>
  <si>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</si>
  <si>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</si>
  <si>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</si>
  <si>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</si>
  <si>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</si>
  <si>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</si>
  <si>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</si>
  <si>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</si>
  <si>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</si>
  <si>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</si>
  <si>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</si>
  <si>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</si>
  <si>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</si>
  <si>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</si>
  <si>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</si>
  <si>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</si>
  <si>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</si>
  <si>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</si>
  <si>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</si>
  <si>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</si>
  <si>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</si>
  <si>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</si>
  <si>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</si>
  <si>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</si>
  <si>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</si>
  <si>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</si>
  <si>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</si>
  <si>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</si>
  <si>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</si>
  <si>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</si>
  <si>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</si>
  <si>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</si>
  <si>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</si>
  <si>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</si>
  <si>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</si>
  <si>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</si>
  <si>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</si>
  <si>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</si>
  <si>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</si>
  <si>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</si>
  <si>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</si>
  <si>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</si>
  <si>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</si>
  <si>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</si>
  <si>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</si>
  <si>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</si>
  <si>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</si>
  <si>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</si>
  <si>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</si>
  <si>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</si>
  <si>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</si>
  <si>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</si>
  <si>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</si>
  <si>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</si>
  <si>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</si>
  <si>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</si>
  <si>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</si>
  <si>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</si>
  <si>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</si>
  <si>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</si>
  <si>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</si>
  <si>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</si>
  <si>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</si>
  <si>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</si>
  <si>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</si>
  <si>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</si>
  <si>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</si>
  <si>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</si>
  <si>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</si>
  <si>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</si>
  <si>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</si>
  <si>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</si>
  <si>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</si>
  <si>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</si>
  <si>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</si>
  <si>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</si>
  <si>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</si>
  <si>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</si>
  <si>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</si>
  <si>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</si>
  <si>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</si>
  <si>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</si>
  <si>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</si>
  <si>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</si>
  <si>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</si>
  <si>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</si>
  <si>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</si>
  <si>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</si>
  <si>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</si>
  <si>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</si>
  <si>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</si>
  <si>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</si>
  <si>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</si>
  <si>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</si>
  <si>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</si>
  <si>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</si>
  <si>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</si>
  <si>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</si>
  <si>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</si>
  <si>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</si>
  <si>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</si>
  <si>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</si>
  <si>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</si>
  <si>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</si>
  <si>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</si>
  <si>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</si>
  <si>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</si>
  <si>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</si>
  <si>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</si>
  <si>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</si>
  <si>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</si>
  <si>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</si>
  <si>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</si>
  <si>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</si>
  <si>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</si>
  <si>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</si>
  <si>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</si>
  <si>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</si>
  <si>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</si>
  <si>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</si>
  <si>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</si>
  <si>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</si>
  <si>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</si>
  <si>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</si>
  <si>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</si>
  <si>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</si>
  <si>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</si>
  <si>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</si>
  <si>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</si>
  <si>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</si>
  <si>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</si>
  <si>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</si>
  <si>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</si>
  <si>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</si>
  <si>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</si>
  <si>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</si>
  <si>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</si>
  <si>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</si>
  <si>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</si>
  <si>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</si>
  <si>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</si>
  <si>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</si>
  <si>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</si>
  <si>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</si>
  <si>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</si>
  <si>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</si>
  <si>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</si>
  <si>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</si>
  <si>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</si>
  <si>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</si>
  <si>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</si>
  <si>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</si>
  <si>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</si>
  <si>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</si>
  <si>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</si>
  <si>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</si>
  <si>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</si>
  <si>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</si>
  <si>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</si>
  <si>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</si>
  <si>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</si>
  <si>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</si>
  <si>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</si>
  <si>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</si>
  <si>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</si>
  <si>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</si>
  <si>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</si>
  <si>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</si>
  <si>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</si>
  <si>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</si>
  <si>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</si>
  <si>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</si>
  <si>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</si>
  <si>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</si>
  <si>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</si>
  <si>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</si>
  <si>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</si>
  <si>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</si>
  <si>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</si>
  <si>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</si>
  <si>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</si>
  <si>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</si>
  <si>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</si>
  <si>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</si>
  <si>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</si>
  <si>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</si>
  <si>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</si>
  <si>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</si>
  <si>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</si>
  <si>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</si>
  <si>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</si>
  <si>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</si>
  <si>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</si>
  <si>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</si>
  <si>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</si>
  <si>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</si>
  <si>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</si>
  <si>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</si>
  <si>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</si>
  <si>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</si>
  <si>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</si>
  <si>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</si>
  <si>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</si>
  <si>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</si>
  <si>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</si>
  <si>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</si>
  <si>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</si>
  <si>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</si>
  <si>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</si>
  <si>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</si>
  <si>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</si>
  <si>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</si>
  <si>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</si>
  <si>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</si>
  <si>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</si>
  <si>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</si>
  <si>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</si>
  <si>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</si>
  <si>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</si>
  <si>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</si>
  <si>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</si>
  <si>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</si>
  <si>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</si>
  <si>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</si>
  <si>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</si>
  <si>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</si>
  <si>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</si>
  <si>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</si>
  <si>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</si>
  <si>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</si>
  <si>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</si>
  <si>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</si>
  <si>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</si>
  <si>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</si>
  <si>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</si>
  <si>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</si>
  <si>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</si>
  <si>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</si>
  <si>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</si>
  <si>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</si>
  <si>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</si>
  <si>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</si>
  <si>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</si>
  <si>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</si>
  <si>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</si>
  <si>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</si>
  <si>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</si>
  <si>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</si>
  <si>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</si>
  <si>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</si>
  <si>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</si>
  <si>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</si>
  <si>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</si>
  <si>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</si>
  <si>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</si>
  <si>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</si>
  <si>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</si>
  <si>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</si>
  <si>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</si>
  <si>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</si>
  <si>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</si>
  <si>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</si>
  <si>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</si>
  <si>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</si>
  <si>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</si>
  <si>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</si>
  <si>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</si>
  <si>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</si>
  <si>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</si>
  <si>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</si>
  <si>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</si>
  <si>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</si>
  <si>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</si>
  <si>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</si>
  <si>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</si>
  <si>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</si>
  <si>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</si>
  <si>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</si>
  <si>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</si>
  <si>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</si>
  <si>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</si>
  <si>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</si>
  <si>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</si>
  <si>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</si>
  <si>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</si>
  <si>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</si>
  <si>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</si>
  <si>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</si>
  <si>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</si>
  <si>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</si>
  <si>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</si>
  <si>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</si>
  <si>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</si>
  <si>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</si>
  <si>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</si>
  <si>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</si>
  <si>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</si>
  <si>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</si>
  <si>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</si>
  <si>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</si>
  <si>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</si>
  <si>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</si>
  <si>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</si>
  <si>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</si>
  <si>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</si>
  <si>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</si>
  <si>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</si>
  <si>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</si>
  <si>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</si>
  <si>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</si>
  <si>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</si>
  <si>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</si>
  <si>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</si>
  <si>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</si>
  <si>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</si>
  <si>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</si>
  <si>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</si>
  <si>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</si>
  <si>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</si>
  <si>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</si>
  <si>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</si>
  <si>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</si>
  <si>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</si>
  <si>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</si>
  <si>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</si>
  <si>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</si>
  <si>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</si>
  <si>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</si>
  <si>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</si>
  <si>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</si>
  <si>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</si>
  <si>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</si>
  <si>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</si>
  <si>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</si>
  <si>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</si>
  <si>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</si>
  <si>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</si>
  <si>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</si>
  <si>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</si>
  <si>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</si>
  <si>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</si>
  <si>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</si>
  <si>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</si>
  <si>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</si>
  <si>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</si>
  <si>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</si>
  <si>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</si>
  <si>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</si>
  <si>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</si>
  <si>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</si>
  <si>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</si>
  <si>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</si>
  <si>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</si>
  <si>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</si>
  <si>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</si>
  <si>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</si>
  <si>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</si>
  <si>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</si>
  <si>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</si>
  <si>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</si>
  <si>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</si>
  <si>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</si>
  <si>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</si>
  <si>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</si>
  <si>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</si>
  <si>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</si>
  <si>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</si>
  <si>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</si>
  <si>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</si>
  <si>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</si>
  <si>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</si>
  <si>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</si>
  <si>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</si>
  <si>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</si>
  <si>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</si>
  <si>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</si>
  <si>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</si>
  <si>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</si>
  <si>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</si>
  <si>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</si>
  <si>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</si>
  <si>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</si>
  <si>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</si>
  <si>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</si>
  <si>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</si>
  <si>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</si>
  <si>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</si>
  <si>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</si>
  <si>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</si>
  <si>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</si>
  <si>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</si>
  <si>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</si>
  <si>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</si>
  <si>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</si>
  <si>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</si>
  <si>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</si>
  <si>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</si>
  <si>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</si>
  <si>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</si>
  <si>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</si>
  <si>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</si>
  <si>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</si>
  <si>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</si>
  <si>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</si>
  <si>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</si>
  <si>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</si>
  <si>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</si>
  <si>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</si>
  <si>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</si>
  <si>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</si>
  <si>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</si>
  <si>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</si>
  <si>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</si>
  <si>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</si>
  <si>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</si>
  <si>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</si>
  <si>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</si>
  <si>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</si>
  <si>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</si>
  <si>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</si>
  <si>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</si>
  <si>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</si>
  <si>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</si>
  <si>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</si>
  <si>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</si>
  <si>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</si>
  <si>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</si>
  <si>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</si>
  <si>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</si>
  <si>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</si>
  <si>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</si>
  <si>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</si>
  <si>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</si>
  <si>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</si>
  <si>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</si>
  <si>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</si>
  <si>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</si>
  <si>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</si>
  <si>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</si>
  <si>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</si>
  <si>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</si>
  <si>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</si>
  <si>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</si>
  <si>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</si>
  <si>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</si>
  <si>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</si>
  <si>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</si>
  <si>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</si>
  <si>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</si>
  <si>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</si>
  <si>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</si>
  <si>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</si>
  <si>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</si>
  <si>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</si>
  <si>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</si>
  <si>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</si>
  <si>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</si>
  <si>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</si>
  <si>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</si>
  <si>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</si>
  <si>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</si>
  <si>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</si>
  <si>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</si>
  <si>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</si>
  <si>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</si>
  <si>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</si>
  <si>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</si>
  <si>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</si>
  <si>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</si>
  <si>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</si>
  <si>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</si>
  <si>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</si>
  <si>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</si>
  <si>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</si>
  <si>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</si>
  <si>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</si>
  <si>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</si>
  <si>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</si>
  <si>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</si>
  <si>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</si>
  <si>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</si>
  <si>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</si>
  <si>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</si>
  <si>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</si>
  <si>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</si>
  <si>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</si>
  <si>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</si>
  <si>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</si>
  <si>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</si>
  <si>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</si>
  <si>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</si>
  <si>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</si>
  <si>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</si>
  <si>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</si>
  <si>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</si>
  <si>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</si>
  <si>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</si>
  <si>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</si>
  <si>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</si>
  <si>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</si>
  <si>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</si>
  <si>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</si>
  <si>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</si>
  <si>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</si>
  <si>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</si>
  <si>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</si>
  <si>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</si>
  <si>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</si>
  <si>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</si>
  <si>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</si>
  <si>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</si>
  <si>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</si>
  <si>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</si>
  <si>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</si>
  <si>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</si>
  <si>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</si>
  <si>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</si>
  <si>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</si>
  <si>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</si>
  <si>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</si>
  <si>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</si>
  <si>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</si>
  <si>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</si>
  <si>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</si>
  <si>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</si>
  <si>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</si>
  <si>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</si>
  <si>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</si>
  <si>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</si>
  <si>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</si>
  <si>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</si>
  <si>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</si>
  <si>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</si>
  <si>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</si>
  <si>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</si>
  <si>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</si>
  <si>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</si>
  <si>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</si>
  <si>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</si>
  <si>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</si>
  <si>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</si>
  <si>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</si>
  <si>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</si>
  <si>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</si>
  <si>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</si>
  <si>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</si>
  <si>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</si>
  <si>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</si>
  <si>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</si>
  <si>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</si>
  <si>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</si>
  <si>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</si>
  <si>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</si>
  <si>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</si>
  <si>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</si>
  <si>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</si>
  <si>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</si>
  <si>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</si>
  <si>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</si>
  <si>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</si>
  <si>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</si>
  <si>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</si>
  <si>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</si>
  <si>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</si>
  <si>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</si>
  <si>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</si>
  <si>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</si>
  <si>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</si>
  <si>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</si>
  <si>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</si>
  <si>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</si>
  <si>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</si>
  <si>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</si>
  <si>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</si>
  <si>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</si>
  <si>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</si>
  <si>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</si>
  <si>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</si>
  <si>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</si>
  <si>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</si>
  <si>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</si>
  <si>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</si>
  <si>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</si>
  <si>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</si>
  <si>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</si>
  <si>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</si>
  <si>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</si>
  <si>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</si>
  <si>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</si>
  <si>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</si>
  <si>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</si>
  <si>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</si>
  <si>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</si>
  <si>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</si>
  <si>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</si>
  <si>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</si>
  <si>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</si>
  <si>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</si>
  <si>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</si>
  <si>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</si>
  <si>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</si>
  <si>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</si>
  <si>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</si>
  <si>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</si>
  <si>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</si>
  <si>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</si>
  <si>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</si>
  <si>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</si>
  <si>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</si>
  <si>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</si>
  <si>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</si>
  <si>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</si>
  <si>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</si>
  <si>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</si>
  <si>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</si>
  <si>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</si>
  <si>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</si>
  <si>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</si>
  <si>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</si>
  <si>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</si>
  <si>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</si>
  <si>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</si>
  <si>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</si>
  <si>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</si>
  <si>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</si>
  <si>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</si>
  <si>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</si>
  <si>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</si>
  <si>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</si>
  <si>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</si>
  <si>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</si>
  <si>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</si>
  <si>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</si>
  <si>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</si>
  <si>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</si>
  <si>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</si>
  <si>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</si>
  <si>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</si>
  <si>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</si>
  <si>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</si>
  <si>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</si>
  <si>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</si>
  <si>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</si>
  <si>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</si>
  <si>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</si>
  <si>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</si>
  <si>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</si>
  <si>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</si>
  <si>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</si>
  <si>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</si>
  <si>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</si>
  <si>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</si>
  <si>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</si>
  <si>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</si>
  <si>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</si>
  <si>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</si>
  <si>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</si>
  <si>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</si>
  <si>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</si>
  <si>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</si>
  <si>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</si>
  <si>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</si>
  <si>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</si>
  <si>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</si>
  <si>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</si>
  <si>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</si>
  <si>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</si>
  <si>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</si>
  <si>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</si>
  <si>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</si>
  <si>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</si>
  <si>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</si>
  <si>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</si>
  <si>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</si>
  <si>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</si>
  <si>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</si>
  <si>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</si>
  <si>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</si>
  <si>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</si>
  <si>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</si>
  <si>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</si>
  <si>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</si>
  <si>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</si>
  <si>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</si>
  <si>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</si>
  <si>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</si>
  <si>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</si>
  <si>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</si>
  <si>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</si>
  <si>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</si>
  <si>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</si>
  <si>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</si>
  <si>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</si>
  <si>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</si>
  <si>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</si>
  <si>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</si>
  <si>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</si>
  <si>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</si>
  <si>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</si>
  <si>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</si>
  <si>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</si>
  <si>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</si>
  <si>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</si>
  <si>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</si>
  <si>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</si>
  <si>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</si>
  <si>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</si>
  <si>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</si>
  <si>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</si>
  <si>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</si>
  <si>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</si>
  <si>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</si>
  <si>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</si>
  <si>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</si>
  <si>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</si>
  <si>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</si>
  <si>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</si>
  <si>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</si>
  <si>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</si>
  <si>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</si>
  <si>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</si>
  <si>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</si>
  <si>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</si>
  <si>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</si>
  <si>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</si>
  <si>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</si>
  <si>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</si>
  <si>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</si>
  <si>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</si>
  <si>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</si>
  <si>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</si>
  <si>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</si>
  <si>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</si>
  <si>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</si>
  <si>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</si>
  <si>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</si>
  <si>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</si>
  <si>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</si>
  <si>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</si>
  <si>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</si>
  <si>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</si>
  <si>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</si>
  <si>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</si>
  <si>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</si>
  <si>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</si>
  <si>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</si>
  <si>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</si>
  <si>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</si>
  <si>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</si>
  <si>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</si>
  <si>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</si>
  <si>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</si>
  <si>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</si>
  <si>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</si>
  <si>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</si>
  <si>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</si>
  <si>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</si>
  <si>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</si>
  <si>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</si>
  <si>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</si>
  <si>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</si>
  <si>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</si>
  <si>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</si>
  <si>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</si>
  <si>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</si>
  <si>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</si>
  <si>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</si>
  <si>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</si>
  <si>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</si>
  <si>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</si>
  <si>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</si>
  <si>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</si>
  <si>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</si>
  <si>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</si>
  <si>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</si>
  <si>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</si>
  <si>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</si>
  <si>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</si>
  <si>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</si>
  <si>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</si>
  <si>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</si>
  <si>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</si>
  <si>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</si>
  <si>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</si>
  <si>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</si>
  <si>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</si>
  <si>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</si>
  <si>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</si>
  <si>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</si>
  <si>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</si>
  <si>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</si>
  <si>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</si>
  <si>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</si>
  <si>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</si>
  <si>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</si>
  <si>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</si>
  <si>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</si>
  <si>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</si>
  <si>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</si>
  <si>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</si>
  <si>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</si>
  <si>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</si>
  <si>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</si>
  <si>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</si>
  <si>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</si>
  <si>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</si>
  <si>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</si>
  <si>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</si>
  <si>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</si>
  <si>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</si>
  <si>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</si>
  <si>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</si>
  <si>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</si>
  <si>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</si>
  <si>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</si>
  <si>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</si>
  <si>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</si>
  <si>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</si>
  <si>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</si>
  <si>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</si>
  <si>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</si>
  <si>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</si>
  <si>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</si>
  <si>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</si>
  <si>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</si>
  <si>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</si>
  <si>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</si>
  <si>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</si>
  <si>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</si>
  <si>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</si>
  <si>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</si>
  <si>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</si>
  <si>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</si>
  <si>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</si>
  <si>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</si>
  <si>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</si>
  <si>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</si>
  <si>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</si>
  <si>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</si>
  <si>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</si>
  <si>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</si>
  <si>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</si>
  <si>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</si>
  <si>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</si>
  <si>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</si>
  <si>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</si>
  <si>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</si>
  <si>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</si>
  <si>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</si>
  <si>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</si>
  <si>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</si>
  <si>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</si>
  <si>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</si>
  <si>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</si>
  <si>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</si>
  <si>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</si>
  <si>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</si>
  <si>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</si>
  <si>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</si>
  <si>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</si>
  <si>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</si>
  <si>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</si>
  <si>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</si>
  <si>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</si>
  <si>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</si>
  <si>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</si>
  <si>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</si>
  <si>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</si>
  <si>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</si>
  <si>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</si>
  <si>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</si>
  <si>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</si>
  <si>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</si>
  <si>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</si>
  <si>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</si>
  <si>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</si>
  <si>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</si>
  <si>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</si>
  <si>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</si>
  <si>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</si>
  <si>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</si>
  <si>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</si>
  <si>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</si>
  <si>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</si>
  <si>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</si>
  <si>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</si>
  <si>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</si>
  <si>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</si>
  <si>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</si>
  <si>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</si>
  <si>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</si>
  <si>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</si>
  <si>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</si>
  <si>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</si>
  <si>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</si>
  <si>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</si>
  <si>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</si>
  <si>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</si>
  <si>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</si>
  <si>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</si>
  <si>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</si>
  <si>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</si>
  <si>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</si>
  <si>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</si>
  <si>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</si>
  <si>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</si>
  <si>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</si>
  <si>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</si>
  <si>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</si>
  <si>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</si>
  <si>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</si>
  <si>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</si>
  <si>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</si>
  <si>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</si>
  <si>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</si>
  <si>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</si>
  <si>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</si>
  <si>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</si>
  <si>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</si>
  <si>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</si>
  <si>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</si>
  <si>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</si>
  <si>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</si>
  <si>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</si>
  <si>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</si>
  <si>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</si>
  <si>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</si>
  <si>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</si>
  <si>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</si>
  <si>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</si>
  <si>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</si>
  <si>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</si>
  <si>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</si>
  <si>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</si>
  <si>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</si>
  <si>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</si>
  <si>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</si>
  <si>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</si>
  <si>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</si>
  <si>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</si>
  <si>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</si>
  <si>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</si>
  <si>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</si>
  <si>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</si>
  <si>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</si>
  <si>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</si>
  <si>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</si>
  <si>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</si>
  <si>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</si>
  <si>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</si>
  <si>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</si>
  <si>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</si>
  <si>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</si>
  <si>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</si>
  <si>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</si>
  <si>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</si>
  <si>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</si>
  <si>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</si>
  <si>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</si>
  <si>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</si>
  <si>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</si>
  <si>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</si>
  <si>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</si>
  <si>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</si>
  <si>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</si>
  <si>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</si>
  <si>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</si>
  <si>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</si>
  <si>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</si>
  <si>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</si>
  <si>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</si>
  <si>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</si>
  <si>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</si>
  <si>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</si>
  <si>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</si>
  <si>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</si>
  <si>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</si>
  <si>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</si>
  <si>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</si>
  <si>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</si>
  <si>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</si>
  <si>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</si>
  <si>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</si>
  <si>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</si>
  <si>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</si>
  <si>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</si>
  <si>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</si>
  <si>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</si>
  <si>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</si>
  <si>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</si>
  <si>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</si>
  <si>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</si>
  <si>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</si>
  <si>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</si>
  <si>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</si>
  <si>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</si>
  <si>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</si>
  <si>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</si>
  <si>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</si>
  <si>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</si>
  <si>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</si>
  <si>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</si>
  <si>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</si>
  <si>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</si>
  <si>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</si>
  <si>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</si>
  <si>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</si>
  <si>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</si>
  <si>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</si>
  <si>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</si>
  <si>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</si>
  <si>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</si>
  <si>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</si>
  <si>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</si>
  <si>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</si>
  <si>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</si>
  <si>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</si>
  <si>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</si>
  <si>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</si>
  <si>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</si>
  <si>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</si>
  <si>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</si>
  <si>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</si>
  <si>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</si>
  <si>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</si>
  <si>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</si>
  <si>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</si>
  <si>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</si>
  <si>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</si>
  <si>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</si>
  <si>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</si>
  <si>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</si>
  <si>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</si>
  <si>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</si>
  <si>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</si>
  <si>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</si>
  <si>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</si>
  <si>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</si>
  <si>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</si>
  <si>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</si>
  <si>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</si>
  <si>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</si>
  <si>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</si>
  <si>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</si>
  <si>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</si>
  <si>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</si>
  <si>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</si>
  <si>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</si>
  <si>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</si>
  <si>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</si>
  <si>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</si>
  <si>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</si>
  <si>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</si>
  <si>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</si>
  <si>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</si>
  <si>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</si>
  <si>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</si>
  <si>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</si>
  <si>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</si>
  <si>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</si>
  <si>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</si>
  <si>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</si>
  <si>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</si>
  <si>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</si>
  <si>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</si>
  <si>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</si>
  <si>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</si>
  <si>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</si>
  <si>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</si>
  <si>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</si>
  <si>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</si>
  <si>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</si>
  <si>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</si>
  <si>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</si>
  <si>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</si>
  <si>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</si>
  <si>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</si>
  <si>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</si>
  <si>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</si>
  <si>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</si>
  <si>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</si>
  <si>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</si>
  <si>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</si>
  <si>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</si>
  <si>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</si>
  <si>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</si>
  <si>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</si>
  <si>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</si>
  <si>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</si>
  <si>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</si>
  <si>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</si>
  <si>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</si>
  <si>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</si>
  <si>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</si>
  <si>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</si>
  <si>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</si>
  <si>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</si>
  <si>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</si>
  <si>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</si>
  <si>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</si>
  <si>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</si>
  <si>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</si>
  <si>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</si>
  <si>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</si>
  <si>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</si>
  <si>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</si>
  <si>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</si>
  <si>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</si>
  <si>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</si>
  <si>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</si>
  <si>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</si>
  <si>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</si>
  <si>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</si>
  <si>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</si>
  <si>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</si>
  <si>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</si>
  <si>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</si>
  <si>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</si>
  <si>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</si>
  <si>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</si>
  <si>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</si>
  <si>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</si>
  <si>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</si>
  <si>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</si>
  <si>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</si>
  <si>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</si>
  <si>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</si>
  <si>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</si>
  <si>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</si>
  <si>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</si>
  <si>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</si>
  <si>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</si>
  <si>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</si>
  <si>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</si>
  <si>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</si>
  <si>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</si>
  <si>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</si>
  <si>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</si>
  <si>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</si>
  <si>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</si>
  <si>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</si>
  <si>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</si>
  <si>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</si>
  <si>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</si>
  <si>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</si>
  <si>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</si>
  <si>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</si>
  <si>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</si>
  <si>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</si>
  <si>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</si>
  <si>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</si>
  <si>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</si>
  <si>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</si>
  <si>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</si>
  <si>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</si>
  <si>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</si>
  <si>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</si>
  <si>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</si>
  <si>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</si>
  <si>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</si>
  <si>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</si>
  <si>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</si>
  <si>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</si>
  <si>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</si>
  <si>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</si>
  <si>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</si>
  <si>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</si>
  <si>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</si>
  <si>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</si>
  <si>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</si>
  <si>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</si>
  <si>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</si>
  <si>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</si>
  <si>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</si>
  <si>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</si>
  <si>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</si>
  <si>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</si>
  <si>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</si>
  <si>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</si>
  <si>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</si>
  <si>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</si>
  <si>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</si>
  <si>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</si>
  <si>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</si>
  <si>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</si>
  <si>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</si>
  <si>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</si>
  <si>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</si>
  <si>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</si>
  <si>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</si>
  <si>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</si>
  <si>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</si>
  <si>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</si>
  <si>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</si>
  <si>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</si>
  <si>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</si>
  <si>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</si>
  <si>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</si>
  <si>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</si>
  <si>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</si>
  <si>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</si>
  <si>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</si>
  <si>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</si>
  <si>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</si>
  <si>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</si>
  <si>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</si>
  <si>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</si>
  <si>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</si>
  <si>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</si>
  <si>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</si>
  <si>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</si>
  <si>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</si>
  <si>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</si>
  <si>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</si>
  <si>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</si>
  <si>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</si>
  <si>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</si>
  <si>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</si>
  <si>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</si>
  <si>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</si>
  <si>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</si>
  <si>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</si>
  <si>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</si>
  <si>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</si>
  <si>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</si>
  <si>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</si>
  <si>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</si>
  <si>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</si>
  <si>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</si>
  <si>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</si>
  <si>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</si>
  <si>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</si>
  <si>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</si>
  <si>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</si>
  <si>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</si>
  <si>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</si>
  <si>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</si>
  <si>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</si>
  <si>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</si>
  <si>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</si>
  <si>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</si>
  <si>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</si>
  <si>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</si>
  <si>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</si>
  <si>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</si>
  <si>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</si>
  <si>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</si>
  <si>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</si>
  <si>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</si>
  <si>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</si>
  <si>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</si>
  <si>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</si>
  <si>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</si>
  <si>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</si>
  <si>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</si>
  <si>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</si>
  <si>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</si>
  <si>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</si>
  <si>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</si>
  <si>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</si>
  <si>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</si>
  <si>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</si>
  <si>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</si>
  <si>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</si>
  <si>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</si>
  <si>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</si>
  <si>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</si>
  <si>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</si>
  <si>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</si>
  <si>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</si>
  <si>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</si>
  <si>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</si>
  <si>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</si>
  <si>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</si>
  <si>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</si>
  <si>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</si>
  <si>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</si>
  <si>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</si>
  <si>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</si>
  <si>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</si>
  <si>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</si>
  <si>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</si>
  <si>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</si>
  <si>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</si>
  <si>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</si>
  <si>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</si>
  <si>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</si>
  <si>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</si>
  <si>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</si>
  <si>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</si>
  <si>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</si>
  <si>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</si>
  <si>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</si>
  <si>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</si>
  <si>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</si>
  <si>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</si>
  <si>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</si>
  <si>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</si>
  <si>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</si>
  <si>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</si>
  <si>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</si>
  <si>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</si>
  <si>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</si>
  <si>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</si>
  <si>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</si>
  <si>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</si>
  <si>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</si>
  <si>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</si>
  <si>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</si>
  <si>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</si>
  <si>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</si>
  <si>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</si>
  <si>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</si>
  <si>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</si>
  <si>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</si>
  <si>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</si>
  <si>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</si>
  <si>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</si>
  <si>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</si>
  <si>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</si>
  <si>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</si>
  <si>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</si>
  <si>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</si>
  <si>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</si>
  <si>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</si>
  <si>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</si>
  <si>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</si>
  <si>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</si>
  <si>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</si>
  <si>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</si>
  <si>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</si>
  <si>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</si>
  <si>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</si>
  <si>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</si>
  <si>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</si>
  <si>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</si>
  <si>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</si>
  <si>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</si>
  <si>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</si>
  <si>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</si>
  <si>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</si>
  <si>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</si>
  <si>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</si>
  <si>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</si>
  <si>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</si>
  <si>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</si>
  <si>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</si>
  <si>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</si>
  <si>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</si>
  <si>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</si>
  <si>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</si>
  <si>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</si>
  <si>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</si>
  <si>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</si>
  <si>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</si>
  <si>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</si>
  <si>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</si>
  <si>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</si>
  <si>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</si>
  <si>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</si>
  <si>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</si>
  <si>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</si>
  <si>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</si>
  <si>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</si>
  <si>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</si>
  <si>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</si>
  <si>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</si>
  <si>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</si>
  <si>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</si>
  <si>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</si>
  <si>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</si>
  <si>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</si>
  <si>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</si>
  <si>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</si>
  <si>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</si>
  <si>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</si>
  <si>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</si>
  <si>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</si>
  <si>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</si>
  <si>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</si>
  <si>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</si>
  <si>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</si>
  <si>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</si>
  <si>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</si>
  <si>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</si>
  <si>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</si>
  <si>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</si>
  <si>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</si>
  <si>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</si>
  <si>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</si>
  <si>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</si>
  <si>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</si>
  <si>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</si>
  <si>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</si>
  <si>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</si>
  <si>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</si>
  <si>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</si>
  <si>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</si>
  <si>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</si>
  <si>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</si>
  <si>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</si>
  <si>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</si>
  <si>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</si>
  <si>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</si>
  <si>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</si>
  <si>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</si>
  <si>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</si>
  <si>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</si>
  <si>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</si>
  <si>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</si>
  <si>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</si>
  <si>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</si>
  <si>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</si>
  <si>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</si>
  <si>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</si>
  <si>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</si>
  <si>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</si>
  <si>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</si>
  <si>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</si>
  <si>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</si>
  <si>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</si>
  <si>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</si>
  <si>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</si>
  <si>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</si>
  <si>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</si>
  <si>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</si>
  <si>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</si>
  <si>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</si>
  <si>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</si>
  <si>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</si>
  <si>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</si>
  <si>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</si>
  <si>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</si>
  <si>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</si>
  <si>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</si>
  <si>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</si>
  <si>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</si>
  <si>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</si>
  <si>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</si>
  <si>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</si>
  <si>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</si>
  <si>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</si>
  <si>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</si>
  <si>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</si>
  <si>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</si>
  <si>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</si>
  <si>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</si>
  <si>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</si>
  <si>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</si>
  <si>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</si>
  <si>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</si>
  <si>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</si>
  <si>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</si>
  <si>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</si>
  <si>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</si>
  <si>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</si>
  <si>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</si>
  <si>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</si>
  <si>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</si>
  <si>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</si>
  <si>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</si>
  <si>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</si>
  <si>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</si>
  <si>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</si>
  <si>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</si>
  <si>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</si>
  <si>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</si>
  <si>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</si>
  <si>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</si>
  <si>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</si>
  <si>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</si>
  <si>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</si>
  <si>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</si>
  <si>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</si>
  <si>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</si>
  <si>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</si>
  <si>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</si>
  <si>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</si>
  <si>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</si>
  <si>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</si>
  <si>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</si>
  <si>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</si>
  <si>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</si>
  <si>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</si>
  <si>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</si>
  <si>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</si>
  <si>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</si>
  <si>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</si>
  <si>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</si>
  <si>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</si>
  <si>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</si>
  <si>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</si>
  <si>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</si>
  <si>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</si>
  <si>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</si>
  <si>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</si>
  <si>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</si>
  <si>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</si>
  <si>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</si>
  <si>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</si>
  <si>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</si>
  <si>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</si>
  <si>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</si>
  <si>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</si>
  <si>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</si>
  <si>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</si>
  <si>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</si>
  <si>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</si>
  <si>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</si>
  <si>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</si>
  <si>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</si>
  <si>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</si>
  <si>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</si>
  <si>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</si>
  <si>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</si>
  <si>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</si>
  <si>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</si>
  <si>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</si>
  <si>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</si>
  <si>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</si>
  <si>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</si>
  <si>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</si>
  <si>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</si>
  <si>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</si>
  <si>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</si>
  <si>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</si>
  <si>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</si>
  <si>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</si>
  <si>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</si>
  <si>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</si>
  <si>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</si>
  <si>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</si>
  <si>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</si>
  <si>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</si>
  <si>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</si>
  <si>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</si>
  <si>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</si>
  <si>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</si>
  <si>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</si>
  <si>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</si>
  <si>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</si>
  <si>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</si>
  <si>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</si>
  <si>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</si>
  <si>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</si>
  <si>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</si>
  <si>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</si>
  <si>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</si>
  <si>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</si>
  <si>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</si>
  <si>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</si>
  <si>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</si>
  <si>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</si>
  <si>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</si>
  <si>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</si>
  <si>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</si>
  <si>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</si>
  <si>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</si>
  <si>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</si>
  <si>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</si>
  <si>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</si>
  <si>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</si>
  <si>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</si>
  <si>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</si>
  <si>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</si>
  <si>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</si>
  <si>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</si>
  <si>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</si>
  <si>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</si>
  <si>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</si>
  <si>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</si>
  <si>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</si>
  <si>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</si>
  <si>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</si>
  <si>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</si>
  <si>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</si>
  <si>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</si>
  <si>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</si>
  <si>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</si>
  <si>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</si>
  <si>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</si>
  <si>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</si>
  <si>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</si>
  <si>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</si>
  <si>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</si>
  <si>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</si>
  <si>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</si>
  <si>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</si>
  <si>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</si>
  <si>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</si>
  <si>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</si>
  <si>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</si>
  <si>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</si>
  <si>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</si>
  <si>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</si>
  <si>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</si>
  <si>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</si>
  <si>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</si>
  <si>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</si>
  <si>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</si>
  <si>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</si>
  <si>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</si>
  <si>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</si>
  <si>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</si>
  <si>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</si>
  <si>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</si>
  <si>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</si>
  <si>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</si>
  <si>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</si>
  <si>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</si>
  <si>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</si>
  <si>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</si>
  <si>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</si>
  <si>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</si>
  <si>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</si>
  <si>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</si>
  <si>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</si>
  <si>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</si>
  <si>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</si>
  <si>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</si>
  <si>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</si>
  <si>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</si>
  <si>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</si>
  <si>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</si>
  <si>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</si>
  <si>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</si>
  <si>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</si>
  <si>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</si>
  <si>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</si>
  <si>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</si>
  <si>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</si>
  <si>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</si>
  <si>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</si>
  <si>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</si>
  <si>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</si>
  <si>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</si>
  <si>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</si>
  <si>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</si>
  <si>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</si>
  <si>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</si>
  <si>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</si>
  <si>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</si>
  <si>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</si>
  <si>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</si>
  <si>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</si>
  <si>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</si>
  <si>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</si>
  <si>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</si>
  <si>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</si>
  <si>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</si>
  <si>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</si>
  <si>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</si>
  <si>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</si>
  <si>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</si>
  <si>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</si>
  <si>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</si>
  <si>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</si>
  <si>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</si>
  <si>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</si>
  <si>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</si>
  <si>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</si>
  <si>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</si>
  <si>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</si>
  <si>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</si>
  <si>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</si>
  <si>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</si>
  <si>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</si>
  <si>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</si>
  <si>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</si>
  <si>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</si>
  <si>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</si>
  <si>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</si>
  <si>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</si>
  <si>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</si>
  <si>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</si>
  <si>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</si>
  <si>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</si>
  <si>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</si>
  <si>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</si>
  <si>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</si>
  <si>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</si>
  <si>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</si>
  <si>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</si>
  <si>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</si>
  <si>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</si>
  <si>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</si>
  <si>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</si>
  <si>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</si>
  <si>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</si>
  <si>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</si>
  <si>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</si>
  <si>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</si>
  <si>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</si>
  <si>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</si>
  <si>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</si>
  <si>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</si>
  <si>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</si>
  <si>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</si>
  <si>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</si>
  <si>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</si>
  <si>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</si>
  <si>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</si>
  <si>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</si>
  <si>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</si>
  <si>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</si>
  <si>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</si>
  <si>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</si>
  <si>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</si>
  <si>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</si>
  <si>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</si>
  <si>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</si>
  <si>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</si>
  <si>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</si>
  <si>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</si>
  <si>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</si>
  <si>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</si>
  <si>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</si>
  <si>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</si>
  <si>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</si>
  <si>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</si>
  <si>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</si>
  <si>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</si>
  <si>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</si>
  <si>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</si>
  <si>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</si>
  <si>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</si>
  <si>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</si>
  <si>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</si>
  <si>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</si>
  <si>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</si>
  <si>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</si>
  <si>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</si>
  <si>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</si>
  <si>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</si>
  <si>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6001 S. Long Avenue</t>
  </si>
  <si>
    <t>Chicago</t>
  </si>
  <si>
    <t>ehackett@sahs.k12.il.us</t>
  </si>
  <si>
    <t>Erin Hackett</t>
  </si>
  <si>
    <t>708-456-7753</t>
  </si>
  <si>
    <t>708-458-1168</t>
  </si>
  <si>
    <t>Stickney Township</t>
  </si>
  <si>
    <t>Dean Vivierito</t>
  </si>
  <si>
    <t>stickneyschooltreasurer@comcast.net</t>
  </si>
  <si>
    <t>708-636-0723</t>
  </si>
  <si>
    <t>708-636-8016</t>
  </si>
  <si>
    <t>RSM US LLP</t>
  </si>
  <si>
    <t>Kelly Kirkman</t>
  </si>
  <si>
    <t>One South Wacker Drive, Suite 800</t>
  </si>
  <si>
    <t>IL</t>
  </si>
  <si>
    <t>312-634-3400</t>
  </si>
  <si>
    <t>312-634-5524</t>
  </si>
  <si>
    <t>Kelly.Kirkman@rsmus.com</t>
  </si>
  <si>
    <t>Dr. Vanessa Kinder</t>
  </si>
  <si>
    <t>ckinder@s-cook.org</t>
  </si>
  <si>
    <t>708-754-6600</t>
  </si>
  <si>
    <t>708-754-8687</t>
  </si>
  <si>
    <t>Stickeny Township Trustees of Schools</t>
  </si>
  <si>
    <t>09/30/20201</t>
  </si>
  <si>
    <t>See AFR opinion attached</t>
  </si>
  <si>
    <t>None</t>
  </si>
  <si>
    <t>ED-FISCAL SERVICE-PURCHASED SERVICE</t>
  </si>
  <si>
    <t>BAKER TILLY</t>
  </si>
  <si>
    <t xml:space="preserve">   Central Stickney SD 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</si>
</sst>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142875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xdr:row>
          <xdr:rowOff>142875</xdr:rowOff>
        </xdr:from>
        <xdr:to>
          <xdr:col>1</xdr:col>
          <xdr:colOff>2266950</xdr:colOff>
          <xdr:row>8</xdr:row>
          <xdr:rowOff>114300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2657475</xdr:colOff>
          <xdr:row>4</xdr:row>
          <xdr:rowOff>47625</xdr:rowOff>
        </xdr:from>
        <xdr:to>
          <xdr:col>1</xdr:col>
          <xdr:colOff>3571875</xdr:colOff>
          <xdr:row>9</xdr:row>
          <xdr:rowOff>28575</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3879274</xdr:colOff>
          <xdr:row>4</xdr:row>
          <xdr:rowOff>121227</xdr:rowOff>
        </xdr:from>
        <xdr:to>
          <xdr:col>3</xdr:col>
          <xdr:colOff>192232</xdr:colOff>
          <xdr:row>9</xdr:row>
          <xdr:rowOff>75334</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5A5A717B-9C21-4B9C-B7B7-9A1D376964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562842</xdr:colOff>
          <xdr:row>10</xdr:row>
          <xdr:rowOff>129886</xdr:rowOff>
        </xdr:from>
        <xdr:to>
          <xdr:col>4</xdr:col>
          <xdr:colOff>261505</xdr:colOff>
          <xdr:row>15</xdr:row>
          <xdr:rowOff>83993</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D6CEF1FC-0CAA-4F94-A447-41A75D1E7DF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181841</xdr:colOff>
          <xdr:row>6</xdr:row>
          <xdr:rowOff>60613</xdr:rowOff>
        </xdr:from>
        <xdr:to>
          <xdr:col>6</xdr:col>
          <xdr:colOff>486640</xdr:colOff>
          <xdr:row>11</xdr:row>
          <xdr:rowOff>14720</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3FF3D43B-2B6D-4085-8F04-A626B473F5F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sheetPr>
  <dimension ref="A1:AF48"/>
  <sheetViews>
    <sheetView showGridLines="0" tabSelected="1" zoomScale="80" zoomScaleNormal="80" workbookViewId="0">
      <selection activeCell="A13" sqref="A13:H13"/>
    </sheetView>
  </sheetViews>
  <sheetFormatPr defaultColWidth="8.85546875" defaultRowHeight="12.75" x14ac:dyDescent="0.2"/>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x14ac:dyDescent="0.2">
      <c r="A1" s="154"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0"/>
      <c r="C3" s="150"/>
      <c r="D3" s="151"/>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0"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0"/>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3"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85">
        <v>7016110002</v>
      </c>
      <c r="B13" s="2086"/>
      <c r="C13" s="2086"/>
      <c r="D13" s="2086"/>
      <c r="E13" s="2086"/>
      <c r="F13" s="2086"/>
      <c r="G13" s="2086"/>
      <c r="H13" s="2087"/>
      <c r="I13" s="31"/>
      <c r="J13" s="30"/>
      <c r="K13" s="28"/>
      <c r="L13" s="30"/>
      <c r="M13" s="30"/>
      <c r="N13" s="30"/>
      <c r="O13" s="30"/>
      <c r="P13" s="30"/>
      <c r="Q13" s="30"/>
      <c r="R13" s="30"/>
      <c r="S13" s="30"/>
      <c r="T13" s="2090" t="s">
        <v>2064</v>
      </c>
      <c r="U13" s="2091"/>
      <c r="V13" s="2091"/>
      <c r="W13" s="2091"/>
      <c r="X13" s="2091"/>
      <c r="Y13" s="2092"/>
      <c r="Z13" s="2092"/>
      <c r="AA13" s="2093"/>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3" t="s">
        <v>2052</v>
      </c>
      <c r="B15" s="2088"/>
      <c r="C15" s="2088"/>
      <c r="D15" s="2088"/>
      <c r="E15" s="2088"/>
      <c r="F15" s="2088"/>
      <c r="G15" s="2088"/>
      <c r="H15" s="2089"/>
      <c r="T15" s="2051" t="s">
        <v>2065</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2081</v>
      </c>
      <c r="B17" s="2113"/>
      <c r="C17" s="2113"/>
      <c r="D17" s="2113"/>
      <c r="E17" s="2113"/>
      <c r="F17" s="2113"/>
      <c r="G17" s="2113"/>
      <c r="H17" s="2114"/>
      <c r="T17" s="2100" t="s">
        <v>2066</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3" t="s">
        <v>672</v>
      </c>
      <c r="AA18" s="44"/>
    </row>
    <row r="19" spans="1:27" ht="13.5" customHeight="1" x14ac:dyDescent="0.2">
      <c r="A19" s="2083" t="s">
        <v>2053</v>
      </c>
      <c r="B19" s="2084"/>
      <c r="C19" s="2084"/>
      <c r="D19" s="2084"/>
      <c r="E19" s="2084"/>
      <c r="F19" s="2084"/>
      <c r="G19" s="2084"/>
      <c r="H19" s="2082"/>
      <c r="I19" s="30"/>
      <c r="J19" s="96"/>
      <c r="K19" s="40"/>
      <c r="L19" s="38"/>
      <c r="M19" s="108" t="s">
        <v>312</v>
      </c>
      <c r="P19" s="27"/>
      <c r="Q19" s="27"/>
      <c r="R19" s="27"/>
      <c r="S19" s="31"/>
      <c r="T19" s="2083" t="s">
        <v>2054</v>
      </c>
      <c r="U19" s="2081"/>
      <c r="V19" s="2081"/>
      <c r="W19" s="2082"/>
      <c r="X19" s="2098" t="s">
        <v>2067</v>
      </c>
      <c r="Y19" s="2099"/>
      <c r="Z19" s="2096">
        <v>60606</v>
      </c>
      <c r="AA19" s="209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0" t="s">
        <v>2054</v>
      </c>
      <c r="B21" s="2081"/>
      <c r="C21" s="2081"/>
      <c r="D21" s="2081"/>
      <c r="E21" s="2081"/>
      <c r="F21" s="2081"/>
      <c r="G21" s="2081"/>
      <c r="H21" s="2082"/>
      <c r="I21" s="2106" t="s">
        <v>673</v>
      </c>
      <c r="J21" s="2069"/>
      <c r="K21" s="2069"/>
      <c r="L21" s="2069"/>
      <c r="M21" s="2069"/>
      <c r="N21" s="2069"/>
      <c r="O21" s="2069"/>
      <c r="P21" s="2069"/>
      <c r="Q21" s="2069"/>
      <c r="R21" s="2069"/>
      <c r="S21" s="2070"/>
      <c r="T21" s="2048" t="s">
        <v>2068</v>
      </c>
      <c r="U21" s="2049"/>
      <c r="V21" s="2049"/>
      <c r="W21" s="2049"/>
      <c r="X21" s="2062" t="s">
        <v>2069</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4" t="s">
        <v>1307</v>
      </c>
      <c r="Z22" s="43"/>
      <c r="AA22" s="44"/>
    </row>
    <row r="23" spans="1:27" ht="13.5" customHeight="1" x14ac:dyDescent="0.2">
      <c r="A23" s="2103" t="s">
        <v>2055</v>
      </c>
      <c r="B23" s="2104"/>
      <c r="C23" s="2104"/>
      <c r="D23" s="2104"/>
      <c r="E23" s="2104"/>
      <c r="F23" s="2104"/>
      <c r="G23" s="2104"/>
      <c r="H23" s="2105"/>
      <c r="T23" s="2043">
        <v>65024892</v>
      </c>
      <c r="U23" s="2044"/>
      <c r="V23" s="2044"/>
      <c r="W23" s="2044"/>
      <c r="X23" s="2059" t="s">
        <v>2076</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1" t="s">
        <v>528</v>
      </c>
      <c r="U24" s="102"/>
      <c r="V24" s="102"/>
      <c r="W24" s="102"/>
      <c r="X24" s="103"/>
      <c r="Y24" s="103"/>
      <c r="Z24" s="103"/>
      <c r="AA24" s="104"/>
    </row>
    <row r="25" spans="1:27" ht="14.1" customHeight="1" x14ac:dyDescent="0.2">
      <c r="A25" s="2080">
        <v>60638</v>
      </c>
      <c r="B25" s="2081"/>
      <c r="C25" s="2081"/>
      <c r="D25" s="2081"/>
      <c r="E25" s="2081"/>
      <c r="F25" s="2081"/>
      <c r="G25" s="2081"/>
      <c r="H25" s="2082"/>
      <c r="I25" s="109"/>
      <c r="J25" s="2147"/>
      <c r="K25" s="2147"/>
      <c r="L25" s="2147"/>
      <c r="M25" s="2147"/>
      <c r="N25" s="2147"/>
      <c r="O25" s="2147"/>
      <c r="P25" s="2147"/>
      <c r="Q25" s="2147"/>
      <c r="R25" s="2147"/>
      <c r="S25" s="2148"/>
      <c r="T25" s="2040" t="s">
        <v>2070</v>
      </c>
      <c r="U25" s="2041"/>
      <c r="V25" s="2041"/>
      <c r="W25" s="2041"/>
      <c r="X25" s="2041"/>
      <c r="Y25" s="2041"/>
      <c r="Z25" s="2041"/>
      <c r="AA25" s="204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38" t="s">
        <v>1494</v>
      </c>
      <c r="J27" s="2111"/>
      <c r="K27" s="2111"/>
      <c r="L27" s="2111"/>
      <c r="M27" s="2111"/>
      <c r="N27" s="2111"/>
      <c r="O27" s="2111"/>
      <c r="P27" s="2111"/>
      <c r="Q27" s="2111"/>
      <c r="R27" s="2111"/>
      <c r="S27" s="2112"/>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t="s">
        <v>2051</v>
      </c>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2051</v>
      </c>
      <c r="C34" s="32" t="s">
        <v>539</v>
      </c>
      <c r="D34" s="31"/>
      <c r="E34" s="31"/>
      <c r="F34" s="31"/>
      <c r="G34" s="31"/>
      <c r="H34" s="31"/>
      <c r="I34" s="51"/>
      <c r="J34" s="80"/>
      <c r="L34" s="144" t="s">
        <v>2051</v>
      </c>
      <c r="M34" s="90" t="s">
        <v>702</v>
      </c>
      <c r="N34" s="30"/>
      <c r="O34" s="30"/>
      <c r="P34" s="30"/>
      <c r="Q34" s="30"/>
      <c r="R34" s="30"/>
      <c r="S34" s="52"/>
      <c r="T34" s="30"/>
      <c r="U34" s="143"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t="s">
        <v>2059</v>
      </c>
      <c r="Q35" s="2081"/>
      <c r="R35" s="208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3" t="s">
        <v>2056</v>
      </c>
      <c r="B38" s="2113"/>
      <c r="C38" s="2113"/>
      <c r="D38" s="2113"/>
      <c r="E38" s="2113"/>
      <c r="F38" s="2081"/>
      <c r="G38" s="2081"/>
      <c r="H38" s="2082"/>
      <c r="I38" s="2132" t="s">
        <v>2060</v>
      </c>
      <c r="J38" s="2052"/>
      <c r="K38" s="2052"/>
      <c r="L38" s="2052"/>
      <c r="M38" s="2052"/>
      <c r="N38" s="2052"/>
      <c r="O38" s="2052"/>
      <c r="P38" s="2053"/>
      <c r="Q38" s="2053"/>
      <c r="R38" s="2053"/>
      <c r="S38" s="2054"/>
      <c r="T38" s="2051" t="s">
        <v>2071</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2055</v>
      </c>
      <c r="B40" s="2140"/>
      <c r="C40" s="2141"/>
      <c r="D40" s="2141"/>
      <c r="E40" s="2141"/>
      <c r="F40" s="2142"/>
      <c r="G40" s="2142"/>
      <c r="H40" s="2143"/>
      <c r="I40" s="2055" t="s">
        <v>2061</v>
      </c>
      <c r="J40" s="2057"/>
      <c r="K40" s="2057"/>
      <c r="L40" s="2057"/>
      <c r="M40" s="2057"/>
      <c r="N40" s="2057"/>
      <c r="O40" s="2057"/>
      <c r="P40" s="2057"/>
      <c r="Q40" s="2057"/>
      <c r="R40" s="2057"/>
      <c r="S40" s="2058"/>
      <c r="T40" s="2055" t="s">
        <v>2072</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2057</v>
      </c>
      <c r="B42" s="2130"/>
      <c r="C42" s="2131"/>
      <c r="D42" s="2144" t="s">
        <v>2058</v>
      </c>
      <c r="E42" s="2130"/>
      <c r="F42" s="2130"/>
      <c r="G42" s="2130"/>
      <c r="H42" s="2131"/>
      <c r="I42" s="2050" t="s">
        <v>2062</v>
      </c>
      <c r="J42" s="2046"/>
      <c r="K42" s="2046"/>
      <c r="L42" s="2046"/>
      <c r="M42" s="2046"/>
      <c r="N42" s="2046"/>
      <c r="O42" s="2047"/>
      <c r="P42" s="2045" t="s">
        <v>2063</v>
      </c>
      <c r="Q42" s="2046"/>
      <c r="R42" s="2046"/>
      <c r="S42" s="2047"/>
      <c r="T42" s="2050" t="s">
        <v>2073</v>
      </c>
      <c r="U42" s="2046"/>
      <c r="V42" s="2046"/>
      <c r="W42" s="2047"/>
      <c r="X42" s="2045" t="s">
        <v>2074</v>
      </c>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sheetPr>
  <dimension ref="A1:H36"/>
  <sheetViews>
    <sheetView showGridLines="0" defaultGridColor="0" topLeftCell="A10" colorId="8" zoomScale="110" zoomScaleNormal="110" workbookViewId="0">
      <selection activeCell="C29" sqref="C29"/>
    </sheetView>
  </sheetViews>
  <sheetFormatPr defaultColWidth="9.140625" defaultRowHeight="12.75" x14ac:dyDescent="0.2"/>
  <cols>
    <col min="1" max="1" width="41.42578125" style="246" customWidth="1"/>
    <col min="2" max="3" width="17.85546875" style="576" customWidth="1"/>
    <col min="4" max="5" width="17.85546875" style="577" customWidth="1"/>
    <col min="6" max="6" width="17.85546875" style="306" customWidth="1"/>
    <col min="7" max="7" width="4.140625" style="306" customWidth="1"/>
    <col min="8" max="8" width="33.140625" style="306" customWidth="1"/>
    <col min="9" max="16384" width="9.140625" style="306"/>
  </cols>
  <sheetData>
    <row r="1" spans="1:8" ht="33.75" customHeight="1" x14ac:dyDescent="0.2">
      <c r="A1" s="1511" t="s">
        <v>104</v>
      </c>
      <c r="B1" s="306"/>
      <c r="C1" s="306"/>
      <c r="D1" s="306"/>
      <c r="E1" s="306"/>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88"/>
      <c r="B3" s="1293"/>
      <c r="C3" s="1294"/>
      <c r="D3" s="1295" t="s">
        <v>254</v>
      </c>
      <c r="E3" s="1294"/>
      <c r="F3" s="1295" t="s">
        <v>255</v>
      </c>
    </row>
    <row r="4" spans="1:8" ht="13.7" customHeight="1" x14ac:dyDescent="0.2">
      <c r="A4" s="578" t="s">
        <v>1145</v>
      </c>
      <c r="B4" s="1720">
        <f>'Revenues 9-14'!C5</f>
        <v>2980457</v>
      </c>
      <c r="C4" s="1721">
        <v>1561029</v>
      </c>
      <c r="D4" s="1722">
        <f>B4-C4</f>
        <v>1419428</v>
      </c>
      <c r="E4" s="1721">
        <v>3209907</v>
      </c>
      <c r="F4" s="1722">
        <f>E4-C4</f>
        <v>1648878</v>
      </c>
    </row>
    <row r="5" spans="1:8" ht="13.7" customHeight="1" x14ac:dyDescent="0.2">
      <c r="A5" s="578" t="s">
        <v>865</v>
      </c>
      <c r="B5" s="1723">
        <f>'Revenues 9-14'!D5</f>
        <v>871712</v>
      </c>
      <c r="C5" s="1663">
        <v>451817</v>
      </c>
      <c r="D5" s="1724">
        <f t="shared" ref="D5:D18" si="0">B5-C5</f>
        <v>419895</v>
      </c>
      <c r="E5" s="1663">
        <v>929060</v>
      </c>
      <c r="F5" s="1724">
        <f>E5-C5</f>
        <v>477243</v>
      </c>
    </row>
    <row r="6" spans="1:8" ht="13.7" customHeight="1" x14ac:dyDescent="0.2">
      <c r="A6" s="578" t="s">
        <v>408</v>
      </c>
      <c r="B6" s="1723">
        <f>'Revenues 9-14'!E5</f>
        <v>0</v>
      </c>
      <c r="C6" s="1663"/>
      <c r="D6" s="1724">
        <f t="shared" si="0"/>
        <v>0</v>
      </c>
      <c r="E6" s="1663"/>
      <c r="F6" s="1724">
        <f t="shared" ref="F6:F18" si="1">E6-C6</f>
        <v>0</v>
      </c>
    </row>
    <row r="7" spans="1:8" ht="13.7" customHeight="1" x14ac:dyDescent="0.2">
      <c r="A7" s="578" t="s">
        <v>154</v>
      </c>
      <c r="B7" s="1723">
        <f>'Revenues 9-14'!F5</f>
        <v>975</v>
      </c>
      <c r="C7" s="1663">
        <v>501</v>
      </c>
      <c r="D7" s="1724">
        <f t="shared" si="0"/>
        <v>474</v>
      </c>
      <c r="E7" s="1663">
        <v>1030</v>
      </c>
      <c r="F7" s="1724">
        <f t="shared" si="1"/>
        <v>529</v>
      </c>
    </row>
    <row r="8" spans="1:8" ht="13.7" customHeight="1" x14ac:dyDescent="0.2">
      <c r="A8" s="578" t="s">
        <v>1169</v>
      </c>
      <c r="B8" s="1723">
        <f>'Revenues 9-14'!G5</f>
        <v>73100</v>
      </c>
      <c r="C8" s="1663">
        <v>37568</v>
      </c>
      <c r="D8" s="1724">
        <f t="shared" si="0"/>
        <v>35532</v>
      </c>
      <c r="E8" s="1663">
        <v>77250</v>
      </c>
      <c r="F8" s="1724">
        <f t="shared" si="1"/>
        <v>39682</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9748</v>
      </c>
      <c r="C10" s="1663">
        <v>5009</v>
      </c>
      <c r="D10" s="1724">
        <f t="shared" si="0"/>
        <v>4739</v>
      </c>
      <c r="E10" s="1663">
        <v>10300</v>
      </c>
      <c r="F10" s="1724">
        <f t="shared" si="1"/>
        <v>5291</v>
      </c>
    </row>
    <row r="11" spans="1:8" x14ac:dyDescent="0.2">
      <c r="A11" s="578" t="s">
        <v>406</v>
      </c>
      <c r="B11" s="1723">
        <f>'Revenues 9-14'!J5</f>
        <v>68227</v>
      </c>
      <c r="C11" s="1663">
        <v>35063</v>
      </c>
      <c r="D11" s="1724">
        <f t="shared" si="0"/>
        <v>33164</v>
      </c>
      <c r="E11" s="1663">
        <v>72100</v>
      </c>
      <c r="F11" s="1724">
        <f t="shared" si="1"/>
        <v>37037</v>
      </c>
    </row>
    <row r="12" spans="1:8" ht="13.7" customHeight="1" x14ac:dyDescent="0.2">
      <c r="A12" s="578" t="s">
        <v>156</v>
      </c>
      <c r="B12" s="1723">
        <f>'Revenues 9-14'!K5</f>
        <v>975</v>
      </c>
      <c r="C12" s="1663">
        <v>501</v>
      </c>
      <c r="D12" s="1724">
        <f t="shared" si="0"/>
        <v>474</v>
      </c>
      <c r="E12" s="1663">
        <v>1030</v>
      </c>
      <c r="F12" s="1724">
        <f t="shared" si="1"/>
        <v>529</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139376</v>
      </c>
      <c r="C14" s="1663">
        <v>31557</v>
      </c>
      <c r="D14" s="1724">
        <f t="shared" si="0"/>
        <v>107819</v>
      </c>
      <c r="E14" s="1663">
        <v>64890</v>
      </c>
      <c r="F14" s="1724">
        <f t="shared" si="1"/>
        <v>33333</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0</v>
      </c>
      <c r="C16" s="1663">
        <v>40072</v>
      </c>
      <c r="D16" s="1724">
        <f t="shared" si="0"/>
        <v>-40072</v>
      </c>
      <c r="E16" s="1663">
        <v>82400</v>
      </c>
      <c r="F16" s="1724">
        <f t="shared" si="1"/>
        <v>42328</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4144570</v>
      </c>
      <c r="C19" s="1725">
        <f>SUM(C4:C18)</f>
        <v>2163117</v>
      </c>
      <c r="D19" s="1725">
        <f>SUM(D4:D18)</f>
        <v>1981453</v>
      </c>
      <c r="E19" s="1725">
        <f>SUM(E4:E18)</f>
        <v>4447967</v>
      </c>
      <c r="F19" s="1725">
        <f>SUM(F4:F18)</f>
        <v>2284850</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fitToPage="1"/>
  </sheetPr>
  <dimension ref="A1:K59"/>
  <sheetViews>
    <sheetView showGridLines="0" defaultGridColor="0" topLeftCell="A31" colorId="8" zoomScale="110" zoomScaleNormal="110" workbookViewId="0">
      <selection activeCell="C29" sqref="C29"/>
    </sheetView>
  </sheetViews>
  <sheetFormatPr defaultColWidth="9.140625" defaultRowHeight="12.75" x14ac:dyDescent="0.2"/>
  <cols>
    <col min="1" max="1" width="44" style="376" customWidth="1"/>
    <col min="2" max="2" width="12.140625" style="585" customWidth="1"/>
    <col min="3" max="3" width="16.85546875" style="585" customWidth="1"/>
    <col min="4" max="5" width="15.85546875" style="585" customWidth="1"/>
    <col min="6" max="10" width="15.85546875" style="360" customWidth="1"/>
    <col min="11" max="16384" width="9.140625" style="360"/>
  </cols>
  <sheetData>
    <row r="1" spans="1:7" ht="27" customHeight="1" x14ac:dyDescent="0.2">
      <c r="A1" s="2293" t="s">
        <v>625</v>
      </c>
      <c r="B1" s="2294"/>
      <c r="C1" s="584"/>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2"/>
    </row>
    <row r="16" spans="1:7" s="196"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2"/>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2"/>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2"/>
    </row>
    <row r="26" spans="1:11" ht="15.75" customHeight="1" thickTop="1" x14ac:dyDescent="0.2">
      <c r="A26" s="2289" t="s">
        <v>652</v>
      </c>
      <c r="B26" s="2290"/>
      <c r="C26" s="588"/>
      <c r="D26" s="588"/>
      <c r="E26" s="588"/>
      <c r="F26" s="589"/>
    </row>
    <row r="27" spans="1:11" ht="13.5" thickBot="1" x14ac:dyDescent="0.25">
      <c r="A27" s="2291" t="s">
        <v>1061</v>
      </c>
      <c r="B27" s="2292"/>
      <c r="C27" s="1663"/>
      <c r="D27" s="1663"/>
      <c r="E27" s="1663"/>
      <c r="F27" s="1731">
        <f>SUM(C27+D27)-E27</f>
        <v>0</v>
      </c>
      <c r="G27" s="472"/>
    </row>
    <row r="28" spans="1:11" ht="7.5" customHeight="1" thickTop="1" x14ac:dyDescent="0.2">
      <c r="A28" s="488"/>
    </row>
    <row r="29" spans="1:11" ht="23.25" customHeight="1" x14ac:dyDescent="0.2">
      <c r="A29" s="2317" t="s">
        <v>578</v>
      </c>
      <c r="B29" s="2294"/>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c r="B31" s="594"/>
      <c r="C31" s="1733"/>
      <c r="D31" s="1734"/>
      <c r="E31" s="1733"/>
      <c r="F31" s="1733"/>
      <c r="G31" s="1733"/>
      <c r="H31" s="1733"/>
      <c r="I31" s="1735">
        <f>((E31+F31)-H31)+G31</f>
        <v>0</v>
      </c>
      <c r="J31" s="1733"/>
      <c r="K31" s="595"/>
    </row>
    <row r="32" spans="1:11" ht="12" customHeight="1" x14ac:dyDescent="0.2">
      <c r="A32" s="593"/>
      <c r="B32" s="594"/>
      <c r="C32" s="1733"/>
      <c r="D32" s="1734"/>
      <c r="E32" s="1733"/>
      <c r="F32" s="1733"/>
      <c r="G32" s="1733"/>
      <c r="H32" s="1733"/>
      <c r="I32" s="1735">
        <f>((E32+F32)-H32)+G32</f>
        <v>0</v>
      </c>
      <c r="J32" s="1733"/>
      <c r="K32" s="595"/>
    </row>
    <row r="33" spans="1:11" ht="12" customHeight="1" x14ac:dyDescent="0.2">
      <c r="A33" s="593"/>
      <c r="B33" s="594"/>
      <c r="C33" s="1733"/>
      <c r="D33" s="1734"/>
      <c r="E33" s="1733"/>
      <c r="F33" s="1733"/>
      <c r="G33" s="1733"/>
      <c r="H33" s="1733"/>
      <c r="I33" s="1735">
        <f t="shared" ref="I33:I48" si="1">((E33+F33)-H33)+G33</f>
        <v>0</v>
      </c>
      <c r="J33" s="1733"/>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0</v>
      </c>
      <c r="D49" s="1741"/>
      <c r="E49" s="1735">
        <f t="shared" ref="E49:J49" si="2">SUM(E31:E48)</f>
        <v>0</v>
      </c>
      <c r="F49" s="1735">
        <f t="shared" si="2"/>
        <v>0</v>
      </c>
      <c r="G49" s="1735">
        <f t="shared" si="2"/>
        <v>0</v>
      </c>
      <c r="H49" s="1735">
        <f t="shared" si="2"/>
        <v>0</v>
      </c>
      <c r="I49" s="1735">
        <f t="shared" si="2"/>
        <v>0</v>
      </c>
      <c r="J49" s="1735">
        <f t="shared" si="2"/>
        <v>0</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08" t="s">
        <v>580</v>
      </c>
      <c r="C52" s="2309"/>
      <c r="D52" s="2309"/>
      <c r="E52" s="602" t="s">
        <v>840</v>
      </c>
      <c r="F52" s="2310"/>
      <c r="G52" s="2311"/>
      <c r="H52" s="595"/>
      <c r="I52" s="595"/>
      <c r="J52" s="599"/>
    </row>
    <row r="53" spans="1:11" ht="11.25" customHeight="1" x14ac:dyDescent="0.2">
      <c r="A53" s="603" t="s">
        <v>907</v>
      </c>
      <c r="B53" s="604" t="s">
        <v>945</v>
      </c>
      <c r="C53" s="599"/>
      <c r="D53" s="596"/>
      <c r="E53" s="602" t="s">
        <v>494</v>
      </c>
      <c r="F53" s="2312"/>
      <c r="G53" s="2313"/>
      <c r="H53" s="595"/>
      <c r="I53" s="595"/>
      <c r="J53" s="599"/>
    </row>
    <row r="54" spans="1:11" ht="11.25" customHeight="1" x14ac:dyDescent="0.2">
      <c r="A54" s="605" t="s">
        <v>908</v>
      </c>
      <c r="B54" s="600" t="s">
        <v>946</v>
      </c>
      <c r="C54" s="599"/>
      <c r="D54" s="596"/>
      <c r="E54" s="602" t="s">
        <v>495</v>
      </c>
      <c r="F54" s="2312"/>
      <c r="G54" s="2313"/>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14999847407452621"/>
  </sheetPr>
  <dimension ref="A1:O48"/>
  <sheetViews>
    <sheetView showGridLines="0" defaultGridColor="0" topLeftCell="A22" colorId="8" zoomScaleNormal="100" workbookViewId="0">
      <selection activeCell="C29" sqref="C29"/>
    </sheetView>
  </sheetViews>
  <sheetFormatPr defaultColWidth="9.140625" defaultRowHeight="12.75" x14ac:dyDescent="0.2"/>
  <cols>
    <col min="1" max="1" width="4.85546875" style="360" customWidth="1"/>
    <col min="2" max="2" width="3.140625" style="360" customWidth="1"/>
    <col min="3" max="3" width="4.85546875" style="360" customWidth="1"/>
    <col min="4" max="4" width="3.140625" style="360" customWidth="1"/>
    <col min="5" max="5" width="44.5703125" style="381" customWidth="1"/>
    <col min="6" max="6" width="18.140625" style="360" customWidth="1"/>
    <col min="7" max="9" width="15.85546875" style="360" customWidth="1"/>
    <col min="10" max="10" width="16.85546875" style="360" customWidth="1"/>
    <col min="11" max="11" width="15.85546875" style="196" customWidth="1"/>
    <col min="12" max="12" width="4.85546875" style="360" customWidth="1"/>
    <col min="13" max="13" width="7.85546875" style="360" customWidth="1"/>
    <col min="14" max="16384" width="9.140625" style="360"/>
  </cols>
  <sheetData>
    <row r="1" spans="1:11" ht="28.5" customHeight="1" x14ac:dyDescent="0.2">
      <c r="A1" s="2344" t="s">
        <v>851</v>
      </c>
      <c r="B1" s="2345"/>
      <c r="C1" s="2345"/>
      <c r="D1" s="2345"/>
      <c r="E1" s="2345"/>
      <c r="F1" s="2345"/>
      <c r="G1" s="2346"/>
      <c r="H1" s="1297"/>
      <c r="I1" s="613"/>
      <c r="J1" s="399"/>
    </row>
    <row r="2" spans="1:11" ht="26.25" x14ac:dyDescent="0.2">
      <c r="A2" s="2321" t="s">
        <v>1658</v>
      </c>
      <c r="B2" s="2322"/>
      <c r="C2" s="2322"/>
      <c r="D2" s="2322"/>
      <c r="E2" s="2323"/>
      <c r="F2" s="614" t="s">
        <v>898</v>
      </c>
      <c r="G2" s="615" t="s">
        <v>1655</v>
      </c>
      <c r="H2" s="615" t="s">
        <v>407</v>
      </c>
      <c r="I2" s="615" t="s">
        <v>1148</v>
      </c>
      <c r="J2" s="615" t="s">
        <v>1789</v>
      </c>
      <c r="K2" s="615" t="s">
        <v>137</v>
      </c>
    </row>
    <row r="3" spans="1:11" x14ac:dyDescent="0.2">
      <c r="A3" s="2324" t="str">
        <f>"Cash Basis Fund Balance as of July 1, "&amp;'AFR20'!E2-1</f>
        <v>Cash Basis Fund Balance as of July 1, 2019</v>
      </c>
      <c r="B3" s="2325"/>
      <c r="C3" s="2325"/>
      <c r="D3" s="2325"/>
      <c r="E3" s="2326"/>
      <c r="F3" s="616"/>
      <c r="G3" s="1743"/>
      <c r="H3" s="1743"/>
      <c r="I3" s="1743"/>
      <c r="J3" s="1744"/>
      <c r="K3" s="1744"/>
    </row>
    <row r="4" spans="1:11" x14ac:dyDescent="0.2">
      <c r="A4" s="2327" t="s">
        <v>366</v>
      </c>
      <c r="B4" s="2328"/>
      <c r="C4" s="2328"/>
      <c r="D4" s="2328"/>
      <c r="E4" s="2309"/>
      <c r="F4" s="619"/>
      <c r="G4" s="1745"/>
      <c r="H4" s="1746"/>
      <c r="I4" s="1745"/>
      <c r="J4" s="1747"/>
      <c r="K4" s="1747"/>
    </row>
    <row r="5" spans="1:11" x14ac:dyDescent="0.2">
      <c r="A5" s="2347" t="s">
        <v>1060</v>
      </c>
      <c r="B5" s="2318"/>
      <c r="C5" s="2318"/>
      <c r="D5" s="2318"/>
      <c r="E5" s="2348"/>
      <c r="F5" s="621" t="s">
        <v>843</v>
      </c>
      <c r="G5" s="1748"/>
      <c r="H5" s="1743"/>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47" t="s">
        <v>1790</v>
      </c>
      <c r="B10" s="2318"/>
      <c r="C10" s="2318"/>
      <c r="D10" s="2318"/>
      <c r="E10" s="2349"/>
      <c r="F10" s="632" t="s">
        <v>857</v>
      </c>
      <c r="G10" s="1752"/>
      <c r="H10" s="1753"/>
      <c r="I10" s="1743"/>
      <c r="J10" s="1744"/>
      <c r="K10" s="1744"/>
    </row>
    <row r="11" spans="1:11" x14ac:dyDescent="0.2">
      <c r="A11" s="2347" t="s">
        <v>159</v>
      </c>
      <c r="B11" s="2318"/>
      <c r="C11" s="2318"/>
      <c r="D11" s="2318"/>
      <c r="E11" s="2348"/>
      <c r="F11" s="621" t="s">
        <v>847</v>
      </c>
      <c r="G11" s="1748"/>
      <c r="H11" s="1743"/>
      <c r="I11" s="1743"/>
      <c r="J11" s="1744"/>
      <c r="K11" s="1750"/>
    </row>
    <row r="12" spans="1:11" ht="13.5" thickBot="1" x14ac:dyDescent="0.25">
      <c r="A12" s="2335" t="s">
        <v>899</v>
      </c>
      <c r="B12" s="2336"/>
      <c r="C12" s="2336"/>
      <c r="D12" s="2336"/>
      <c r="E12" s="2337"/>
      <c r="F12" s="1432"/>
      <c r="G12" s="1754">
        <f>SUM(G5:G11)</f>
        <v>0</v>
      </c>
      <c r="H12" s="1754">
        <f>SUM(H5:H11)</f>
        <v>0</v>
      </c>
      <c r="I12" s="1754">
        <f>SUM(I5:I11)</f>
        <v>0</v>
      </c>
      <c r="J12" s="1754">
        <f>SUM(J5:J11)</f>
        <v>0</v>
      </c>
      <c r="K12" s="1754">
        <f>SUM(K5:K11)</f>
        <v>0</v>
      </c>
    </row>
    <row r="13" spans="1:11" ht="13.5" thickTop="1" x14ac:dyDescent="0.2">
      <c r="A13" s="2329" t="s">
        <v>367</v>
      </c>
      <c r="B13" s="2330"/>
      <c r="C13" s="2330"/>
      <c r="D13" s="2330"/>
      <c r="E13" s="2331"/>
      <c r="F13" s="633"/>
      <c r="G13" s="1755"/>
      <c r="H13" s="1756"/>
      <c r="I13" s="1757"/>
      <c r="J13" s="1757"/>
      <c r="K13" s="1757"/>
    </row>
    <row r="14" spans="1:11" x14ac:dyDescent="0.2">
      <c r="A14" s="2353" t="s">
        <v>453</v>
      </c>
      <c r="B14" s="2353"/>
      <c r="C14" s="2353"/>
      <c r="D14" s="2353"/>
      <c r="E14" s="2354"/>
      <c r="F14" s="634" t="s">
        <v>849</v>
      </c>
      <c r="G14" s="1752"/>
      <c r="H14" s="1743"/>
      <c r="I14" s="1748"/>
      <c r="J14" s="1750"/>
      <c r="K14" s="1744"/>
    </row>
    <row r="15" spans="1:11" x14ac:dyDescent="0.2">
      <c r="A15" s="2318" t="s">
        <v>4</v>
      </c>
      <c r="B15" s="2318"/>
      <c r="C15" s="2318"/>
      <c r="D15" s="2318"/>
      <c r="E15" s="2348"/>
      <c r="F15" s="634" t="s">
        <v>850</v>
      </c>
      <c r="G15" s="1748"/>
      <c r="H15" s="1743"/>
      <c r="I15" s="1743"/>
      <c r="J15" s="1744"/>
      <c r="K15" s="1744"/>
    </row>
    <row r="16" spans="1:11" x14ac:dyDescent="0.2">
      <c r="A16" s="2318" t="s">
        <v>295</v>
      </c>
      <c r="B16" s="2318"/>
      <c r="C16" s="2318"/>
      <c r="D16" s="2318"/>
      <c r="E16" s="2348"/>
      <c r="F16" s="634" t="s">
        <v>917</v>
      </c>
      <c r="G16" s="1749"/>
      <c r="H16" s="1745"/>
      <c r="I16" s="1745"/>
      <c r="J16" s="1747"/>
      <c r="K16" s="1747"/>
    </row>
    <row r="17" spans="1:15" x14ac:dyDescent="0.2">
      <c r="A17" s="2342" t="s">
        <v>929</v>
      </c>
      <c r="B17" s="2342"/>
      <c r="C17" s="2342"/>
      <c r="D17" s="2342"/>
      <c r="E17" s="2343"/>
      <c r="F17" s="635"/>
      <c r="G17" s="1758"/>
      <c r="H17" s="1759"/>
      <c r="I17" s="1759"/>
      <c r="J17" s="1760"/>
      <c r="K17" s="1761"/>
    </row>
    <row r="18" spans="1:15" x14ac:dyDescent="0.2">
      <c r="A18" s="2332" t="s">
        <v>365</v>
      </c>
      <c r="B18" s="2333"/>
      <c r="C18" s="2333"/>
      <c r="D18" s="2333"/>
      <c r="E18" s="2334"/>
      <c r="F18" s="634" t="s">
        <v>926</v>
      </c>
      <c r="G18" s="1752"/>
      <c r="H18" s="1752"/>
      <c r="I18" s="1752"/>
      <c r="J18" s="1744"/>
      <c r="K18" s="1762"/>
    </row>
    <row r="19" spans="1:15" ht="21.75" customHeight="1" x14ac:dyDescent="0.2">
      <c r="A19" s="2355" t="s">
        <v>1786</v>
      </c>
      <c r="B19" s="2355"/>
      <c r="C19" s="2355"/>
      <c r="D19" s="2355"/>
      <c r="E19" s="2356"/>
      <c r="F19" s="634" t="s">
        <v>927</v>
      </c>
      <c r="G19" s="1752"/>
      <c r="H19" s="1752"/>
      <c r="I19" s="1752"/>
      <c r="J19" s="1744"/>
      <c r="K19" s="1762"/>
    </row>
    <row r="20" spans="1:15" x14ac:dyDescent="0.2">
      <c r="A20" s="2332" t="s">
        <v>1791</v>
      </c>
      <c r="B20" s="2333"/>
      <c r="C20" s="2333"/>
      <c r="D20" s="2333"/>
      <c r="E20" s="2334"/>
      <c r="F20" s="634"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4"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t="s">
        <v>2051</v>
      </c>
      <c r="E30" s="647" t="s">
        <v>763</v>
      </c>
      <c r="F30" s="196"/>
      <c r="G30" s="644"/>
    </row>
    <row r="31" spans="1:15" x14ac:dyDescent="0.2">
      <c r="A31" s="648"/>
      <c r="D31" s="231"/>
      <c r="E31" s="649" t="s">
        <v>764</v>
      </c>
      <c r="F31" s="650" t="s">
        <v>536</v>
      </c>
      <c r="G31" s="617"/>
      <c r="H31" s="2350"/>
      <c r="I31" s="2351"/>
      <c r="J31" s="2351"/>
      <c r="K31" s="2351"/>
    </row>
    <row r="32" spans="1:15" x14ac:dyDescent="0.2">
      <c r="A32" s="648"/>
      <c r="B32" s="231"/>
      <c r="C32" s="231"/>
      <c r="D32" s="231"/>
      <c r="E32" s="644"/>
      <c r="F32" s="650" t="s">
        <v>537</v>
      </c>
      <c r="G32" s="617"/>
      <c r="H32" s="2352"/>
      <c r="I32" s="2351"/>
      <c r="J32" s="2351"/>
      <c r="K32" s="2351"/>
    </row>
    <row r="33" spans="1:11" ht="1.5" customHeight="1" x14ac:dyDescent="0.2">
      <c r="A33" s="651" t="s">
        <v>1159</v>
      </c>
      <c r="B33" s="340"/>
      <c r="C33" s="340"/>
      <c r="D33" s="340"/>
      <c r="E33" s="340"/>
      <c r="F33" s="340"/>
      <c r="G33" s="652"/>
      <c r="H33" s="2352"/>
      <c r="I33" s="2351"/>
      <c r="J33" s="2351"/>
      <c r="K33" s="2351"/>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18" t="s">
        <v>538</v>
      </c>
      <c r="B41" s="2319"/>
      <c r="C41" s="2319"/>
      <c r="D41" s="2319"/>
      <c r="E41" s="2319"/>
      <c r="F41" s="2320"/>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sheetPr>
  <dimension ref="A1:N27"/>
  <sheetViews>
    <sheetView showGridLines="0" defaultGridColor="0" colorId="8" zoomScale="90" zoomScaleNormal="90" workbookViewId="0">
      <selection activeCell="C29" sqref="C29"/>
    </sheetView>
  </sheetViews>
  <sheetFormatPr defaultColWidth="9.140625" defaultRowHeight="12.75" x14ac:dyDescent="0.2"/>
  <cols>
    <col min="1" max="1" width="28.85546875" style="647" customWidth="1"/>
    <col min="2" max="2" width="5.855468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9" t="s">
        <v>1875</v>
      </c>
      <c r="B1" s="2360"/>
      <c r="C1" s="2361"/>
      <c r="D1" s="665"/>
      <c r="E1" s="666"/>
      <c r="F1" s="666"/>
      <c r="G1" s="667"/>
      <c r="H1" s="668"/>
      <c r="I1" s="669"/>
      <c r="J1" s="2357"/>
      <c r="K1" s="2358"/>
      <c r="L1" s="2358"/>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200000</v>
      </c>
      <c r="D5" s="1769"/>
      <c r="E5" s="1769"/>
      <c r="F5" s="1764">
        <f>(C5+D5)-E5</f>
        <v>200000</v>
      </c>
      <c r="G5" s="675"/>
      <c r="H5" s="679"/>
      <c r="I5" s="679"/>
      <c r="J5" s="679"/>
      <c r="K5" s="636"/>
      <c r="L5" s="1441">
        <f>F5-K5</f>
        <v>200000</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8656211</v>
      </c>
      <c r="D8" s="1770">
        <v>105742</v>
      </c>
      <c r="E8" s="1770"/>
      <c r="F8" s="1764">
        <f>(C8+D8)-E8</f>
        <v>8761953</v>
      </c>
      <c r="G8" s="680">
        <v>50</v>
      </c>
      <c r="H8" s="618">
        <v>4810010</v>
      </c>
      <c r="I8" s="618">
        <v>194869</v>
      </c>
      <c r="J8" s="618"/>
      <c r="K8" s="1441">
        <f>(H8+I8)-J8</f>
        <v>5004879</v>
      </c>
      <c r="L8" s="1441">
        <f>F8-K8</f>
        <v>3757074</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684059</v>
      </c>
      <c r="D10" s="1771">
        <v>66700</v>
      </c>
      <c r="E10" s="1771"/>
      <c r="F10" s="1772">
        <f>(C10+D10)-E10</f>
        <v>750759</v>
      </c>
      <c r="G10" s="680">
        <v>20</v>
      </c>
      <c r="H10" s="682">
        <v>103925</v>
      </c>
      <c r="I10" s="682">
        <v>21408</v>
      </c>
      <c r="J10" s="682"/>
      <c r="K10" s="1441">
        <f>(H10+I10)-J10</f>
        <v>125333</v>
      </c>
      <c r="L10" s="1441">
        <f>F10-K10</f>
        <v>625426</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1184719</v>
      </c>
      <c r="D12" s="1770">
        <v>0</v>
      </c>
      <c r="E12" s="1770"/>
      <c r="F12" s="1764">
        <f>(C12+D12)-E12</f>
        <v>1184719</v>
      </c>
      <c r="G12" s="680">
        <v>10</v>
      </c>
      <c r="H12" s="618">
        <v>947984</v>
      </c>
      <c r="I12" s="618">
        <v>72053</v>
      </c>
      <c r="J12" s="618"/>
      <c r="K12" s="1441">
        <f>(H12+I12)-J12</f>
        <v>1020037</v>
      </c>
      <c r="L12" s="1441">
        <f>F12-K12</f>
        <v>164682</v>
      </c>
    </row>
    <row r="13" spans="1:14" ht="14.25" thickTop="1" thickBot="1" x14ac:dyDescent="0.25">
      <c r="A13" s="683" t="s">
        <v>1112</v>
      </c>
      <c r="B13" s="678">
        <v>252</v>
      </c>
      <c r="C13" s="1770"/>
      <c r="D13" s="1770"/>
      <c r="E13" s="1770"/>
      <c r="F13" s="1764">
        <f>(C13+D13)-E13</f>
        <v>0</v>
      </c>
      <c r="G13" s="680">
        <v>5</v>
      </c>
      <c r="H13" s="618"/>
      <c r="I13" s="618"/>
      <c r="J13" s="618"/>
      <c r="K13" s="1441">
        <f>(H13+I13)-J13</f>
        <v>0</v>
      </c>
      <c r="L13" s="1441">
        <f>F13-K13</f>
        <v>0</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c r="D15" s="1770">
        <v>481920</v>
      </c>
      <c r="E15" s="1770"/>
      <c r="F15" s="1764">
        <f>(C15+D15)-E15</f>
        <v>481920</v>
      </c>
      <c r="G15" s="684" t="s">
        <v>857</v>
      </c>
      <c r="H15" s="631"/>
      <c r="I15" s="631"/>
      <c r="J15" s="631"/>
      <c r="K15" s="631"/>
      <c r="L15" s="1441">
        <f>F15-K15</f>
        <v>481920</v>
      </c>
    </row>
    <row r="16" spans="1:14" ht="15" customHeight="1" thickTop="1" thickBot="1" x14ac:dyDescent="0.25">
      <c r="A16" s="1437" t="s">
        <v>638</v>
      </c>
      <c r="B16" s="1438">
        <v>200</v>
      </c>
      <c r="C16" s="1764">
        <f>SUM(C3,C5:C6,C8:C10,C12:C15)</f>
        <v>10724989</v>
      </c>
      <c r="D16" s="1764">
        <f>SUM(D3,D5:D6,D8:D10,D12:D15)</f>
        <v>654362</v>
      </c>
      <c r="E16" s="1764">
        <f>SUM(E3,E5:E6,E8:E10,E12:E15)</f>
        <v>0</v>
      </c>
      <c r="F16" s="1764">
        <f>SUM(F3,F5:F6,F8:F10,F12:F15)</f>
        <v>11379351</v>
      </c>
      <c r="G16" s="680"/>
      <c r="H16" s="1434">
        <f>SUM(H3,H6,H8:H10,H12:H14,)</f>
        <v>5861919</v>
      </c>
      <c r="I16" s="1434">
        <f>SUM(I3,I6,I8:I10,I12:I14,)</f>
        <v>288330</v>
      </c>
      <c r="J16" s="1434">
        <f>SUM(J3,J6,J8:J10,J12:J14,)</f>
        <v>0</v>
      </c>
      <c r="K16" s="1434">
        <f>(H16+I16)-J16</f>
        <v>6150249</v>
      </c>
      <c r="L16" s="1434">
        <f>F16-K16</f>
        <v>5229102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x14ac:dyDescent="0.25">
      <c r="A18" s="1439" t="s">
        <v>680</v>
      </c>
      <c r="B18" s="1440"/>
      <c r="C18" s="622"/>
      <c r="D18" s="622"/>
      <c r="E18" s="622"/>
      <c r="F18" s="685"/>
      <c r="G18" s="686"/>
      <c r="H18" s="623"/>
      <c r="I18" s="1434">
        <f>SUM(I16,I17)</f>
        <v>288330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1.1"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14999847407452621"/>
  </sheetPr>
  <dimension ref="A1:I203"/>
  <sheetViews>
    <sheetView showGridLines="0" defaultGridColor="0" topLeftCell="A47" colorId="8" zoomScale="110" zoomScaleNormal="110" workbookViewId="0">
      <selection activeCell="C29" sqref="C29"/>
    </sheetView>
  </sheetViews>
  <sheetFormatPr defaultColWidth="8.85546875" defaultRowHeight="11.25" x14ac:dyDescent="0.2"/>
  <cols>
    <col min="1" max="1" width="22.140625" style="691" customWidth="1"/>
    <col min="2" max="2" width="31.85546875" style="691" customWidth="1"/>
    <col min="3" max="3" width="6.85546875" style="698" customWidth="1"/>
    <col min="4" max="4" width="55.85546875" style="691" customWidth="1"/>
    <col min="5" max="5" width="3.140625" style="698" customWidth="1"/>
    <col min="6" max="6" width="17.42578125" style="691" customWidth="1"/>
    <col min="7" max="7" width="0.85546875" style="691" customWidth="1"/>
    <col min="8" max="8" width="2.140625" style="691" customWidth="1"/>
    <col min="9" max="16384" width="8.85546875" style="691"/>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0"/>
      <c r="I1" s="700"/>
    </row>
    <row r="2" spans="1:9" ht="15" customHeight="1" thickBot="1" x14ac:dyDescent="0.25">
      <c r="A2" s="2368" t="s">
        <v>474</v>
      </c>
      <c r="B2" s="2369"/>
      <c r="C2" s="2369"/>
      <c r="D2" s="2369"/>
      <c r="E2" s="2369"/>
      <c r="F2" s="2370"/>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5174722</v>
      </c>
      <c r="G8" s="700"/>
    </row>
    <row r="9" spans="1:9" x14ac:dyDescent="0.2">
      <c r="A9" s="704" t="s">
        <v>457</v>
      </c>
      <c r="B9" s="705" t="s">
        <v>1848</v>
      </c>
      <c r="C9" s="706"/>
      <c r="D9" s="704" t="s">
        <v>498</v>
      </c>
      <c r="E9" s="703"/>
      <c r="F9" s="1774">
        <f>'Expenditures 15-22'!K151</f>
        <v>1379236</v>
      </c>
      <c r="G9" s="707"/>
    </row>
    <row r="10" spans="1:9" x14ac:dyDescent="0.2">
      <c r="A10" s="704" t="s">
        <v>496</v>
      </c>
      <c r="B10" s="705" t="s">
        <v>1849</v>
      </c>
      <c r="C10" s="706"/>
      <c r="D10" s="704" t="s">
        <v>498</v>
      </c>
      <c r="E10" s="703"/>
      <c r="F10" s="1774">
        <f>'Expenditures 15-22'!K174</f>
        <v>0</v>
      </c>
      <c r="G10" s="707"/>
    </row>
    <row r="11" spans="1:9" x14ac:dyDescent="0.2">
      <c r="A11" s="704" t="s">
        <v>458</v>
      </c>
      <c r="B11" s="705" t="s">
        <v>1850</v>
      </c>
      <c r="C11" s="706"/>
      <c r="D11" s="704" t="s">
        <v>498</v>
      </c>
      <c r="E11" s="703"/>
      <c r="F11" s="1774">
        <f>'Expenditures 15-22'!K210</f>
        <v>98421</v>
      </c>
      <c r="G11" s="707"/>
    </row>
    <row r="12" spans="1:9" x14ac:dyDescent="0.2">
      <c r="A12" s="704" t="s">
        <v>459</v>
      </c>
      <c r="B12" s="705" t="s">
        <v>1851</v>
      </c>
      <c r="C12" s="706"/>
      <c r="D12" s="704" t="s">
        <v>498</v>
      </c>
      <c r="E12" s="703"/>
      <c r="F12" s="1774">
        <f>'Expenditures 15-22'!K295</f>
        <v>150876</v>
      </c>
      <c r="G12" s="707"/>
    </row>
    <row r="13" spans="1:9" x14ac:dyDescent="0.2">
      <c r="A13" s="704" t="s">
        <v>106</v>
      </c>
      <c r="B13" s="705" t="s">
        <v>1852</v>
      </c>
      <c r="C13" s="706"/>
      <c r="D13" s="704" t="s">
        <v>498</v>
      </c>
      <c r="E13" s="703"/>
      <c r="F13" s="1774">
        <f>'Expenditures 15-22'!K342</f>
        <v>53651</v>
      </c>
      <c r="G13" s="708"/>
    </row>
    <row r="14" spans="1:9" ht="12" customHeight="1" thickBot="1" x14ac:dyDescent="0.25">
      <c r="A14" s="1442"/>
      <c r="B14" s="1443"/>
      <c r="C14" s="1444"/>
      <c r="D14" s="1445" t="s">
        <v>498</v>
      </c>
      <c r="E14" s="1446" t="s">
        <v>952</v>
      </c>
      <c r="F14" s="1775">
        <f>SUM(F8:F13)</f>
        <v>6856906</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17137</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4213</v>
      </c>
      <c r="G52" s="700"/>
    </row>
    <row r="53" spans="1:7" x14ac:dyDescent="0.2">
      <c r="A53" s="704" t="s">
        <v>456</v>
      </c>
      <c r="B53" s="704" t="s">
        <v>1458</v>
      </c>
      <c r="C53" s="723">
        <f>'Expenditures 15-22'!B102</f>
        <v>4000</v>
      </c>
      <c r="D53" s="722" t="str">
        <f>'Expenditures 15-22'!A102</f>
        <v>Total Payments to Other Govt Units</v>
      </c>
      <c r="E53" s="703"/>
      <c r="F53" s="1781">
        <f>'Expenditures 15-22'!K102</f>
        <v>771089</v>
      </c>
      <c r="G53" s="700"/>
    </row>
    <row r="54" spans="1:7" x14ac:dyDescent="0.2">
      <c r="A54" s="704" t="s">
        <v>456</v>
      </c>
      <c r="B54" s="704" t="s">
        <v>1459</v>
      </c>
      <c r="C54" s="723" t="s">
        <v>975</v>
      </c>
      <c r="D54" s="719" t="s">
        <v>1086</v>
      </c>
      <c r="E54" s="703"/>
      <c r="F54" s="1781">
        <f>'Expenditures 15-22'!G114</f>
        <v>18297</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689334</v>
      </c>
      <c r="G58" s="700"/>
    </row>
    <row r="59" spans="1:7" x14ac:dyDescent="0.2">
      <c r="A59" s="727" t="s">
        <v>457</v>
      </c>
      <c r="B59" s="691" t="s">
        <v>1855</v>
      </c>
      <c r="C59" s="728" t="s">
        <v>975</v>
      </c>
      <c r="D59" s="691" t="s">
        <v>288</v>
      </c>
      <c r="F59" s="1784">
        <f>'Expenditures 15-22'!I151</f>
        <v>0</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0</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0</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228</v>
      </c>
      <c r="G71" s="700"/>
    </row>
    <row r="72" spans="1:9" x14ac:dyDescent="0.2">
      <c r="A72" s="704" t="s">
        <v>459</v>
      </c>
      <c r="B72" s="704" t="s">
        <v>1867</v>
      </c>
      <c r="C72" s="720">
        <f>'Expenditures 15-22'!B280</f>
        <v>3000</v>
      </c>
      <c r="D72" s="711" t="s">
        <v>446</v>
      </c>
      <c r="E72" s="703"/>
      <c r="F72" s="1781">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1500298</v>
      </c>
      <c r="G77" s="700"/>
    </row>
    <row r="78" spans="1:9" s="727" customFormat="1" ht="12" customHeight="1" thickTop="1" thickBot="1" x14ac:dyDescent="0.25">
      <c r="A78" s="1449"/>
      <c r="B78" s="1447"/>
      <c r="C78" s="1444"/>
      <c r="D78" s="1448" t="s">
        <v>2012</v>
      </c>
      <c r="E78" s="1446"/>
      <c r="F78" s="1787">
        <f>(F14-F77)</f>
        <v>5356608</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405</v>
      </c>
      <c r="G79" s="732"/>
      <c r="H79" s="704"/>
      <c r="I79" s="704"/>
    </row>
    <row r="80" spans="1:9" s="727" customFormat="1" ht="12" customHeight="1" thickBot="1" x14ac:dyDescent="0.25">
      <c r="A80" s="1451"/>
      <c r="B80" s="1447"/>
      <c r="C80" s="1444"/>
      <c r="D80" s="1448" t="s">
        <v>2013</v>
      </c>
      <c r="E80" s="1446" t="s">
        <v>952</v>
      </c>
      <c r="F80" s="1789">
        <f>IF(F79&gt;0,F78/F79," Complete Line 79")</f>
        <v>13226.192592592593</v>
      </c>
      <c r="G80" s="704"/>
    </row>
    <row r="81" spans="1:7" s="727" customFormat="1" ht="8.25" customHeight="1" thickTop="1" x14ac:dyDescent="0.2">
      <c r="A81" s="733"/>
      <c r="B81" s="704"/>
      <c r="C81" s="706"/>
      <c r="D81" s="734"/>
      <c r="E81" s="703"/>
      <c r="F81" s="1790"/>
      <c r="G81" s="704"/>
    </row>
    <row r="82" spans="1:7" s="727" customFormat="1" ht="12" thickBot="1" x14ac:dyDescent="0.25">
      <c r="A82" s="2362" t="s">
        <v>1096</v>
      </c>
      <c r="B82" s="2363"/>
      <c r="C82" s="2363"/>
      <c r="D82" s="2363"/>
      <c r="E82" s="2363"/>
      <c r="F82" s="236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0</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2421</v>
      </c>
      <c r="G95" s="744"/>
    </row>
    <row r="96" spans="1:7" x14ac:dyDescent="0.2">
      <c r="A96" s="740" t="s">
        <v>139</v>
      </c>
      <c r="B96" s="740" t="s">
        <v>174</v>
      </c>
      <c r="C96" s="742">
        <v>1700</v>
      </c>
      <c r="D96" s="750" t="str">
        <f>'Revenues 9-14'!A82</f>
        <v>Total District/School Activity Income</v>
      </c>
      <c r="E96" s="738"/>
      <c r="F96" s="1792">
        <f>SUM('Revenues 9-14'!C82,'Revenues 9-14'!D82)</f>
        <v>393</v>
      </c>
      <c r="G96" s="744"/>
    </row>
    <row r="97" spans="1:7" x14ac:dyDescent="0.2">
      <c r="A97" s="740" t="s">
        <v>456</v>
      </c>
      <c r="B97" s="740" t="s">
        <v>175</v>
      </c>
      <c r="C97" s="742">
        <f>'Revenues 9-14'!B84</f>
        <v>1811</v>
      </c>
      <c r="D97" s="743" t="str">
        <f>'Revenues 9-14'!A84</f>
        <v>Rentals - Regular Textbooks</v>
      </c>
      <c r="E97" s="738"/>
      <c r="F97" s="1792">
        <f>'Revenues 9-14'!C84</f>
        <v>0</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110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15000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18914</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2041</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44973</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73429</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122629</v>
      </c>
      <c r="G126" s="762"/>
    </row>
    <row r="127" spans="1:7" x14ac:dyDescent="0.2">
      <c r="A127" s="759" t="s">
        <v>663</v>
      </c>
      <c r="B127" s="759" t="s">
        <v>1931</v>
      </c>
      <c r="C127" s="764">
        <v>4300</v>
      </c>
      <c r="D127" s="765" t="str">
        <f>'Revenues 9-14'!A204</f>
        <v>Total Title I</v>
      </c>
      <c r="E127" s="738"/>
      <c r="F127" s="1792">
        <f>SUM('Revenues 9-14'!C204,'Revenues 9-14'!D204,'Revenues 9-14'!F204,'Revenues 9-14'!G204)</f>
        <v>93553</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0</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109754</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17794</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15730</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4040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250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8513</v>
      </c>
      <c r="G171" s="759"/>
    </row>
    <row r="172" spans="1:7" x14ac:dyDescent="0.2">
      <c r="A172" s="1528" t="s">
        <v>5</v>
      </c>
      <c r="B172" s="1529" t="s">
        <v>1885</v>
      </c>
      <c r="C172" s="1530">
        <v>3100</v>
      </c>
      <c r="D172" s="1531" t="s">
        <v>1887</v>
      </c>
      <c r="E172" s="738"/>
      <c r="F172" s="1793">
        <v>0</v>
      </c>
      <c r="G172" s="759"/>
    </row>
    <row r="173" spans="1:7" x14ac:dyDescent="0.2">
      <c r="A173" s="1528" t="s">
        <v>659</v>
      </c>
      <c r="B173" s="1529" t="s">
        <v>1885</v>
      </c>
      <c r="C173" s="1530">
        <v>3300</v>
      </c>
      <c r="D173" s="1531" t="s">
        <v>1888</v>
      </c>
      <c r="E173" s="738"/>
      <c r="F173" s="1793">
        <v>0</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529544</v>
      </c>
    </row>
    <row r="176" spans="1:7" ht="12" customHeight="1" x14ac:dyDescent="0.2">
      <c r="A176" s="1442"/>
      <c r="B176" s="1452"/>
      <c r="C176" s="1453"/>
      <c r="D176" s="1454" t="s">
        <v>2014</v>
      </c>
      <c r="E176" s="1455"/>
      <c r="F176" s="1792">
        <f>'PCTC-OEPP 27-28'!F78-F175</f>
        <v>4827064</v>
      </c>
    </row>
    <row r="177" spans="1:9" ht="12" customHeight="1" x14ac:dyDescent="0.2">
      <c r="A177" s="1442"/>
      <c r="B177" s="1452"/>
      <c r="C177" s="1453"/>
      <c r="D177" s="1454" t="s">
        <v>1794</v>
      </c>
      <c r="E177" s="1455"/>
      <c r="F177" s="1792">
        <f>'Cap Outlay Deprec 26'!I18</f>
        <v>288330</v>
      </c>
    </row>
    <row r="178" spans="1:9" ht="12" customHeight="1" x14ac:dyDescent="0.2">
      <c r="A178" s="1442"/>
      <c r="B178" s="1452"/>
      <c r="C178" s="1453"/>
      <c r="D178" s="1454" t="s">
        <v>2015</v>
      </c>
      <c r="E178" s="1455"/>
      <c r="F178" s="1792">
        <f>F176+F177</f>
        <v>5115394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405</v>
      </c>
      <c r="G179" s="762"/>
      <c r="I179" s="700"/>
    </row>
    <row r="180" spans="1:9" ht="12" customHeight="1" thickBot="1" x14ac:dyDescent="0.25">
      <c r="A180" s="1442"/>
      <c r="B180" s="1456"/>
      <c r="C180" s="1453"/>
      <c r="D180" s="1454" t="s">
        <v>2017</v>
      </c>
      <c r="E180" s="1455" t="s">
        <v>1528</v>
      </c>
      <c r="F180" s="1797">
        <f>F178/F179</f>
        <v>12630.602469135802</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70" zoomScaleNormal="70" workbookViewId="0">
      <selection activeCell="C29" sqref="C29"/>
    </sheetView>
  </sheetViews>
  <sheetFormatPr defaultColWidth="9.140625" defaultRowHeight="15" x14ac:dyDescent="0.25"/>
  <cols>
    <col min="1" max="1" width="52" style="1894" customWidth="1"/>
    <col min="2" max="2" width="16.42578125" style="1895" bestFit="1" customWidth="1"/>
    <col min="3" max="3" width="33.85546875" style="1896" customWidth="1"/>
    <col min="4" max="4" width="16.140625" style="1897" customWidth="1"/>
    <col min="5" max="5" width="23.5703125" style="1897" customWidth="1"/>
    <col min="6" max="6" width="23.140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4" t="s">
        <v>2079</v>
      </c>
      <c r="B18" s="1907">
        <v>102520300</v>
      </c>
      <c r="C18" s="2035" t="s">
        <v>2080</v>
      </c>
      <c r="D18" s="1885">
        <v>30560</v>
      </c>
      <c r="E18" s="1905" t="str">
        <f t="shared" ref="E18:E81" si="0">IF(D18&lt;25000,D18,"25,000")</f>
        <v>25,000</v>
      </c>
      <c r="F18" s="1905">
        <f t="shared" ref="F18:F81" si="1">IF(D18&gt;=25000,(D18-E18),"0")</f>
        <v>5560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30560</v>
      </c>
      <c r="E142" s="1892">
        <f>SUM(E18:E141)</f>
        <v>0</v>
      </c>
      <c r="F142" s="1893">
        <f>SUM(F18:F141)</f>
        <v>5560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14999847407452621"/>
  </sheetPr>
  <dimension ref="A1:M46"/>
  <sheetViews>
    <sheetView showGridLines="0" defaultGridColor="0" topLeftCell="A34" colorId="8" zoomScale="110" zoomScaleNormal="110" workbookViewId="0">
      <selection activeCell="C29" sqref="C29"/>
    </sheetView>
  </sheetViews>
  <sheetFormatPr defaultColWidth="9.140625" defaultRowHeight="12.75" x14ac:dyDescent="0.2"/>
  <cols>
    <col min="1" max="1" width="8.140625" style="306" customWidth="1"/>
    <col min="2" max="2" width="46.85546875" style="306" customWidth="1"/>
    <col min="3" max="3" width="8" style="306" customWidth="1"/>
    <col min="4" max="6" width="16.85546875" style="306" customWidth="1"/>
    <col min="7" max="7" width="17.140625" style="306" customWidth="1"/>
    <col min="8" max="8" width="3.85546875" style="306" customWidth="1"/>
    <col min="9" max="9" width="3.140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8" t="s">
        <v>1660</v>
      </c>
      <c r="B5" s="2389"/>
      <c r="C5" s="2389"/>
      <c r="D5" s="2389"/>
      <c r="E5" s="2389"/>
      <c r="F5" s="2389"/>
      <c r="G5" s="2390"/>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c r="F10" s="804"/>
      <c r="G10" s="805"/>
      <c r="H10" s="156"/>
      <c r="I10" s="156"/>
    </row>
    <row r="11" spans="1:13" s="541"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3237735</v>
      </c>
      <c r="F19" s="1801"/>
      <c r="G19" s="1803">
        <f>'Expenditures 15-22'!K33-SUM('Expenditures 15-22'!G33,'Expenditures 15-22'!I33)+'Expenditures 15-22'!D229</f>
        <v>3237735</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198858</v>
      </c>
      <c r="F21" s="1804"/>
      <c r="G21" s="1807">
        <f>'Expenditures 15-22'!K42-SUM('Expenditures 15-22'!G42,'Expenditures 15-22'!I42)+'Expenditures 15-22'!K120-SUM('Expenditures 15-22'!G120,'Expenditures 15-22'!I120)+'Expenditures 15-22'!K180-SUM('Expenditures 15-22'!G180,'Expenditures 15-22'!I180)+'Expenditures 15-22'!D238</f>
        <v>198858</v>
      </c>
      <c r="H21" s="816"/>
      <c r="I21" s="156"/>
    </row>
    <row r="22" spans="1:9" s="541" customFormat="1" ht="12" customHeight="1" x14ac:dyDescent="0.2">
      <c r="A22" s="823" t="s">
        <v>560</v>
      </c>
      <c r="B22" s="824"/>
      <c r="C22" s="822">
        <v>2200</v>
      </c>
      <c r="D22" s="1804"/>
      <c r="E22" s="1806">
        <f>'Expenditures 15-22'!K47-SUM('Expenditures 15-22'!G47,'Expenditures 15-22'!I47)+'Expenditures 15-22'!D243</f>
        <v>152596</v>
      </c>
      <c r="F22" s="1804"/>
      <c r="G22" s="1807">
        <f>'Expenditures 15-22'!K47-SUM('Expenditures 15-22'!G47,'Expenditures 15-22'!I47)+'Expenditures 15-22'!D243</f>
        <v>152596</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512443</v>
      </c>
      <c r="F23" s="1804"/>
      <c r="G23" s="1806">
        <f>'Expenditures 15-22'!K53-SUM('Expenditures 15-22'!G53,'Expenditures 15-22'!I53)+'Expenditures 15-22'!D257+'Expenditures 15-22'!K330-SUM('Expenditures 15-22'!G330,'Expenditures 15-22'!I330)</f>
        <v>512443</v>
      </c>
      <c r="H23" s="816"/>
      <c r="I23" s="156"/>
    </row>
    <row r="24" spans="1:9" s="541" customFormat="1" ht="12" customHeight="1" x14ac:dyDescent="0.2">
      <c r="A24" s="823" t="s">
        <v>562</v>
      </c>
      <c r="B24" s="824"/>
      <c r="C24" s="822">
        <v>2400</v>
      </c>
      <c r="D24" s="1804"/>
      <c r="E24" s="1806">
        <f>'Expenditures 15-22'!K57-SUM('Expenditures 15-22'!G57,'Expenditures 15-22'!I57)+'Expenditures 15-22'!D261</f>
        <v>315264</v>
      </c>
      <c r="F24" s="1804"/>
      <c r="G24" s="1807">
        <f>'Expenditures 15-22'!K57-SUM('Expenditures 15-22'!G57,'Expenditures 15-22'!I57)+'Expenditures 15-22'!D261</f>
        <v>315264</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30560</v>
      </c>
      <c r="E27" s="1806">
        <f>E8</f>
        <v>0</v>
      </c>
      <c r="F27" s="1806">
        <f>'Expenditures 15-22'!K60-SUM('Expenditures 15-22'!G60,'Expenditures 15-22'!I60)+'Expenditures 15-22'!D264-E8</f>
        <v>30560</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737688</v>
      </c>
      <c r="F28" s="1808">
        <f>'Expenditures 15-22'!K61-SUM('Expenditures 15-22'!G61,'Expenditures 15-22'!I61)+'Expenditures 15-22'!K124-SUM('Expenditures 15-22'!G124,'Expenditures 15-22'!I124)+'Expenditures 15-22'!D266-E9</f>
        <v>737688</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101410</v>
      </c>
      <c r="F29" s="1804"/>
      <c r="G29" s="1807">
        <f>'Expenditures 15-22'!K62-SUM('Expenditures 15-22'!G62,'Expenditures 15-22'!I62)+'Expenditures 15-22'!K125-SUM('Expenditures 15-22'!G125,'Expenditures 15-22'!I125)+'Expenditures 15-22'!K182-SUM('Expenditures 15-22'!G182,'Expenditures 15-22'!I182)+'Expenditures 15-22'!D267</f>
        <v>101410</v>
      </c>
      <c r="H29" s="814"/>
    </row>
    <row r="30" spans="1:9" ht="12" customHeight="1" x14ac:dyDescent="0.2">
      <c r="A30" s="823" t="s">
        <v>100</v>
      </c>
      <c r="B30" s="826"/>
      <c r="C30" s="822">
        <v>2560</v>
      </c>
      <c r="D30" s="1804"/>
      <c r="E30" s="1806">
        <f>'Expenditures 15-22'!K63-SUM('Expenditures 15-22'!G63,'Expenditures 15-22'!I63)+'Expenditures 15-22'!D268-E10</f>
        <v>87419</v>
      </c>
      <c r="F30" s="1804"/>
      <c r="G30" s="1806">
        <f>'Expenditures 15-22'!K63-SUM('Expenditures 15-22'!G63,'Expenditures 15-22'!I63)+'Expenditures 15-22'!D268-E10</f>
        <v>87419</v>
      </c>
    </row>
    <row r="31" spans="1:9" ht="12" customHeight="1" x14ac:dyDescent="0.2">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4213</v>
      </c>
      <c r="F39" s="1804"/>
      <c r="G39" s="1806">
        <f>'Expenditures 15-22'!K75-SUM('Expenditures 15-22'!G75,'Expenditures 15-22'!I75)+'Expenditures 15-22'!K130-SUM('Expenditures 15-22'!G130,'Expenditures 15-22'!I130)+'Expenditures 15-22'!K185-SUM('Expenditures 15-22'!G185,'Expenditures 15-22'!I185)+'Expenditures 15-22'!D280</f>
        <v>4213</v>
      </c>
    </row>
    <row r="40" spans="1:7" ht="12" customHeight="1" x14ac:dyDescent="0.2">
      <c r="A40" s="819" t="s">
        <v>1798</v>
      </c>
      <c r="B40" s="820"/>
      <c r="C40" s="822"/>
      <c r="D40" s="1804"/>
      <c r="E40" s="1808">
        <f>-'Contracts Paid in CY 29'!F142</f>
        <v>-5560</v>
      </c>
      <c r="F40" s="1804"/>
      <c r="G40" s="1808">
        <f>-'Contracts Paid in CY 29'!F142</f>
        <v>-5560</v>
      </c>
    </row>
    <row r="41" spans="1:7" ht="12" customHeight="1" x14ac:dyDescent="0.2">
      <c r="A41" s="827" t="s">
        <v>155</v>
      </c>
      <c r="B41" s="828"/>
      <c r="C41" s="829"/>
      <c r="D41" s="1808">
        <f>SUM(D19:D39)</f>
        <v>30560</v>
      </c>
      <c r="E41" s="1808">
        <f>SUM(E19:E40)</f>
        <v>5342066</v>
      </c>
      <c r="F41" s="1808">
        <f>SUM(F19:F39)</f>
        <v>768248</v>
      </c>
      <c r="G41" s="1808">
        <f>SUM(G19:G40)</f>
        <v>4604378</v>
      </c>
    </row>
    <row r="42" spans="1:7" x14ac:dyDescent="0.2">
      <c r="A42" s="816"/>
      <c r="B42" s="156"/>
      <c r="C42" s="830"/>
      <c r="D42" s="2391" t="s">
        <v>519</v>
      </c>
      <c r="E42" s="2392"/>
      <c r="F42" s="831" t="s">
        <v>520</v>
      </c>
      <c r="G42" s="832"/>
    </row>
    <row r="43" spans="1:7" ht="12" customHeight="1" x14ac:dyDescent="0.2">
      <c r="A43" s="816"/>
      <c r="B43" s="156"/>
      <c r="C43" s="830"/>
      <c r="D43" s="1457" t="s">
        <v>470</v>
      </c>
      <c r="E43" s="1809">
        <f>D41</f>
        <v>30560</v>
      </c>
      <c r="F43" s="1457" t="s">
        <v>470</v>
      </c>
      <c r="G43" s="1809">
        <f>F41</f>
        <v>768248</v>
      </c>
    </row>
    <row r="44" spans="1:7" ht="12" customHeight="1" x14ac:dyDescent="0.2">
      <c r="A44" s="816"/>
      <c r="B44" s="156"/>
      <c r="C44" s="830"/>
      <c r="D44" s="1457" t="s">
        <v>471</v>
      </c>
      <c r="E44" s="1809">
        <f>E41</f>
        <v>5342066</v>
      </c>
      <c r="F44" s="1457" t="s">
        <v>471</v>
      </c>
      <c r="G44" s="1809">
        <f>G41</f>
        <v>4604378</v>
      </c>
    </row>
    <row r="45" spans="1:7" ht="12" customHeight="1" x14ac:dyDescent="0.2">
      <c r="A45" s="816"/>
      <c r="B45" s="156"/>
      <c r="C45" s="156"/>
      <c r="D45" s="1458" t="s">
        <v>999</v>
      </c>
      <c r="E45" s="1810">
        <f>(E43/E44)</f>
        <v>5.7206331782497632E-3</v>
      </c>
      <c r="F45" s="1458" t="s">
        <v>999</v>
      </c>
      <c r="G45" s="1810">
        <f>(G43/G44)</f>
        <v>0.16685163555207674</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14999847407452621"/>
  </sheetPr>
  <dimension ref="A1:O97"/>
  <sheetViews>
    <sheetView showGridLines="0" topLeftCell="A19" zoomScale="90" zoomScaleNormal="90" workbookViewId="0">
      <selection activeCell="E51" sqref="E5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Central Stickney SD 110</v>
      </c>
      <c r="D6" s="2403"/>
      <c r="E6" s="2403"/>
      <c r="F6" s="1481"/>
      <c r="G6" s="1506"/>
      <c r="L6" s="1506"/>
      <c r="M6" s="1854"/>
      <c r="N6" s="1854"/>
      <c r="O6" s="1854"/>
    </row>
    <row r="7" spans="1:15" ht="11.25" customHeight="1" thickBot="1" x14ac:dyDescent="0.3">
      <c r="A7" s="1479"/>
      <c r="B7" s="1480"/>
      <c r="C7" s="2404">
        <f>COVER!A13</f>
        <v>7016110002</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t="s">
        <v>2051</v>
      </c>
      <c r="D20" s="1494" t="s">
        <v>2051</v>
      </c>
      <c r="E20" s="1497" t="s">
        <v>2078</v>
      </c>
      <c r="F20" s="1496" t="s">
        <v>2075</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fitToPage="1"/>
  </sheetPr>
  <dimension ref="A1:N83"/>
  <sheetViews>
    <sheetView showGridLines="0" zoomScale="80" zoomScaleNormal="80" workbookViewId="0">
      <selection activeCell="N18" sqref="N18"/>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140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855468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7"/>
      <c r="C2" s="837"/>
      <c r="D2" s="837"/>
      <c r="E2" s="837"/>
      <c r="F2" s="837"/>
      <c r="G2" s="1922" t="s">
        <v>2002</v>
      </c>
      <c r="H2" s="1919"/>
      <c r="I2" s="837"/>
      <c r="J2" s="837"/>
      <c r="K2" s="837"/>
      <c r="L2" s="837"/>
      <c r="M2" s="837"/>
      <c r="N2" s="1997"/>
    </row>
    <row r="3" spans="1:14" x14ac:dyDescent="0.2">
      <c r="A3" s="1996"/>
      <c r="B3" s="837"/>
      <c r="C3" s="837"/>
      <c r="D3" s="837"/>
      <c r="E3" s="837"/>
      <c r="F3" s="837"/>
      <c r="G3" s="1922" t="s">
        <v>403</v>
      </c>
      <c r="H3" s="837"/>
      <c r="I3" s="837"/>
      <c r="J3" s="837"/>
      <c r="K3" s="837"/>
      <c r="L3" s="837"/>
      <c r="M3" s="837"/>
      <c r="N3" s="1997"/>
    </row>
    <row r="4" spans="1:14" x14ac:dyDescent="0.2">
      <c r="A4" s="1996"/>
      <c r="B4" s="837"/>
      <c r="C4" s="837"/>
      <c r="D4" s="837"/>
      <c r="E4" s="837"/>
      <c r="F4" s="837"/>
      <c r="G4" s="1922" t="s">
        <v>863</v>
      </c>
      <c r="H4" s="837"/>
      <c r="I4" s="837"/>
      <c r="J4" s="837"/>
      <c r="K4" s="837"/>
      <c r="L4" s="837"/>
      <c r="M4" s="837"/>
      <c r="N4" s="1997"/>
    </row>
    <row r="5" spans="1:14" x14ac:dyDescent="0.2">
      <c r="A5" s="1996"/>
      <c r="B5" s="837"/>
      <c r="C5" s="837"/>
      <c r="D5" s="837"/>
      <c r="E5" s="837"/>
      <c r="F5" s="1922"/>
      <c r="G5" s="1922"/>
      <c r="H5" s="837"/>
      <c r="I5" s="837"/>
      <c r="J5" s="837"/>
      <c r="K5" s="837"/>
      <c r="L5" s="837"/>
      <c r="M5" s="837"/>
      <c r="N5" s="1997"/>
    </row>
    <row r="6" spans="1:14" x14ac:dyDescent="0.2">
      <c r="A6" s="1998" t="s">
        <v>667</v>
      </c>
      <c r="B6" s="1376"/>
      <c r="C6" s="1376"/>
      <c r="D6" s="1376"/>
      <c r="E6" s="1377"/>
      <c r="F6" s="1921"/>
      <c r="G6" s="1922"/>
      <c r="H6" s="837"/>
      <c r="I6" s="1923" t="s">
        <v>1021</v>
      </c>
      <c r="J6" s="2419" t="str">
        <f>COVER!A17</f>
        <v xml:space="preserve">   Central Stickney SD 110</v>
      </c>
      <c r="K6" s="2419"/>
      <c r="L6" s="2420"/>
      <c r="M6" s="837"/>
      <c r="N6" s="1997"/>
    </row>
    <row r="7" spans="1:14" x14ac:dyDescent="0.2">
      <c r="A7" s="2421" t="s">
        <v>864</v>
      </c>
      <c r="B7" s="2422"/>
      <c r="C7" s="2422"/>
      <c r="D7" s="2422"/>
      <c r="E7" s="2423"/>
      <c r="F7" s="838"/>
      <c r="G7" s="837"/>
      <c r="H7" s="837"/>
      <c r="I7" s="1923" t="s">
        <v>369</v>
      </c>
      <c r="J7" s="2424">
        <f>COVER!A13</f>
        <v>7016110002</v>
      </c>
      <c r="K7" s="2424"/>
      <c r="L7" s="2424"/>
      <c r="M7" s="837"/>
      <c r="N7" s="1997"/>
    </row>
    <row r="8" spans="1:14" x14ac:dyDescent="0.2">
      <c r="A8" s="1999"/>
      <c r="B8" s="1924"/>
      <c r="C8" s="1924"/>
      <c r="D8" s="1924"/>
      <c r="E8" s="1925"/>
      <c r="F8" s="1926"/>
      <c r="G8" s="1911"/>
      <c r="H8" s="1911"/>
      <c r="I8" s="1911"/>
      <c r="J8" s="1911"/>
      <c r="K8" s="1911"/>
      <c r="L8" s="1911"/>
      <c r="M8" s="837"/>
      <c r="N8" s="1997"/>
    </row>
    <row r="9" spans="1:14" x14ac:dyDescent="0.2">
      <c r="A9" s="2000"/>
      <c r="B9" s="839"/>
      <c r="C9" s="839"/>
      <c r="D9" s="840"/>
      <c r="E9" s="1927" t="s">
        <v>2018</v>
      </c>
      <c r="F9" s="1856"/>
      <c r="G9" s="1856"/>
      <c r="H9" s="1856"/>
      <c r="I9" s="1928" t="s">
        <v>2019</v>
      </c>
      <c r="J9" s="1856"/>
      <c r="K9" s="1856"/>
      <c r="L9" s="1857"/>
      <c r="M9" s="837"/>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7"/>
      <c r="N10" s="1997"/>
    </row>
    <row r="11" spans="1:14" ht="51" x14ac:dyDescent="0.2">
      <c r="A11" s="2425" t="s">
        <v>478</v>
      </c>
      <c r="B11" s="2426"/>
      <c r="C11" s="2427"/>
      <c r="D11" s="1936" t="s">
        <v>866</v>
      </c>
      <c r="E11" s="1936" t="s">
        <v>64</v>
      </c>
      <c r="F11" s="1936" t="s">
        <v>6</v>
      </c>
      <c r="G11" s="1937" t="s">
        <v>2020</v>
      </c>
      <c r="H11" s="1938" t="s">
        <v>155</v>
      </c>
      <c r="I11" s="1936" t="s">
        <v>64</v>
      </c>
      <c r="J11" s="1936" t="s">
        <v>6</v>
      </c>
      <c r="K11" s="1937" t="s">
        <v>2001</v>
      </c>
      <c r="L11" s="1938" t="s">
        <v>155</v>
      </c>
      <c r="M11" s="837"/>
      <c r="N11" s="1997"/>
    </row>
    <row r="12" spans="1:14" x14ac:dyDescent="0.2">
      <c r="A12" s="2002">
        <v>1</v>
      </c>
      <c r="B12" s="1939" t="s">
        <v>813</v>
      </c>
      <c r="C12" s="841"/>
      <c r="D12" s="1940">
        <v>2320</v>
      </c>
      <c r="E12" s="1943">
        <f>'Expenditures 15-22'!K50</f>
        <v>198351</v>
      </c>
      <c r="F12" s="1941"/>
      <c r="G12" s="1967">
        <f>G68</f>
        <v>0</v>
      </c>
      <c r="H12" s="1943">
        <f t="shared" ref="H12:H18" si="0">SUM(E12:G12)</f>
        <v>198351</v>
      </c>
      <c r="I12" s="1942">
        <v>220009</v>
      </c>
      <c r="J12" s="1941"/>
      <c r="K12" s="1942"/>
      <c r="L12" s="1943">
        <f t="shared" ref="L12:L18" si="1">SUM(I12:K12)</f>
        <v>220009</v>
      </c>
      <c r="M12" s="837"/>
      <c r="N12" s="1997"/>
    </row>
    <row r="13" spans="1:14" x14ac:dyDescent="0.2">
      <c r="A13" s="2002">
        <v>2</v>
      </c>
      <c r="B13" s="1939" t="s">
        <v>42</v>
      </c>
      <c r="C13" s="841"/>
      <c r="D13" s="1940">
        <v>2330</v>
      </c>
      <c r="E13" s="1943">
        <f>'Expenditures 15-22'!K51</f>
        <v>175285</v>
      </c>
      <c r="F13" s="1941"/>
      <c r="G13" s="1967">
        <f>H68</f>
        <v>0</v>
      </c>
      <c r="H13" s="1943">
        <f t="shared" si="0"/>
        <v>175285</v>
      </c>
      <c r="I13" s="1942">
        <v>95241</v>
      </c>
      <c r="J13" s="1941"/>
      <c r="K13" s="1942"/>
      <c r="L13" s="1943">
        <f t="shared" si="1"/>
        <v>95241</v>
      </c>
      <c r="M13" s="837"/>
      <c r="N13" s="1997"/>
    </row>
    <row r="14" spans="1:14" x14ac:dyDescent="0.2">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x14ac:dyDescent="0.2">
      <c r="A15" s="2002">
        <v>4</v>
      </c>
      <c r="B15" s="1939" t="s">
        <v>1059</v>
      </c>
      <c r="C15" s="841"/>
      <c r="D15" s="1940">
        <v>2510</v>
      </c>
      <c r="E15" s="1943">
        <f>'Expenditures 15-22'!K59</f>
        <v>0</v>
      </c>
      <c r="F15" s="1943">
        <f>'Expenditures 15-22'!K122</f>
        <v>0</v>
      </c>
      <c r="G15" s="1967">
        <f>J68</f>
        <v>0</v>
      </c>
      <c r="H15" s="1943">
        <f t="shared" si="0"/>
        <v>0</v>
      </c>
      <c r="I15" s="1942"/>
      <c r="J15" s="1942"/>
      <c r="K15" s="1942"/>
      <c r="L15" s="1943">
        <f t="shared" si="1"/>
        <v>0</v>
      </c>
      <c r="M15" s="837"/>
      <c r="N15" s="1997"/>
    </row>
    <row r="16" spans="1:14" x14ac:dyDescent="0.2">
      <c r="A16" s="2002">
        <v>5</v>
      </c>
      <c r="B16" s="1939" t="s">
        <v>101</v>
      </c>
      <c r="C16" s="841"/>
      <c r="D16" s="1940">
        <v>2570</v>
      </c>
      <c r="E16" s="1943">
        <f>'Expenditures 15-22'!K64</f>
        <v>0</v>
      </c>
      <c r="F16" s="1941"/>
      <c r="G16" s="1967">
        <f>K68</f>
        <v>0</v>
      </c>
      <c r="H16" s="1943">
        <f t="shared" si="0"/>
        <v>0</v>
      </c>
      <c r="I16" s="1942"/>
      <c r="J16" s="1941"/>
      <c r="K16" s="1942"/>
      <c r="L16" s="1943">
        <f t="shared" si="1"/>
        <v>0</v>
      </c>
      <c r="M16" s="837"/>
      <c r="N16" s="1997"/>
    </row>
    <row r="17" spans="1:14" x14ac:dyDescent="0.2">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x14ac:dyDescent="0.2">
      <c r="A18" s="2003">
        <v>7</v>
      </c>
      <c r="B18" s="2428" t="s">
        <v>7</v>
      </c>
      <c r="C18" s="2429"/>
      <c r="D18" s="2430"/>
      <c r="E18" s="1945"/>
      <c r="F18" s="1945"/>
      <c r="G18" s="1942"/>
      <c r="H18" s="1946">
        <f t="shared" si="0"/>
        <v>0</v>
      </c>
      <c r="I18" s="1942"/>
      <c r="J18" s="1942"/>
      <c r="K18" s="1942"/>
      <c r="L18" s="1943">
        <f t="shared" si="1"/>
        <v>0</v>
      </c>
      <c r="M18" s="837"/>
      <c r="N18" s="1997"/>
    </row>
    <row r="19" spans="1:14" ht="13.5" thickBot="1" x14ac:dyDescent="0.25">
      <c r="A19" s="2002">
        <v>8</v>
      </c>
      <c r="B19" s="1947" t="s">
        <v>1151</v>
      </c>
      <c r="C19" s="837"/>
      <c r="D19" s="1948"/>
      <c r="E19" s="1949">
        <f t="shared" ref="E19:L19" si="2">SUM(E12:E17)-E18</f>
        <v>373636</v>
      </c>
      <c r="F19" s="1949">
        <f t="shared" si="2"/>
        <v>0</v>
      </c>
      <c r="G19" s="1949">
        <f t="shared" ref="G19" si="3">SUM(G12:G17)-G18</f>
        <v>0</v>
      </c>
      <c r="H19" s="1949">
        <f t="shared" si="2"/>
        <v>373636</v>
      </c>
      <c r="I19" s="1949">
        <f t="shared" si="2"/>
        <v>315250</v>
      </c>
      <c r="J19" s="1949">
        <f t="shared" si="2"/>
        <v>0</v>
      </c>
      <c r="K19" s="1949">
        <f t="shared" si="2"/>
        <v>0</v>
      </c>
      <c r="L19" s="1949">
        <f t="shared" si="2"/>
        <v>315250</v>
      </c>
      <c r="M19" s="837"/>
      <c r="N19" s="1997"/>
    </row>
    <row r="20" spans="1:14" ht="13.5" thickTop="1" x14ac:dyDescent="0.2">
      <c r="A20" s="2002">
        <v>9</v>
      </c>
      <c r="B20" s="2431" t="s">
        <v>2021</v>
      </c>
      <c r="C20" s="2431"/>
      <c r="D20" s="2432"/>
      <c r="E20" s="1950"/>
      <c r="F20" s="1950"/>
      <c r="G20" s="1950"/>
      <c r="H20" s="1950"/>
      <c r="I20" s="1950"/>
      <c r="J20" s="1950"/>
      <c r="K20" s="1950"/>
      <c r="L20" s="1951">
        <f>IF(AND(H19&gt;0,L19&gt;0),(((L19-H19)/H19)),"Enter Budget Data")</f>
        <v>-0.15626438565876949</v>
      </c>
      <c r="M20" s="837"/>
      <c r="N20" s="1997"/>
    </row>
    <row r="21" spans="1:14" x14ac:dyDescent="0.2">
      <c r="A21" s="2004" t="s">
        <v>194</v>
      </c>
      <c r="B21" s="2005" t="s">
        <v>2046</v>
      </c>
      <c r="C21" s="837"/>
      <c r="D21" s="1952"/>
      <c r="E21" s="1953"/>
      <c r="F21" s="1954"/>
      <c r="G21" s="1954"/>
      <c r="H21" s="1954"/>
      <c r="I21" s="1954"/>
      <c r="J21" s="1954"/>
      <c r="K21" s="1954"/>
      <c r="L21" s="1955"/>
      <c r="M21" s="837"/>
      <c r="N21" s="1997"/>
    </row>
    <row r="22" spans="1:14" x14ac:dyDescent="0.2">
      <c r="A22" s="1996"/>
      <c r="B22" s="2006"/>
      <c r="C22" s="837"/>
      <c r="D22" s="837"/>
      <c r="E22" s="837"/>
      <c r="F22" s="837"/>
      <c r="G22" s="837"/>
      <c r="H22" s="837"/>
      <c r="I22" s="837"/>
      <c r="J22" s="837"/>
      <c r="K22" s="837"/>
      <c r="L22" s="837"/>
      <c r="M22" s="837"/>
      <c r="N22" s="1997"/>
    </row>
    <row r="23" spans="1:14" x14ac:dyDescent="0.2">
      <c r="A23" s="2007" t="s">
        <v>132</v>
      </c>
      <c r="B23" s="2006"/>
      <c r="C23" s="837"/>
      <c r="D23" s="837"/>
      <c r="E23" s="837"/>
      <c r="F23" s="837"/>
      <c r="G23" s="837"/>
      <c r="H23" s="837"/>
      <c r="I23" s="837"/>
      <c r="J23" s="837"/>
      <c r="K23" s="837"/>
      <c r="L23" s="837"/>
      <c r="M23" s="837"/>
      <c r="N23" s="1997"/>
    </row>
    <row r="24" spans="1:14" x14ac:dyDescent="0.2">
      <c r="A24" s="2008" t="s">
        <v>2022</v>
      </c>
      <c r="B24" s="2009"/>
      <c r="C24" s="2010"/>
      <c r="D24" s="2010"/>
      <c r="E24" s="2010"/>
      <c r="F24" s="2010"/>
      <c r="G24" s="2010"/>
      <c r="H24" s="2010"/>
      <c r="I24" s="2010"/>
      <c r="J24" s="2010"/>
      <c r="K24" s="2010"/>
      <c r="L24" s="837"/>
      <c r="M24" s="837"/>
      <c r="N24" s="1997"/>
    </row>
    <row r="25" spans="1:14" x14ac:dyDescent="0.2">
      <c r="A25" s="2008" t="s">
        <v>2023</v>
      </c>
      <c r="B25" s="2009"/>
      <c r="C25" s="2010"/>
      <c r="D25" s="2010"/>
      <c r="E25" s="2010"/>
      <c r="F25" s="2010"/>
      <c r="G25" s="2010"/>
      <c r="H25" s="2010"/>
      <c r="I25" s="2010"/>
      <c r="J25" s="2010"/>
      <c r="K25" s="2010"/>
      <c r="L25" s="837"/>
      <c r="M25" s="837"/>
      <c r="N25" s="1997"/>
    </row>
    <row r="26" spans="1:14" x14ac:dyDescent="0.2">
      <c r="A26" s="2011"/>
      <c r="B26" s="2006"/>
      <c r="C26" s="837"/>
      <c r="D26" s="837"/>
      <c r="E26" s="837"/>
      <c r="F26" s="837"/>
      <c r="G26" s="837"/>
      <c r="H26" s="837"/>
      <c r="I26" s="837"/>
      <c r="J26" s="837"/>
      <c r="K26" s="837"/>
      <c r="L26" s="837"/>
      <c r="M26" s="837"/>
      <c r="N26" s="1997"/>
    </row>
    <row r="27" spans="1:14" x14ac:dyDescent="0.2">
      <c r="A27" s="1996"/>
      <c r="B27" s="2006"/>
      <c r="C27" s="2433"/>
      <c r="D27" s="2433"/>
      <c r="E27" s="842"/>
      <c r="F27" s="2434"/>
      <c r="G27" s="2434"/>
      <c r="H27" s="2434"/>
      <c r="I27" s="837"/>
      <c r="J27" s="837"/>
      <c r="K27" s="837"/>
      <c r="L27" s="837"/>
      <c r="M27" s="837"/>
      <c r="N27" s="1997"/>
    </row>
    <row r="28" spans="1:14" x14ac:dyDescent="0.2">
      <c r="A28" s="1996"/>
      <c r="B28" s="2006"/>
      <c r="C28" s="1956" t="s">
        <v>1026</v>
      </c>
      <c r="D28" s="843"/>
      <c r="E28" s="1957"/>
      <c r="F28" s="2435" t="s">
        <v>1492</v>
      </c>
      <c r="G28" s="2435"/>
      <c r="H28" s="2435"/>
      <c r="I28" s="837"/>
      <c r="J28" s="837"/>
      <c r="K28" s="837"/>
      <c r="L28" s="837"/>
      <c r="M28" s="837"/>
      <c r="N28" s="1997"/>
    </row>
    <row r="29" spans="1:14" x14ac:dyDescent="0.2">
      <c r="A29" s="1996"/>
      <c r="B29" s="2006"/>
      <c r="C29" s="2436"/>
      <c r="D29" s="2436"/>
      <c r="E29" s="844"/>
      <c r="F29" s="2436"/>
      <c r="G29" s="2436"/>
      <c r="H29" s="2436"/>
      <c r="I29" s="837"/>
      <c r="J29" s="837"/>
      <c r="K29" s="837"/>
      <c r="L29" s="837"/>
      <c r="M29" s="837"/>
      <c r="N29" s="1997"/>
    </row>
    <row r="30" spans="1:14" x14ac:dyDescent="0.2">
      <c r="A30" s="1996"/>
      <c r="B30" s="2006"/>
      <c r="C30" s="1959" t="s">
        <v>1544</v>
      </c>
      <c r="D30" s="837"/>
      <c r="E30" s="1958"/>
      <c r="F30" s="2418" t="s">
        <v>1493</v>
      </c>
      <c r="G30" s="2418"/>
      <c r="H30" s="2418"/>
      <c r="I30" s="837"/>
      <c r="J30" s="837"/>
      <c r="K30" s="837"/>
      <c r="L30" s="837"/>
      <c r="M30" s="837"/>
      <c r="N30" s="1997"/>
    </row>
    <row r="31" spans="1:14" x14ac:dyDescent="0.2">
      <c r="A31" s="1996"/>
      <c r="B31" s="2006"/>
      <c r="C31" s="2012"/>
      <c r="D31" s="837"/>
      <c r="E31" s="1952"/>
      <c r="F31" s="1953"/>
      <c r="G31" s="1953"/>
      <c r="H31" s="1953"/>
      <c r="I31" s="837"/>
      <c r="J31" s="837"/>
      <c r="K31" s="837"/>
      <c r="L31" s="837"/>
      <c r="M31" s="837"/>
      <c r="N31" s="1997"/>
    </row>
    <row r="32" spans="1:14" x14ac:dyDescent="0.2">
      <c r="A32" s="1996"/>
      <c r="B32" s="2013" t="s">
        <v>1027</v>
      </c>
      <c r="C32" s="837"/>
      <c r="D32" s="837"/>
      <c r="E32" s="837"/>
      <c r="F32" s="837"/>
      <c r="G32" s="837"/>
      <c r="H32" s="837"/>
      <c r="I32" s="837"/>
      <c r="J32" s="837"/>
      <c r="K32" s="837"/>
      <c r="L32" s="837"/>
      <c r="M32" s="837"/>
      <c r="N32" s="1997"/>
    </row>
    <row r="33" spans="1:14" x14ac:dyDescent="0.2">
      <c r="A33" s="1996"/>
      <c r="B33" s="2014"/>
      <c r="C33" s="837"/>
      <c r="D33" s="837"/>
      <c r="E33" s="837"/>
      <c r="F33" s="837"/>
      <c r="G33" s="837"/>
      <c r="H33" s="837"/>
      <c r="I33" s="837"/>
      <c r="J33" s="837"/>
      <c r="K33" s="837"/>
      <c r="L33" s="837"/>
      <c r="M33" s="837"/>
      <c r="N33" s="1997"/>
    </row>
    <row r="34" spans="1:14" x14ac:dyDescent="0.2">
      <c r="A34" s="1996"/>
      <c r="B34" s="845"/>
      <c r="C34" s="2439" t="s">
        <v>2024</v>
      </c>
      <c r="D34" s="2440"/>
      <c r="E34" s="2440"/>
      <c r="F34" s="2440"/>
      <c r="G34" s="2440"/>
      <c r="H34" s="2440"/>
      <c r="I34" s="2440"/>
      <c r="J34" s="2440"/>
      <c r="K34" s="2015"/>
      <c r="L34" s="837"/>
      <c r="M34" s="837"/>
      <c r="N34" s="1997"/>
    </row>
    <row r="35" spans="1:14" x14ac:dyDescent="0.2">
      <c r="A35" s="1996"/>
      <c r="B35" s="837"/>
      <c r="C35" s="2440"/>
      <c r="D35" s="2440"/>
      <c r="E35" s="2440"/>
      <c r="F35" s="2440"/>
      <c r="G35" s="2440"/>
      <c r="H35" s="2440"/>
      <c r="I35" s="2440"/>
      <c r="J35" s="2440"/>
      <c r="K35" s="2015"/>
      <c r="L35" s="837"/>
      <c r="M35" s="837"/>
      <c r="N35" s="1997"/>
    </row>
    <row r="36" spans="1:14" x14ac:dyDescent="0.2">
      <c r="A36" s="1996"/>
      <c r="B36" s="837"/>
      <c r="C36" s="2016"/>
      <c r="D36" s="837"/>
      <c r="E36" s="837"/>
      <c r="F36" s="837"/>
      <c r="G36" s="837"/>
      <c r="H36" s="837"/>
      <c r="I36" s="837"/>
      <c r="J36" s="837"/>
      <c r="K36" s="837"/>
      <c r="L36" s="837"/>
      <c r="M36" s="837"/>
      <c r="N36" s="1997"/>
    </row>
    <row r="37" spans="1:14" x14ac:dyDescent="0.2">
      <c r="A37" s="1996"/>
      <c r="B37" s="845"/>
      <c r="C37" s="2439" t="s">
        <v>2025</v>
      </c>
      <c r="D37" s="2440"/>
      <c r="E37" s="2440"/>
      <c r="F37" s="2440"/>
      <c r="G37" s="2440"/>
      <c r="H37" s="2440"/>
      <c r="I37" s="2440"/>
      <c r="J37" s="2440"/>
      <c r="K37" s="2015"/>
      <c r="L37" s="2017"/>
      <c r="M37" s="837"/>
      <c r="N37" s="1997"/>
    </row>
    <row r="38" spans="1:14" x14ac:dyDescent="0.2">
      <c r="A38" s="1996"/>
      <c r="B38" s="837"/>
      <c r="C38" s="2440"/>
      <c r="D38" s="2440"/>
      <c r="E38" s="2440"/>
      <c r="F38" s="2440"/>
      <c r="G38" s="2440"/>
      <c r="H38" s="2440"/>
      <c r="I38" s="2440"/>
      <c r="J38" s="2440"/>
      <c r="K38" s="2015"/>
      <c r="L38" s="2017"/>
      <c r="M38" s="837"/>
      <c r="N38" s="1997"/>
    </row>
    <row r="39" spans="1:14" x14ac:dyDescent="0.2">
      <c r="A39" s="1996"/>
      <c r="B39" s="837"/>
      <c r="C39" s="2016"/>
      <c r="D39" s="837"/>
      <c r="E39" s="1960"/>
      <c r="F39" s="1961"/>
      <c r="G39" s="1961"/>
      <c r="H39" s="1960"/>
      <c r="I39" s="837"/>
      <c r="J39" s="837"/>
      <c r="K39" s="837"/>
      <c r="L39" s="837"/>
      <c r="M39" s="837"/>
      <c r="N39" s="1997"/>
    </row>
    <row r="40" spans="1:14" x14ac:dyDescent="0.2">
      <c r="A40" s="1996"/>
      <c r="B40" s="845" t="s">
        <v>2051</v>
      </c>
      <c r="C40" s="2441" t="s">
        <v>2026</v>
      </c>
      <c r="D40" s="2442"/>
      <c r="E40" s="2442"/>
      <c r="F40" s="2442"/>
      <c r="G40" s="2442"/>
      <c r="H40" s="2442"/>
      <c r="I40" s="2442"/>
      <c r="J40" s="2442"/>
      <c r="K40" s="1962"/>
      <c r="L40" s="837"/>
      <c r="M40" s="837"/>
      <c r="N40" s="1997"/>
    </row>
    <row r="41" spans="1:14" x14ac:dyDescent="0.2">
      <c r="A41" s="1996"/>
      <c r="B41" s="837"/>
      <c r="C41" s="2018"/>
      <c r="D41" s="2018"/>
      <c r="E41" s="2018"/>
      <c r="F41" s="2018"/>
      <c r="G41" s="2018"/>
      <c r="H41" s="2018"/>
      <c r="I41" s="2018"/>
      <c r="J41" s="2018"/>
      <c r="K41" s="2018"/>
      <c r="L41" s="837"/>
      <c r="M41" s="837"/>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19" t="str">
        <f>J6</f>
        <v xml:space="preserve">   Central Stickney SD 110</v>
      </c>
      <c r="M52" s="2419"/>
      <c r="N52" s="2449"/>
    </row>
    <row r="53" spans="1:14" x14ac:dyDescent="0.2">
      <c r="A53" s="1981"/>
      <c r="B53" s="1982"/>
      <c r="C53" s="1982"/>
      <c r="D53" s="1982"/>
      <c r="E53" s="1982"/>
      <c r="F53" s="1982"/>
      <c r="G53" s="1982"/>
      <c r="H53" s="1982"/>
      <c r="I53" s="1982"/>
      <c r="J53" s="1982"/>
      <c r="K53" s="1923" t="s">
        <v>369</v>
      </c>
      <c r="L53" s="2424">
        <f>J7</f>
        <v>7016110002</v>
      </c>
      <c r="M53" s="2424"/>
      <c r="N53" s="245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1"/>
      <c r="B55" s="2452"/>
      <c r="C55" s="2452"/>
      <c r="D55" s="1969"/>
      <c r="E55" s="1969"/>
      <c r="F55" s="1969"/>
      <c r="G55" s="2453" t="s">
        <v>2030</v>
      </c>
      <c r="H55" s="2453"/>
      <c r="I55" s="2453"/>
      <c r="J55" s="2453"/>
      <c r="K55" s="2453"/>
      <c r="L55" s="2453"/>
      <c r="M55" s="2453"/>
      <c r="N55" s="2454"/>
    </row>
    <row r="56" spans="1:14" ht="63.75" x14ac:dyDescent="0.2">
      <c r="A56" s="2455" t="s">
        <v>2031</v>
      </c>
      <c r="B56" s="2456"/>
      <c r="C56" s="245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58" t="s">
        <v>296</v>
      </c>
      <c r="B57" s="2459"/>
      <c r="C57" s="245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7" t="s">
        <v>2041</v>
      </c>
      <c r="B58" s="2438"/>
      <c r="C58" s="2438"/>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60" t="s">
        <v>297</v>
      </c>
      <c r="B59" s="2461"/>
      <c r="C59" s="246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0" t="s">
        <v>236</v>
      </c>
      <c r="B60" s="2461"/>
      <c r="C60" s="2461"/>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60" t="s">
        <v>697</v>
      </c>
      <c r="B61" s="2461"/>
      <c r="C61" s="2461"/>
      <c r="D61" s="1966">
        <v>2365</v>
      </c>
      <c r="E61" s="1976">
        <f>'Expenditures 15-22'!K323</f>
        <v>0</v>
      </c>
      <c r="F61" s="1971"/>
      <c r="G61" s="2030"/>
      <c r="H61" s="2031"/>
      <c r="I61" s="2031"/>
      <c r="J61" s="2031"/>
      <c r="K61" s="2031"/>
      <c r="L61" s="2031"/>
      <c r="M61" s="2031"/>
      <c r="N61" s="1974">
        <f t="shared" si="4"/>
        <v>0</v>
      </c>
    </row>
    <row r="62" spans="1:14" ht="24" customHeight="1" x14ac:dyDescent="0.2">
      <c r="A62" s="2460" t="s">
        <v>237</v>
      </c>
      <c r="B62" s="2461"/>
      <c r="C62" s="2461"/>
      <c r="D62" s="1966">
        <v>2366</v>
      </c>
      <c r="E62" s="1976">
        <f>'Expenditures 15-22'!K324</f>
        <v>0</v>
      </c>
      <c r="F62" s="1971"/>
      <c r="G62" s="2030"/>
      <c r="H62" s="2031"/>
      <c r="I62" s="2031"/>
      <c r="J62" s="2031"/>
      <c r="K62" s="2031"/>
      <c r="L62" s="2031"/>
      <c r="M62" s="2031"/>
      <c r="N62" s="1974">
        <f t="shared" si="4"/>
        <v>0</v>
      </c>
    </row>
    <row r="63" spans="1:14" ht="24" customHeight="1" x14ac:dyDescent="0.2">
      <c r="A63" s="2437" t="s">
        <v>1022</v>
      </c>
      <c r="B63" s="2438"/>
      <c r="C63" s="2438"/>
      <c r="D63" s="1966">
        <v>2367</v>
      </c>
      <c r="E63" s="1976">
        <f>'Expenditures 15-22'!K325</f>
        <v>0</v>
      </c>
      <c r="F63" s="1971"/>
      <c r="G63" s="2030"/>
      <c r="H63" s="2031"/>
      <c r="I63" s="2031"/>
      <c r="J63" s="2031"/>
      <c r="K63" s="2031"/>
      <c r="L63" s="2031"/>
      <c r="M63" s="2031"/>
      <c r="N63" s="1974">
        <f t="shared" si="4"/>
        <v>0</v>
      </c>
    </row>
    <row r="64" spans="1:14" ht="24" customHeight="1" x14ac:dyDescent="0.2">
      <c r="A64" s="2460" t="s">
        <v>1023</v>
      </c>
      <c r="B64" s="2461"/>
      <c r="C64" s="2461"/>
      <c r="D64" s="1966">
        <v>2368</v>
      </c>
      <c r="E64" s="1976">
        <f>'Expenditures 15-22'!K326</f>
        <v>0</v>
      </c>
      <c r="F64" s="1971"/>
      <c r="G64" s="2030"/>
      <c r="H64" s="2031"/>
      <c r="I64" s="2031"/>
      <c r="J64" s="2031"/>
      <c r="K64" s="2031"/>
      <c r="L64" s="2031"/>
      <c r="M64" s="2031"/>
      <c r="N64" s="1974">
        <f t="shared" si="4"/>
        <v>0</v>
      </c>
    </row>
    <row r="65" spans="1:14" ht="24" customHeight="1" x14ac:dyDescent="0.2">
      <c r="A65" s="2460" t="s">
        <v>965</v>
      </c>
      <c r="B65" s="2461"/>
      <c r="C65" s="2461"/>
      <c r="D65" s="1966">
        <v>2369</v>
      </c>
      <c r="E65" s="1976">
        <f>'Expenditures 15-22'!K327</f>
        <v>0</v>
      </c>
      <c r="F65" s="1971"/>
      <c r="G65" s="2030"/>
      <c r="H65" s="2031"/>
      <c r="I65" s="2031"/>
      <c r="J65" s="2031"/>
      <c r="K65" s="2031"/>
      <c r="L65" s="2031"/>
      <c r="M65" s="2031"/>
      <c r="N65" s="1974">
        <f t="shared" si="4"/>
        <v>0</v>
      </c>
    </row>
    <row r="66" spans="1:14" ht="24" customHeight="1" x14ac:dyDescent="0.2">
      <c r="A66" s="2460" t="s">
        <v>469</v>
      </c>
      <c r="B66" s="2461"/>
      <c r="C66" s="2461"/>
      <c r="D66" s="1966">
        <v>2371</v>
      </c>
      <c r="E66" s="1976">
        <f>'Expenditures 15-22'!K328</f>
        <v>53651</v>
      </c>
      <c r="F66" s="1971"/>
      <c r="G66" s="2030"/>
      <c r="H66" s="2031"/>
      <c r="I66" s="2031"/>
      <c r="J66" s="2031"/>
      <c r="K66" s="2031"/>
      <c r="L66" s="2031"/>
      <c r="M66" s="2031">
        <v>53651</v>
      </c>
      <c r="N66" s="1974">
        <f t="shared" si="4"/>
        <v>53651</v>
      </c>
    </row>
    <row r="67" spans="1:14" ht="24.75" customHeight="1" x14ac:dyDescent="0.2">
      <c r="A67" s="2462" t="s">
        <v>2042</v>
      </c>
      <c r="B67" s="2463"/>
      <c r="C67" s="2463"/>
      <c r="D67" s="1968">
        <v>2372</v>
      </c>
      <c r="E67" s="1977">
        <f>'Expenditures 15-22'!K329</f>
        <v>0</v>
      </c>
      <c r="F67" s="1971"/>
      <c r="G67" s="2032"/>
      <c r="H67" s="2033"/>
      <c r="I67" s="2033"/>
      <c r="J67" s="2033"/>
      <c r="K67" s="2033"/>
      <c r="L67" s="2033"/>
      <c r="M67" s="2033"/>
      <c r="N67" s="1974">
        <f t="shared" si="4"/>
        <v>0</v>
      </c>
    </row>
    <row r="68" spans="1:14" x14ac:dyDescent="0.2">
      <c r="A68" s="2464" t="s">
        <v>1151</v>
      </c>
      <c r="B68" s="2465"/>
      <c r="C68" s="2465"/>
      <c r="D68" s="1969"/>
      <c r="E68" s="1973">
        <f>SUM(E57:E67)</f>
        <v>53651</v>
      </c>
      <c r="F68" s="1972"/>
      <c r="G68" s="1973">
        <f t="shared" ref="G68:N68" si="5">SUM(G57:G67)</f>
        <v>0</v>
      </c>
      <c r="H68" s="1973">
        <f t="shared" si="5"/>
        <v>0</v>
      </c>
      <c r="I68" s="1973">
        <f t="shared" si="5"/>
        <v>0</v>
      </c>
      <c r="J68" s="1973">
        <f t="shared" si="5"/>
        <v>0</v>
      </c>
      <c r="K68" s="1973">
        <f t="shared" si="5"/>
        <v>0</v>
      </c>
      <c r="L68" s="1973">
        <f t="shared" si="5"/>
        <v>0</v>
      </c>
      <c r="M68" s="1973">
        <f t="shared" si="5"/>
        <v>53651</v>
      </c>
      <c r="N68" s="1987">
        <f t="shared" si="5"/>
        <v>53651</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14999847407452621"/>
  </sheetPr>
  <dimension ref="A2:B65"/>
  <sheetViews>
    <sheetView showGridLines="0" zoomScale="110" zoomScaleNormal="110" workbookViewId="0">
      <selection activeCell="N18" sqref="N18"/>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Central Stickney SD 110</v>
      </c>
    </row>
    <row r="65" spans="2:2" x14ac:dyDescent="0.2">
      <c r="B65" s="848">
        <f>COVER!A13</f>
        <v>7016110002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I84"/>
  <sheetViews>
    <sheetView showGridLines="0" topLeftCell="A34" zoomScale="110" zoomScaleNormal="110" workbookViewId="0">
      <selection activeCell="B50" sqref="B50"/>
    </sheetView>
  </sheetViews>
  <sheetFormatPr defaultColWidth="9.140625" defaultRowHeight="12" x14ac:dyDescent="0.2"/>
  <cols>
    <col min="1" max="1" width="2.140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2" t="s">
        <v>1056</v>
      </c>
      <c r="B35" s="2152"/>
      <c r="C35" s="2152"/>
      <c r="D35" s="2152"/>
      <c r="E35" s="215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14999847407452621"/>
  </sheetPr>
  <dimension ref="A1:D19"/>
  <sheetViews>
    <sheetView showGridLines="0" defaultGridColor="0" colorId="8" zoomScale="110" zoomScaleNormal="110" workbookViewId="0">
      <selection activeCell="N18" sqref="N18"/>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0" tint="-0.14999847407452621"/>
  </sheetPr>
  <dimension ref="A11:F18"/>
  <sheetViews>
    <sheetView showGridLines="0" zoomScale="110" zoomScaleNormal="110" workbookViewId="0">
      <selection activeCell="G16" sqref="G16"/>
    </sheetView>
  </sheetViews>
  <sheetFormatPr defaultColWidth="9.140625" defaultRowHeight="12.75" x14ac:dyDescent="0.2"/>
  <cols>
    <col min="1" max="1" width="1.85546875" style="306" customWidth="1"/>
    <col min="2" max="2" width="59.855468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45057" r:id="rId4">
          <objectPr defaultSize="0" r:id="rId5">
            <anchor moveWithCells="1">
              <from>
                <xdr:col>1</xdr:col>
                <xdr:colOff>0</xdr:colOff>
                <xdr:row>4</xdr:row>
                <xdr:rowOff>0</xdr:rowOff>
              </from>
              <to>
                <xdr:col>1</xdr:col>
                <xdr:colOff>914400</xdr:colOff>
                <xdr:row>8</xdr:row>
                <xdr:rowOff>142875</xdr:rowOff>
              </to>
            </anchor>
          </objectPr>
        </oleObject>
      </mc:Choice>
      <mc:Fallback>
        <oleObject progId="PDF" dvAspect="DVASPECT_ICON" shapeId="45057" r:id="rId4"/>
      </mc:Fallback>
    </mc:AlternateContent>
    <mc:AlternateContent xmlns:mc="http://schemas.openxmlformats.org/markup-compatibility/2006">
      <mc:Choice Requires="x14">
        <oleObject progId="PDF" dvAspect="DVASPECT_ICON" shapeId="45058" r:id="rId6">
          <objectPr defaultSize="0" r:id="rId7">
            <anchor moveWithCells="1">
              <from>
                <xdr:col>1</xdr:col>
                <xdr:colOff>1352550</xdr:colOff>
                <xdr:row>3</xdr:row>
                <xdr:rowOff>142875</xdr:rowOff>
              </from>
              <to>
                <xdr:col>1</xdr:col>
                <xdr:colOff>2266950</xdr:colOff>
                <xdr:row>8</xdr:row>
                <xdr:rowOff>114300</xdr:rowOff>
              </to>
            </anchor>
          </objectPr>
        </oleObject>
      </mc:Choice>
      <mc:Fallback>
        <oleObject progId="PDF" dvAspect="DVASPECT_ICON" shapeId="45058" r:id="rId6"/>
      </mc:Fallback>
    </mc:AlternateContent>
    <mc:AlternateContent xmlns:mc="http://schemas.openxmlformats.org/markup-compatibility/2006">
      <mc:Choice Requires="x14">
        <oleObject progId="PDF" dvAspect="DVASPECT_ICON" shapeId="45059" r:id="rId8">
          <objectPr defaultSize="0" r:id="rId9">
            <anchor moveWithCells="1">
              <from>
                <xdr:col>1</xdr:col>
                <xdr:colOff>2657475</xdr:colOff>
                <xdr:row>4</xdr:row>
                <xdr:rowOff>47625</xdr:rowOff>
              </from>
              <to>
                <xdr:col>1</xdr:col>
                <xdr:colOff>3571875</xdr:colOff>
                <xdr:row>9</xdr:row>
                <xdr:rowOff>28575</xdr:rowOff>
              </to>
            </anchor>
          </objectPr>
        </oleObject>
      </mc:Choice>
      <mc:Fallback>
        <oleObject progId="PDF"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1</xdr:col>
                <xdr:colOff>3876675</xdr:colOff>
                <xdr:row>4</xdr:row>
                <xdr:rowOff>123825</xdr:rowOff>
              </from>
              <to>
                <xdr:col>3</xdr:col>
                <xdr:colOff>190500</xdr:colOff>
                <xdr:row>9</xdr:row>
                <xdr:rowOff>85725</xdr:rowOff>
              </to>
            </anchor>
          </objectPr>
        </oleObject>
      </mc:Choice>
      <mc:Fallback>
        <oleObject progId="Acrobat Document" dvAspect="DVASPECT_ICON" shapeId="45060" r:id="rId10"/>
      </mc:Fallback>
    </mc:AlternateContent>
    <mc:AlternateContent xmlns:mc="http://schemas.openxmlformats.org/markup-compatibility/2006">
      <mc:Choice Requires="x14">
        <oleObject progId="Acrobat Document" dvAspect="DVASPECT_ICON" shapeId="45061" r:id="rId12">
          <objectPr defaultSize="0" r:id="rId13">
            <anchor moveWithCells="1">
              <from>
                <xdr:col>2</xdr:col>
                <xdr:colOff>561975</xdr:colOff>
                <xdr:row>10</xdr:row>
                <xdr:rowOff>133350</xdr:rowOff>
              </from>
              <to>
                <xdr:col>4</xdr:col>
                <xdr:colOff>257175</xdr:colOff>
                <xdr:row>15</xdr:row>
                <xdr:rowOff>95250</xdr:rowOff>
              </to>
            </anchor>
          </objectPr>
        </oleObject>
      </mc:Choice>
      <mc:Fallback>
        <oleObject progId="Acrobat Document" dvAspect="DVASPECT_ICON" shapeId="45061" r:id="rId12"/>
      </mc:Fallback>
    </mc:AlternateContent>
    <mc:AlternateContent xmlns:mc="http://schemas.openxmlformats.org/markup-compatibility/2006">
      <mc:Choice Requires="x14">
        <oleObject progId="Acrobat Document" dvAspect="DVASPECT_ICON" shapeId="45062" r:id="rId14">
          <objectPr defaultSize="0" r:id="rId15">
            <anchor moveWithCells="1">
              <from>
                <xdr:col>5</xdr:col>
                <xdr:colOff>180975</xdr:colOff>
                <xdr:row>6</xdr:row>
                <xdr:rowOff>57150</xdr:rowOff>
              </from>
              <to>
                <xdr:col>6</xdr:col>
                <xdr:colOff>485775</xdr:colOff>
                <xdr:row>11</xdr:row>
                <xdr:rowOff>19050</xdr:rowOff>
              </to>
            </anchor>
          </objectPr>
        </oleObject>
      </mc:Choice>
      <mc:Fallback>
        <oleObject progId="Acrobat Document" dvAspect="DVASPECT_ICON" shapeId="45062"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14999847407452621"/>
    <pageSetUpPr fitToPage="1"/>
  </sheetPr>
  <dimension ref="A1:H48"/>
  <sheetViews>
    <sheetView showGridLines="0" showZeros="0" zoomScale="110" zoomScaleNormal="110" workbookViewId="0">
      <selection activeCell="N18" sqref="N18"/>
    </sheetView>
  </sheetViews>
  <sheetFormatPr defaultColWidth="9.140625" defaultRowHeight="12.75" x14ac:dyDescent="0.2"/>
  <cols>
    <col min="1" max="1" width="33.85546875" style="293" customWidth="1"/>
    <col min="2" max="6" width="16.85546875" style="293" customWidth="1"/>
    <col min="7" max="16384" width="9.140625" style="293"/>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5217078</v>
      </c>
      <c r="C8" s="1812">
        <f>'Acct Summary 7-8'!D8</f>
        <v>1179155</v>
      </c>
      <c r="D8" s="1812">
        <f>'Acct Summary 7-8'!F8</f>
        <v>45948</v>
      </c>
      <c r="E8" s="1812">
        <f>'Acct Summary 7-8'!I8</f>
        <v>9748</v>
      </c>
      <c r="F8" s="1812">
        <f>SUM(B8:E8)</f>
        <v>6451929</v>
      </c>
    </row>
    <row r="9" spans="1:8" s="857" customFormat="1" ht="14.25" customHeight="1" thickBot="1" x14ac:dyDescent="0.25">
      <c r="A9" s="856" t="s">
        <v>1353</v>
      </c>
      <c r="B9" s="1813">
        <f>'Acct Summary 7-8'!C17</f>
        <v>5174722</v>
      </c>
      <c r="C9" s="1813">
        <f>'Acct Summary 7-8'!D17</f>
        <v>1379236</v>
      </c>
      <c r="D9" s="1813">
        <f>'Acct Summary 7-8'!F17</f>
        <v>98421</v>
      </c>
      <c r="E9" s="1812"/>
      <c r="F9" s="1812">
        <f>SUM(B9:E9)</f>
        <v>6652379</v>
      </c>
    </row>
    <row r="10" spans="1:8" s="857" customFormat="1" ht="14.25" thickTop="1" thickBot="1" x14ac:dyDescent="0.25">
      <c r="A10" s="858" t="s">
        <v>1354</v>
      </c>
      <c r="B10" s="1814">
        <f>(B8-B9)</f>
        <v>42356</v>
      </c>
      <c r="C10" s="1814">
        <f>(C8-C9)</f>
        <v>-200081</v>
      </c>
      <c r="D10" s="1814">
        <f>(D8-D9)</f>
        <v>-52473</v>
      </c>
      <c r="E10" s="1813">
        <f>(E8-E9)</f>
        <v>9748</v>
      </c>
      <c r="F10" s="1815">
        <f>SUM(F8-F9)</f>
        <v>-200450</v>
      </c>
    </row>
    <row r="11" spans="1:8" s="857" customFormat="1" ht="14.25" thickTop="1" thickBot="1" x14ac:dyDescent="0.25">
      <c r="A11" s="859" t="s">
        <v>1903</v>
      </c>
      <c r="B11" s="1816">
        <f>'Acct Summary 7-8'!C81</f>
        <v>5728629</v>
      </c>
      <c r="C11" s="1816">
        <f>'Acct Summary 7-8'!D81</f>
        <v>1575870</v>
      </c>
      <c r="D11" s="1816">
        <f>'Acct Summary 7-8'!F81</f>
        <v>156907</v>
      </c>
      <c r="E11" s="1816">
        <f>'Acct Summary 7-8'!I81</f>
        <v>998336</v>
      </c>
      <c r="F11" s="1817">
        <f>SUM(B11:E11)</f>
        <v>8459742</v>
      </c>
    </row>
    <row r="12" spans="1:8" ht="16.5" customHeight="1" thickTop="1" x14ac:dyDescent="0.2">
      <c r="A12" s="860"/>
      <c r="B12" s="861"/>
      <c r="C12" s="2471" t="str">
        <f>IF(AND(F10&lt;0,F11&gt;=0,ABS(F10*3)&gt;ABS(F11)),A16,IF(AND(F10&lt;0,F11&gt;0,ABS(F10*3)&lt;=ABS(F11)),A17,IF(AND(F10&lt;0,F11&lt;0),A16,IF(F11=0,A19,A18))))</f>
        <v>Unbalanced -  however, a deficit reduction plan is not required at this time.</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7" customFormat="1" ht="51.75" hidden="1" customHeight="1" x14ac:dyDescent="0.2">
      <c r="A16" s="2470" t="s">
        <v>1666</v>
      </c>
      <c r="B16" s="2470"/>
      <c r="C16" s="2470"/>
      <c r="D16" s="2470"/>
      <c r="E16" s="2470"/>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57" sqref="C57"/>
    </sheetView>
  </sheetViews>
  <sheetFormatPr defaultColWidth="9.140625" defaultRowHeight="12" x14ac:dyDescent="0.2"/>
  <cols>
    <col min="1" max="1" width="2.85546875" style="911" customWidth="1"/>
    <col min="2" max="2" width="3.140625" style="911" customWidth="1"/>
    <col min="3" max="3" width="96.140625" style="851" customWidth="1"/>
    <col min="4" max="4" width="42.140625" style="236" customWidth="1"/>
    <col min="5" max="5" width="2.855468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3" t="s">
        <v>1487</v>
      </c>
      <c r="D7" s="2504"/>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5" t="s">
        <v>1001</v>
      </c>
      <c r="B15" s="2496"/>
      <c r="C15" s="2496"/>
      <c r="D15" s="2497"/>
    </row>
    <row r="16" spans="1:4" s="541" customFormat="1" ht="24" customHeight="1" x14ac:dyDescent="0.2">
      <c r="A16" s="2498" t="s">
        <v>658</v>
      </c>
      <c r="B16" s="2499"/>
      <c r="C16" s="2499"/>
      <c r="D16" s="2500"/>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85546875" bestFit="1" customWidth="1"/>
    <col min="2" max="2" width="38.85546875" style="134"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f>COVER!A13</f>
        <v>7016110002</v>
      </c>
      <c r="E2" s="1541">
        <v>2020</v>
      </c>
      <c r="F2" s="1541">
        <v>1</v>
      </c>
      <c r="G2" s="1898">
        <v>101000300</v>
      </c>
    </row>
    <row r="3" spans="1:7" ht="15" x14ac:dyDescent="0.25">
      <c r="A3" t="s">
        <v>950</v>
      </c>
      <c r="B3" s="134" t="str">
        <f>COVER!A15</f>
        <v>Cook</v>
      </c>
      <c r="E3" s="1829" t="s">
        <v>1971</v>
      </c>
      <c r="F3" s="1829" t="s">
        <v>1970</v>
      </c>
      <c r="G3" s="1898">
        <v>101000400</v>
      </c>
    </row>
    <row r="4" spans="1:7" ht="15" x14ac:dyDescent="0.25">
      <c r="A4" t="s">
        <v>1000</v>
      </c>
      <c r="B4" s="134" t="str">
        <f>COVER!A17</f>
        <v xml:space="preserve">   Central Stickney SD 110</v>
      </c>
      <c r="E4" s="1827">
        <v>44119</v>
      </c>
      <c r="F4" s="1828">
        <v>44151</v>
      </c>
      <c r="G4" s="1898">
        <v>101000600</v>
      </c>
    </row>
    <row r="5" spans="1:7" ht="15" x14ac:dyDescent="0.25">
      <c r="A5" t="s">
        <v>699</v>
      </c>
      <c r="B5" s="134" t="str">
        <f>COVER!A38</f>
        <v>Erin Hackett</v>
      </c>
      <c r="G5" s="1898">
        <v>101000800</v>
      </c>
    </row>
    <row r="6" spans="1:7" ht="15" x14ac:dyDescent="0.25">
      <c r="A6" t="s">
        <v>704</v>
      </c>
      <c r="B6" s="134" t="str">
        <f>COVER!P35</f>
        <v>Stickney Township</v>
      </c>
      <c r="G6" s="1898">
        <v>102100300</v>
      </c>
    </row>
    <row r="7" spans="1:7" ht="15" x14ac:dyDescent="0.25">
      <c r="A7" t="s">
        <v>700</v>
      </c>
      <c r="B7" s="134" t="str">
        <f>COVER!I38</f>
        <v>Dean Vivierito</v>
      </c>
      <c r="G7" s="1898">
        <v>102100400</v>
      </c>
    </row>
    <row r="8" spans="1:7" ht="15" x14ac:dyDescent="0.25">
      <c r="A8" t="s">
        <v>701</v>
      </c>
      <c r="B8" s="134" t="str">
        <f>COVER!T38</f>
        <v>Dr. Vanessa Kinder</v>
      </c>
      <c r="G8" s="1898">
        <v>102100600</v>
      </c>
    </row>
    <row r="9" spans="1:7" ht="15" x14ac:dyDescent="0.25">
      <c r="A9" s="3" t="s">
        <v>951</v>
      </c>
      <c r="B9" s="152" t="str">
        <f>AUDITCHECK!D23</f>
        <v>CASH</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f>COVER!T23</f>
        <v>65024892</v>
      </c>
      <c r="G15" s="1898">
        <v>402100400</v>
      </c>
    </row>
    <row r="16" spans="1:7" ht="15" x14ac:dyDescent="0.25">
      <c r="A16" t="s">
        <v>419</v>
      </c>
      <c r="B16" s="134" t="str">
        <f>COVER!T13</f>
        <v>RSM US LLP</v>
      </c>
      <c r="G16" s="1898">
        <v>402100600</v>
      </c>
    </row>
    <row r="17" spans="1:7" ht="15" x14ac:dyDescent="0.25">
      <c r="A17" t="s">
        <v>878</v>
      </c>
      <c r="B17" s="134" t="str">
        <f>COVER!T15</f>
        <v>Kelly Kirkman</v>
      </c>
      <c r="G17" s="1898">
        <v>402100800</v>
      </c>
    </row>
    <row r="18" spans="1:7" ht="15" x14ac:dyDescent="0.25">
      <c r="A18" t="s">
        <v>1140</v>
      </c>
      <c r="B18" s="134" t="str">
        <f>COVER!T17</f>
        <v>One South Wacker Drive, Suite 800</v>
      </c>
      <c r="G18" s="1898">
        <v>102200300</v>
      </c>
    </row>
    <row r="19" spans="1:7" ht="15" x14ac:dyDescent="0.25">
      <c r="A19" t="s">
        <v>880</v>
      </c>
      <c r="B19" s="134" t="str">
        <f>COVER!T25</f>
        <v>Kelly.Kirkman@rsmus.com</v>
      </c>
      <c r="G19" s="1898">
        <v>102200400</v>
      </c>
    </row>
    <row r="20" spans="1:7" ht="15" x14ac:dyDescent="0.25">
      <c r="A20" t="s">
        <v>881</v>
      </c>
      <c r="B20" s="134" t="str">
        <f>COVER!T19</f>
        <v>Chicago</v>
      </c>
      <c r="G20" s="1898">
        <v>102200600</v>
      </c>
    </row>
    <row r="21" spans="1:7" ht="15" x14ac:dyDescent="0.25">
      <c r="A21" t="s">
        <v>476</v>
      </c>
      <c r="B21" s="134" t="str">
        <f>COVER!X19</f>
        <v>IL</v>
      </c>
      <c r="G21" s="1898">
        <v>102200800</v>
      </c>
    </row>
    <row r="22" spans="1:7" ht="15" x14ac:dyDescent="0.25">
      <c r="A22" t="s">
        <v>882</v>
      </c>
      <c r="B22" s="134">
        <f>COVER!Z19</f>
        <v>60606</v>
      </c>
      <c r="G22" s="1898">
        <v>102300300</v>
      </c>
    </row>
    <row r="23" spans="1:7" ht="15" x14ac:dyDescent="0.25">
      <c r="A23" t="s">
        <v>1142</v>
      </c>
      <c r="B23" s="134" t="str">
        <f>COVER!T21</f>
        <v>312-634-3400</v>
      </c>
      <c r="G23" s="1898">
        <v>102300400</v>
      </c>
    </row>
    <row r="24" spans="1:7" ht="15" x14ac:dyDescent="0.25">
      <c r="A24" t="s">
        <v>1141</v>
      </c>
      <c r="B24" s="134">
        <f>COVER!Y21</f>
        <v>0</v>
      </c>
      <c r="G24" s="1898">
        <v>102300600</v>
      </c>
    </row>
    <row r="25" spans="1:7" ht="15" x14ac:dyDescent="0.25">
      <c r="A25" t="s">
        <v>756</v>
      </c>
      <c r="B25" s="134" t="str">
        <f>COVER!B34</f>
        <v>X</v>
      </c>
      <c r="G25" s="1898">
        <v>102300800</v>
      </c>
    </row>
    <row r="26" spans="1:7" ht="15" x14ac:dyDescent="0.25">
      <c r="A26" t="s">
        <v>1143</v>
      </c>
      <c r="B26" s="134" t="str">
        <f>COVER!L34</f>
        <v>X</v>
      </c>
      <c r="G26" s="1898">
        <v>802300300</v>
      </c>
    </row>
    <row r="27" spans="1:7" ht="15" x14ac:dyDescent="0.25">
      <c r="A27" t="s">
        <v>266</v>
      </c>
      <c r="B27" s="134" t="str">
        <f>COVER!U34</f>
        <v>X</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0</v>
      </c>
      <c r="G49" s="1898">
        <v>102540800</v>
      </c>
    </row>
    <row r="50" spans="1:7" ht="15" x14ac:dyDescent="0.25">
      <c r="A50" s="1" t="s">
        <v>1463</v>
      </c>
      <c r="B50" s="145">
        <f>'Aud Quest 2'!H53</f>
        <v>0</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5728629</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5728629</v>
      </c>
      <c r="D92" s="2" t="str">
        <f t="shared" si="0"/>
        <v>Error?</v>
      </c>
      <c r="G92" s="1898">
        <v>102640600</v>
      </c>
    </row>
    <row r="93" spans="1:7" ht="15" x14ac:dyDescent="0.25">
      <c r="A93" s="5">
        <v>32</v>
      </c>
      <c r="B93" s="1831">
        <f>'Assets-Liab 5-6'!C41</f>
        <v>5728629</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1575870</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0</v>
      </c>
      <c r="D123" s="2" t="str">
        <f t="shared" si="0"/>
        <v>Error?</v>
      </c>
      <c r="G123" s="1898">
        <v>203000400</v>
      </c>
    </row>
    <row r="124" spans="1:7" ht="15" x14ac:dyDescent="0.25">
      <c r="A124" s="5">
        <v>63</v>
      </c>
      <c r="B124" s="1831">
        <f>'Assets-Liab 5-6'!D41</f>
        <v>1575870</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156907</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156907</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157624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157624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200000</v>
      </c>
      <c r="D273" s="2" t="str">
        <f t="shared" si="3"/>
        <v>Error?</v>
      </c>
    </row>
    <row r="274" spans="1:4" x14ac:dyDescent="0.2">
      <c r="A274" s="5">
        <v>213</v>
      </c>
      <c r="B274" s="1831">
        <f>'Assets-Liab 5-6'!M17</f>
        <v>3757074</v>
      </c>
      <c r="D274" s="2" t="str">
        <f t="shared" si="3"/>
        <v>Error?</v>
      </c>
    </row>
    <row r="275" spans="1:4" x14ac:dyDescent="0.2">
      <c r="A275" s="5">
        <v>214</v>
      </c>
      <c r="B275" s="1831">
        <f>'Assets-Liab 5-6'!M18</f>
        <v>625426</v>
      </c>
      <c r="D275" s="2" t="str">
        <f t="shared" si="3"/>
        <v>Error?</v>
      </c>
    </row>
    <row r="276" spans="1:4" x14ac:dyDescent="0.2">
      <c r="A276" s="5">
        <v>215</v>
      </c>
      <c r="B276" s="1831">
        <f>'Assets-Liab 5-6'!M19</f>
        <v>164682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5229102</v>
      </c>
      <c r="C279" s="2" t="s">
        <v>569</v>
      </c>
      <c r="D279" s="2" t="str">
        <f t="shared" si="3"/>
        <v>Error?</v>
      </c>
    </row>
    <row r="280" spans="1:4" x14ac:dyDescent="0.2">
      <c r="A280" s="5">
        <v>219</v>
      </c>
      <c r="B280" s="1831">
        <f>'Assets-Liab 5-6'!M40</f>
        <v>5229102</v>
      </c>
      <c r="D280" s="2" t="str">
        <f t="shared" si="3"/>
        <v>Error?</v>
      </c>
    </row>
    <row r="281" spans="1:4" x14ac:dyDescent="0.2">
      <c r="A281" s="5">
        <v>220</v>
      </c>
      <c r="B281" s="1831">
        <f>'Assets-Liab 5-6'!M41</f>
        <v>5229102</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1744545</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411535</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15744</v>
      </c>
      <c r="D719" s="2" t="str">
        <f t="shared" si="10"/>
        <v>Error?</v>
      </c>
    </row>
    <row r="720" spans="1:4" x14ac:dyDescent="0.2">
      <c r="A720" s="5">
        <v>659</v>
      </c>
      <c r="B720" s="1831">
        <f>'Expenditures 15-22'!C33</f>
        <v>2238049</v>
      </c>
      <c r="C720" s="2" t="s">
        <v>569</v>
      </c>
      <c r="D720" s="2" t="str">
        <f t="shared" si="10"/>
        <v>Error?</v>
      </c>
    </row>
    <row r="721" spans="1:4" x14ac:dyDescent="0.2">
      <c r="A721" s="5">
        <v>660</v>
      </c>
      <c r="B721" s="1831">
        <f>'Expenditures 15-22'!C36</f>
        <v>54600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56411</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46352</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157363</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81098</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81098</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157632</v>
      </c>
      <c r="D733" s="2" t="str">
        <f t="shared" si="10"/>
        <v>Error?</v>
      </c>
    </row>
    <row r="734" spans="1:4" x14ac:dyDescent="0.2">
      <c r="A734" s="5">
        <v>673</v>
      </c>
      <c r="B734" s="1831">
        <f>'Expenditures 15-22'!C53</f>
        <v>307684</v>
      </c>
      <c r="C734" s="2" t="s">
        <v>569</v>
      </c>
      <c r="D734" s="2" t="str">
        <f t="shared" si="10"/>
        <v>Error?</v>
      </c>
    </row>
    <row r="735" spans="1:4" x14ac:dyDescent="0.2">
      <c r="A735" s="5">
        <v>674</v>
      </c>
      <c r="B735" s="1831">
        <f>'Expenditures 15-22'!C55</f>
        <v>250443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250443</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12962</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12962</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809550</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3047599</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612886</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6120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1245</v>
      </c>
      <c r="D777" s="2" t="str">
        <f t="shared" si="11"/>
        <v>Error?</v>
      </c>
    </row>
    <row r="778" spans="1:4" x14ac:dyDescent="0.2">
      <c r="A778" s="5">
        <v>717</v>
      </c>
      <c r="B778" s="1831">
        <f>'Expenditures 15-22'!D33</f>
        <v>640385</v>
      </c>
      <c r="C778" s="2" t="s">
        <v>569</v>
      </c>
      <c r="D778" s="2" t="str">
        <f t="shared" si="11"/>
        <v>Error?</v>
      </c>
    </row>
    <row r="779" spans="1:4" x14ac:dyDescent="0.2">
      <c r="A779" s="5">
        <v>718</v>
      </c>
      <c r="B779" s="1831">
        <f>'Expenditures 15-22'!D36</f>
        <v>825</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19192</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834</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20851</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28818</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28818</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15106</v>
      </c>
      <c r="D791" s="2" t="str">
        <f t="shared" si="11"/>
        <v>Error?</v>
      </c>
    </row>
    <row r="792" spans="1:4" x14ac:dyDescent="0.2">
      <c r="A792" s="5">
        <v>731</v>
      </c>
      <c r="B792" s="1831">
        <f>'Expenditures 15-22'!D53</f>
        <v>40339</v>
      </c>
      <c r="C792" s="2" t="s">
        <v>569</v>
      </c>
      <c r="D792" s="2" t="str">
        <f t="shared" si="11"/>
        <v>Error?</v>
      </c>
    </row>
    <row r="793" spans="1:4" x14ac:dyDescent="0.2">
      <c r="A793" s="5">
        <v>732</v>
      </c>
      <c r="B793" s="1831">
        <f>'Expenditures 15-22'!D55</f>
        <v>37101</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37101</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127109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767494</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90357</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136</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92578</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9600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9600</v>
      </c>
      <c r="C843" s="2" t="s">
        <v>569</v>
      </c>
      <c r="D843" s="2" t="str">
        <f t="shared" si="12"/>
        <v>Error?</v>
      </c>
    </row>
    <row r="844" spans="1:4" x14ac:dyDescent="0.2">
      <c r="A844" s="5">
        <v>783</v>
      </c>
      <c r="B844" s="1831">
        <f>'Expenditures 15-22'!E44</f>
        <v>10064</v>
      </c>
      <c r="D844" s="2" t="str">
        <f t="shared" si="12"/>
        <v>Error?</v>
      </c>
    </row>
    <row r="845" spans="1:4" x14ac:dyDescent="0.2">
      <c r="A845" s="5">
        <v>784</v>
      </c>
      <c r="B845" s="1831">
        <f>'Expenditures 15-22'!E45</f>
        <v>2151</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12215</v>
      </c>
      <c r="C847" s="2" t="s">
        <v>569</v>
      </c>
      <c r="D847" s="2" t="str">
        <f t="shared" si="12"/>
        <v>Error?</v>
      </c>
    </row>
    <row r="848" spans="1:4" x14ac:dyDescent="0.2">
      <c r="A848" s="5">
        <v>787</v>
      </c>
      <c r="B848" s="1831">
        <f>'Expenditures 15-22'!E49</f>
        <v>67445</v>
      </c>
      <c r="D848" s="2" t="str">
        <f t="shared" si="12"/>
        <v>Error?</v>
      </c>
    </row>
    <row r="849" spans="1:4" x14ac:dyDescent="0.2">
      <c r="A849" s="5">
        <v>788</v>
      </c>
      <c r="B849" s="1831">
        <f>'Expenditures 15-22'!E50</f>
        <v>11631</v>
      </c>
      <c r="D849" s="2" t="str">
        <f t="shared" si="12"/>
        <v>Error?</v>
      </c>
    </row>
    <row r="850" spans="1:4" x14ac:dyDescent="0.2">
      <c r="A850" s="5">
        <v>789</v>
      </c>
      <c r="B850" s="1831">
        <f>'Expenditures 15-22'!E53</f>
        <v>79076</v>
      </c>
      <c r="C850" s="2" t="s">
        <v>569</v>
      </c>
      <c r="D850" s="2" t="str">
        <f t="shared" si="12"/>
        <v>Error?</v>
      </c>
    </row>
    <row r="851" spans="1:4" x14ac:dyDescent="0.2">
      <c r="A851" s="5">
        <v>790</v>
      </c>
      <c r="B851" s="1831">
        <f>'Expenditures 15-22'!E55</f>
        <v>1493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1493</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30560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30560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132944</v>
      </c>
      <c r="C871" s="2" t="s">
        <v>569</v>
      </c>
      <c r="D871" s="2" t="str">
        <f t="shared" si="12"/>
        <v>Error?</v>
      </c>
    </row>
    <row r="872" spans="1:4" x14ac:dyDescent="0.2">
      <c r="A872" s="5">
        <v>811</v>
      </c>
      <c r="B872" s="1831">
        <f>'Expenditures 15-22'!E75</f>
        <v>560</v>
      </c>
      <c r="D872" s="2" t="str">
        <f t="shared" si="12"/>
        <v>Error?</v>
      </c>
    </row>
    <row r="873" spans="1:4" x14ac:dyDescent="0.2">
      <c r="A873" s="5">
        <v>812</v>
      </c>
      <c r="B873" s="1831">
        <f>'Expenditures 15-22'!E114</f>
        <v>694774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153190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2505</v>
      </c>
      <c r="D891" s="2" t="str">
        <f t="shared" si="12"/>
        <v>Error?</v>
      </c>
    </row>
    <row r="892" spans="1:4" x14ac:dyDescent="0.2">
      <c r="A892" s="5">
        <v>831</v>
      </c>
      <c r="B892" s="1831">
        <f>'Expenditures 15-22'!F14</f>
        <v>969</v>
      </c>
      <c r="D892" s="2" t="str">
        <f t="shared" si="12"/>
        <v>Error?</v>
      </c>
    </row>
    <row r="893" spans="1:4" x14ac:dyDescent="0.2">
      <c r="A893" s="5">
        <v>832</v>
      </c>
      <c r="B893" s="1831">
        <f>'Expenditures 15-22'!F15</f>
        <v>148</v>
      </c>
      <c r="D893" s="2" t="str">
        <f t="shared" si="12"/>
        <v>Error?</v>
      </c>
    </row>
    <row r="894" spans="1:4" x14ac:dyDescent="0.2">
      <c r="A894" s="5">
        <v>833</v>
      </c>
      <c r="B894" s="1831">
        <f>'Expenditures 15-22'!F33</f>
        <v>159981</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274</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274</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16765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16765</v>
      </c>
      <c r="C905" s="2" t="s">
        <v>569</v>
      </c>
      <c r="D905" s="2" t="str">
        <f t="shared" si="13"/>
        <v>Error?</v>
      </c>
    </row>
    <row r="906" spans="1:4" x14ac:dyDescent="0.2">
      <c r="A906" s="5">
        <v>845</v>
      </c>
      <c r="B906" s="1831">
        <f>'Expenditures 15-22'!F49</f>
        <v>437</v>
      </c>
      <c r="D906" s="2" t="str">
        <f t="shared" si="13"/>
        <v>Error?</v>
      </c>
    </row>
    <row r="907" spans="1:4" x14ac:dyDescent="0.2">
      <c r="A907" s="5">
        <v>846</v>
      </c>
      <c r="B907" s="1831">
        <f>'Expenditures 15-22'!F50</f>
        <v>9566</v>
      </c>
      <c r="D907" s="2" t="str">
        <f t="shared" si="13"/>
        <v>Error?</v>
      </c>
    </row>
    <row r="908" spans="1:4" x14ac:dyDescent="0.2">
      <c r="A908" s="5">
        <v>847</v>
      </c>
      <c r="B908" s="1831">
        <f>'Expenditures 15-22'!F53</f>
        <v>10003</v>
      </c>
      <c r="C908" s="2" t="s">
        <v>569</v>
      </c>
      <c r="D908" s="2" t="str">
        <f t="shared" si="13"/>
        <v>Error?</v>
      </c>
    </row>
    <row r="909" spans="1:4" x14ac:dyDescent="0.2">
      <c r="A909" s="5">
        <v>848</v>
      </c>
      <c r="B909" s="1831">
        <f>'Expenditures 15-22'!F55</f>
        <v>3428</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3428</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72673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72673</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103143</v>
      </c>
      <c r="C929" s="2" t="s">
        <v>569</v>
      </c>
      <c r="D929" s="2" t="str">
        <f t="shared" si="13"/>
        <v>Error?</v>
      </c>
    </row>
    <row r="930" spans="1:4" x14ac:dyDescent="0.2">
      <c r="A930" s="5">
        <v>869</v>
      </c>
      <c r="B930" s="1831">
        <f>'Expenditures 15-22'!F75</f>
        <v>3653</v>
      </c>
      <c r="D930" s="2" t="str">
        <f t="shared" si="13"/>
        <v>Error?</v>
      </c>
    </row>
    <row r="931" spans="1:4" x14ac:dyDescent="0.2">
      <c r="A931" s="5">
        <v>870</v>
      </c>
      <c r="B931" s="1831">
        <f>'Expenditures 15-22'!F114</f>
        <v>266777</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13881</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13881</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4416</v>
      </c>
      <c r="D965" s="2" t="str">
        <f t="shared" si="14"/>
        <v>Error?</v>
      </c>
    </row>
    <row r="966" spans="1:4" x14ac:dyDescent="0.2">
      <c r="A966" s="5">
        <v>905</v>
      </c>
      <c r="B966" s="1831">
        <f>'Expenditures 15-22'!G53</f>
        <v>4416</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4416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18297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4688</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2200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60172</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17212</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17212</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17212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302397</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379781</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2619547</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417655</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2505</v>
      </c>
      <c r="C1105" s="2" t="s">
        <v>569</v>
      </c>
      <c r="D1105" s="2" t="str">
        <f t="shared" si="16"/>
        <v>Error?</v>
      </c>
    </row>
    <row r="1106" spans="1:4" x14ac:dyDescent="0.2">
      <c r="A1106" s="5">
        <v>1045</v>
      </c>
      <c r="B1106" s="1831">
        <f>'Expenditures 15-22'!K14</f>
        <v>3305</v>
      </c>
      <c r="C1106" s="2" t="s">
        <v>569</v>
      </c>
      <c r="D1106" s="2" t="str">
        <f t="shared" si="16"/>
        <v>Error?</v>
      </c>
    </row>
    <row r="1107" spans="1:4" x14ac:dyDescent="0.2">
      <c r="A1107" s="5">
        <v>1046</v>
      </c>
      <c r="B1107" s="1831">
        <f>'Expenditures 15-22'!K15</f>
        <v>17137</v>
      </c>
      <c r="C1107" s="2" t="s">
        <v>569</v>
      </c>
      <c r="D1107" s="2" t="str">
        <f t="shared" si="16"/>
        <v>Error?</v>
      </c>
    </row>
    <row r="1108" spans="1:4" x14ac:dyDescent="0.2">
      <c r="A1108" s="5">
        <v>1047</v>
      </c>
      <c r="B1108" s="1831">
        <f>'Expenditures 15-22'!K33</f>
        <v>3205046</v>
      </c>
      <c r="C1108" s="2" t="s">
        <v>569</v>
      </c>
      <c r="D1108" s="2" t="str">
        <f t="shared" si="16"/>
        <v>Error?</v>
      </c>
    </row>
    <row r="1109" spans="1:4" x14ac:dyDescent="0.2">
      <c r="A1109" s="5">
        <v>1048</v>
      </c>
      <c r="B1109" s="1831">
        <f>'Expenditures 15-22'!K36</f>
        <v>55425</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75877</v>
      </c>
      <c r="C1111" s="2" t="s">
        <v>569</v>
      </c>
      <c r="D1111" s="2" t="str">
        <f t="shared" si="16"/>
        <v>Error?</v>
      </c>
    </row>
    <row r="1112" spans="1:4" x14ac:dyDescent="0.2">
      <c r="A1112" s="5">
        <v>1051</v>
      </c>
      <c r="B1112" s="1831">
        <f>'Expenditures 15-22'!K39</f>
        <v>9600</v>
      </c>
      <c r="C1112" s="2" t="s">
        <v>569</v>
      </c>
      <c r="D1112" s="2" t="str">
        <f t="shared" si="16"/>
        <v>Error?</v>
      </c>
    </row>
    <row r="1113" spans="1:4" x14ac:dyDescent="0.2">
      <c r="A1113" s="5">
        <v>1052</v>
      </c>
      <c r="B1113" s="1831">
        <f>'Expenditures 15-22'!K40</f>
        <v>47186</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188088</v>
      </c>
      <c r="C1115" s="2" t="s">
        <v>569</v>
      </c>
      <c r="D1115" s="2" t="str">
        <f t="shared" si="16"/>
        <v>Error?</v>
      </c>
    </row>
    <row r="1116" spans="1:4" x14ac:dyDescent="0.2">
      <c r="A1116" s="5">
        <v>1055</v>
      </c>
      <c r="B1116" s="1831">
        <f>'Expenditures 15-22'!K44</f>
        <v>10064</v>
      </c>
      <c r="C1116" s="2" t="s">
        <v>569</v>
      </c>
      <c r="D1116" s="2" t="str">
        <f t="shared" si="16"/>
        <v>Error?</v>
      </c>
    </row>
    <row r="1117" spans="1:4" x14ac:dyDescent="0.2">
      <c r="A1117" s="5">
        <v>1056</v>
      </c>
      <c r="B1117" s="1831">
        <f>'Expenditures 15-22'!K45</f>
        <v>128832</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138896</v>
      </c>
      <c r="C1119" s="2" t="s">
        <v>569</v>
      </c>
      <c r="D1119" s="2" t="str">
        <f t="shared" si="16"/>
        <v>Error?</v>
      </c>
    </row>
    <row r="1120" spans="1:4" x14ac:dyDescent="0.2">
      <c r="A1120" s="5">
        <v>1059</v>
      </c>
      <c r="B1120" s="1831">
        <f>'Expenditures 15-22'!K49</f>
        <v>85094</v>
      </c>
      <c r="C1120" s="2" t="s">
        <v>569</v>
      </c>
      <c r="D1120" s="2" t="str">
        <f t="shared" si="16"/>
        <v>Error?</v>
      </c>
    </row>
    <row r="1121" spans="1:4" x14ac:dyDescent="0.2">
      <c r="A1121" s="5">
        <v>1060</v>
      </c>
      <c r="B1121" s="1831">
        <f>'Expenditures 15-22'!K50</f>
        <v>198351</v>
      </c>
      <c r="C1121" s="2" t="s">
        <v>569</v>
      </c>
      <c r="D1121" s="2" t="str">
        <f t="shared" si="16"/>
        <v>Error?</v>
      </c>
    </row>
    <row r="1122" spans="1:4" x14ac:dyDescent="0.2">
      <c r="A1122" s="5">
        <v>1061</v>
      </c>
      <c r="B1122" s="1831">
        <f>'Expenditures 15-22'!K53</f>
        <v>458730</v>
      </c>
      <c r="C1122" s="2" t="s">
        <v>569</v>
      </c>
      <c r="D1122" s="2" t="str">
        <f t="shared" si="16"/>
        <v>Error?</v>
      </c>
    </row>
    <row r="1123" spans="1:4" x14ac:dyDescent="0.2">
      <c r="A1123" s="5">
        <v>1062</v>
      </c>
      <c r="B1123" s="1831">
        <f>'Expenditures 15-22'!K55</f>
        <v>292465</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292465</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30560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85635</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116195</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1194374</v>
      </c>
      <c r="C1143" s="2" t="s">
        <v>569</v>
      </c>
      <c r="D1143" s="2" t="str">
        <f t="shared" si="16"/>
        <v>Error?</v>
      </c>
    </row>
    <row r="1144" spans="1:4" x14ac:dyDescent="0.2">
      <c r="A1144" s="5">
        <v>1083</v>
      </c>
      <c r="B1144" s="1831">
        <f>'Expenditures 15-22'!K75</f>
        <v>4213</v>
      </c>
      <c r="C1144" s="2" t="s">
        <v>569</v>
      </c>
      <c r="D1144" s="2" t="str">
        <f t="shared" si="16"/>
        <v>Error?</v>
      </c>
    </row>
    <row r="1145" spans="1:4" x14ac:dyDescent="0.2">
      <c r="A1145" s="5">
        <v>1084</v>
      </c>
      <c r="B1145" s="1831">
        <f>'Expenditures 15-22'!K102</f>
        <v>771089</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5174722</v>
      </c>
      <c r="C1152" s="2" t="s">
        <v>569</v>
      </c>
      <c r="D1152" s="2" t="str">
        <f t="shared" si="17"/>
        <v>Error?</v>
      </c>
    </row>
    <row r="1153" spans="1:4" x14ac:dyDescent="0.2">
      <c r="A1153" s="5">
        <v>1092</v>
      </c>
      <c r="B1153" s="1831">
        <f>'Expenditures 15-22'!K115</f>
        <v>42356</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327617</v>
      </c>
      <c r="D1221" s="2" t="str">
        <f t="shared" si="18"/>
        <v>Error?</v>
      </c>
    </row>
    <row r="1222" spans="1:4" x14ac:dyDescent="0.2">
      <c r="A1222" s="10">
        <v>1161</v>
      </c>
      <c r="B1222" s="1831"/>
      <c r="D1222" s="2" t="str">
        <f t="shared" si="18"/>
        <v>OK</v>
      </c>
    </row>
    <row r="1223" spans="1:4" x14ac:dyDescent="0.2">
      <c r="A1223" s="5">
        <v>1162</v>
      </c>
      <c r="B1223" s="1831">
        <f>'Expenditures 15-22'!C127</f>
        <v>327617</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327617</v>
      </c>
      <c r="C1225" s="2" t="s">
        <v>569</v>
      </c>
      <c r="D1225" s="2" t="str">
        <f t="shared" si="18"/>
        <v>Error?</v>
      </c>
    </row>
    <row r="1226" spans="1:4" x14ac:dyDescent="0.2">
      <c r="A1226" s="5">
        <v>1165</v>
      </c>
      <c r="B1226" s="1831">
        <f>'Expenditures 15-22'!C151</f>
        <v>327617</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92835</v>
      </c>
      <c r="D1229" s="2" t="str">
        <f t="shared" si="18"/>
        <v>Error?</v>
      </c>
    </row>
    <row r="1230" spans="1:4" x14ac:dyDescent="0.2">
      <c r="A1230" s="10">
        <v>1169</v>
      </c>
      <c r="B1230" s="1831"/>
      <c r="D1230" s="2" t="str">
        <f t="shared" si="18"/>
        <v>OK</v>
      </c>
    </row>
    <row r="1231" spans="1:4" x14ac:dyDescent="0.2">
      <c r="A1231" s="5">
        <v>1170</v>
      </c>
      <c r="B1231" s="1831">
        <f>'Expenditures 15-22'!D127</f>
        <v>92835</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92835</v>
      </c>
      <c r="C1233" s="2" t="s">
        <v>569</v>
      </c>
      <c r="D1233" s="2" t="str">
        <f t="shared" si="18"/>
        <v>Error?</v>
      </c>
    </row>
    <row r="1234" spans="1:4" x14ac:dyDescent="0.2">
      <c r="A1234" s="5">
        <v>1173</v>
      </c>
      <c r="B1234" s="1831">
        <f>'Expenditures 15-22'!D151</f>
        <v>92835</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85568</v>
      </c>
      <c r="D1237" s="2" t="str">
        <f t="shared" si="18"/>
        <v>Error?</v>
      </c>
    </row>
    <row r="1238" spans="1:4" x14ac:dyDescent="0.2">
      <c r="A1238" s="10">
        <v>1177</v>
      </c>
      <c r="B1238" s="1831"/>
      <c r="D1238" s="2" t="str">
        <f t="shared" si="18"/>
        <v>OK</v>
      </c>
    </row>
    <row r="1239" spans="1:4" x14ac:dyDescent="0.2">
      <c r="A1239" s="5">
        <v>1178</v>
      </c>
      <c r="B1239" s="1831">
        <f>'Expenditures 15-22'!E127</f>
        <v>85568</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85568</v>
      </c>
      <c r="C1241" s="2" t="s">
        <v>569</v>
      </c>
      <c r="D1241" s="2" t="str">
        <f t="shared" si="18"/>
        <v>Error?</v>
      </c>
    </row>
    <row r="1242" spans="1:4" x14ac:dyDescent="0.2">
      <c r="A1242" s="5">
        <v>1181</v>
      </c>
      <c r="B1242" s="1831">
        <f>'Expenditures 15-22'!E151</f>
        <v>85568</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183882</v>
      </c>
      <c r="D1245" s="2" t="str">
        <f t="shared" si="18"/>
        <v>Error?</v>
      </c>
    </row>
    <row r="1246" spans="1:4" x14ac:dyDescent="0.2">
      <c r="A1246" s="10">
        <v>1185</v>
      </c>
      <c r="B1246" s="1831"/>
      <c r="D1246" s="2" t="str">
        <f t="shared" si="18"/>
        <v>OK</v>
      </c>
    </row>
    <row r="1247" spans="1:4" x14ac:dyDescent="0.2">
      <c r="A1247" s="5">
        <v>1186</v>
      </c>
      <c r="B1247" s="1831">
        <f>'Expenditures 15-22'!F127</f>
        <v>183882</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183882</v>
      </c>
      <c r="C1249" s="2" t="s">
        <v>569</v>
      </c>
      <c r="D1249" s="2" t="str">
        <f t="shared" si="18"/>
        <v>Error?</v>
      </c>
    </row>
    <row r="1250" spans="1:4" x14ac:dyDescent="0.2">
      <c r="A1250" s="5">
        <v>1189</v>
      </c>
      <c r="B1250" s="1831">
        <f>'Expenditures 15-22'!F151</f>
        <v>183882</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689334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689334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689334</v>
      </c>
      <c r="C1258" s="2" t="s">
        <v>569</v>
      </c>
      <c r="D1258" s="2" t="str">
        <f t="shared" si="18"/>
        <v>Error?</v>
      </c>
    </row>
    <row r="1259" spans="1:4" x14ac:dyDescent="0.2">
      <c r="A1259" s="5">
        <v>1198</v>
      </c>
      <c r="B1259" s="1831">
        <f>'Expenditures 15-22'!G151</f>
        <v>689334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1379236</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1379236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1379236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1379236</v>
      </c>
      <c r="C1288" s="2" t="s">
        <v>569</v>
      </c>
      <c r="D1288" s="2" t="str">
        <f t="shared" si="19"/>
        <v>Error?</v>
      </c>
    </row>
    <row r="1289" spans="1:4" x14ac:dyDescent="0.2">
      <c r="A1289" s="5">
        <v>1228</v>
      </c>
      <c r="B1289" s="1831">
        <f>'Expenditures 15-22'!K152</f>
        <v>-200081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17656</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17656</v>
      </c>
      <c r="C1339" s="2" t="s">
        <v>569</v>
      </c>
      <c r="D1339" s="2" t="str">
        <f t="shared" si="19"/>
        <v>Error?</v>
      </c>
    </row>
    <row r="1340" spans="1:4" x14ac:dyDescent="0.2">
      <c r="A1340" s="5">
        <v>1279</v>
      </c>
      <c r="B1340" s="1831">
        <f>'Expenditures 15-22'!C210</f>
        <v>17656</v>
      </c>
      <c r="C1340" s="2" t="s">
        <v>569</v>
      </c>
      <c r="D1340" s="2" t="str">
        <f t="shared" si="19"/>
        <v>Error?</v>
      </c>
    </row>
    <row r="1341" spans="1:4" x14ac:dyDescent="0.2">
      <c r="A1341" s="5">
        <v>1280</v>
      </c>
      <c r="B1341" s="1831">
        <f>'Expenditures 15-22'!D182</f>
        <v>3178</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3178</v>
      </c>
      <c r="C1345" s="2" t="s">
        <v>569</v>
      </c>
      <c r="D1345" s="2" t="str">
        <f t="shared" si="20"/>
        <v>Error?</v>
      </c>
    </row>
    <row r="1346" spans="1:4" x14ac:dyDescent="0.2">
      <c r="A1346" s="5">
        <v>1285</v>
      </c>
      <c r="B1346" s="1831">
        <f>'Expenditures 15-22'!D210</f>
        <v>3178</v>
      </c>
      <c r="C1346" s="2" t="s">
        <v>569</v>
      </c>
      <c r="D1346" s="2" t="str">
        <f t="shared" si="20"/>
        <v>Error?</v>
      </c>
    </row>
    <row r="1347" spans="1:4" x14ac:dyDescent="0.2">
      <c r="A1347" s="5">
        <v>1286</v>
      </c>
      <c r="B1347" s="1831">
        <f>'Expenditures 15-22'!E182</f>
        <v>77587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77587</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77587</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98421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98421</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98421</v>
      </c>
      <c r="C1388" s="2" t="s">
        <v>569</v>
      </c>
      <c r="D1388" s="2" t="str">
        <f t="shared" si="20"/>
        <v>Error?</v>
      </c>
    </row>
    <row r="1389" spans="1:4" x14ac:dyDescent="0.2">
      <c r="A1389" s="5">
        <v>1328</v>
      </c>
      <c r="B1389" s="1831">
        <f>'Expenditures 15-22'!K211</f>
        <v>-52473</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6508</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228</v>
      </c>
      <c r="D1409" s="2" t="str">
        <f t="shared" si="21"/>
        <v>Error?</v>
      </c>
    </row>
    <row r="1410" spans="1:4" x14ac:dyDescent="0.2">
      <c r="A1410" s="5">
        <v>1349</v>
      </c>
      <c r="B1410" s="1831">
        <f>'Expenditures 15-22'!D229</f>
        <v>46570</v>
      </c>
      <c r="C1410" s="2" t="s">
        <v>569</v>
      </c>
      <c r="D1410" s="2" t="str">
        <f t="shared" si="21"/>
        <v>Error?</v>
      </c>
    </row>
    <row r="1411" spans="1:4" x14ac:dyDescent="0.2">
      <c r="A1411" s="5">
        <v>1350</v>
      </c>
      <c r="B1411" s="1831">
        <f>'Expenditures 15-22'!D232</f>
        <v>773</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9342</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655</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10770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13700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13700</v>
      </c>
      <c r="C1421" s="2" t="s">
        <v>569</v>
      </c>
      <c r="D1421" s="2" t="str">
        <f t="shared" si="21"/>
        <v>Error?</v>
      </c>
    </row>
    <row r="1422" spans="1:4" x14ac:dyDescent="0.2">
      <c r="A1422" s="5">
        <v>1361</v>
      </c>
      <c r="B1422" s="1831">
        <f>'Expenditures 15-22'!D245</f>
        <v>280</v>
      </c>
      <c r="D1422" s="2" t="str">
        <f t="shared" si="21"/>
        <v>Error?</v>
      </c>
    </row>
    <row r="1423" spans="1:4" x14ac:dyDescent="0.2">
      <c r="A1423" s="5">
        <v>1362</v>
      </c>
      <c r="B1423" s="1831">
        <f>'Expenditures 15-22'!D246</f>
        <v>2077</v>
      </c>
      <c r="D1423" s="2" t="str">
        <f t="shared" si="21"/>
        <v>Error?</v>
      </c>
    </row>
    <row r="1424" spans="1:4" x14ac:dyDescent="0.2">
      <c r="A1424" s="5">
        <v>1363</v>
      </c>
      <c r="B1424" s="1831">
        <f>'Expenditures 15-22'!D257</f>
        <v>4478</v>
      </c>
      <c r="C1424" s="2" t="s">
        <v>569</v>
      </c>
      <c r="D1424" s="2" t="str">
        <f t="shared" si="21"/>
        <v>Error?</v>
      </c>
    </row>
    <row r="1425" spans="1:4" x14ac:dyDescent="0.2">
      <c r="A1425" s="5">
        <v>1364</v>
      </c>
      <c r="B1425" s="1831">
        <f>'Expenditures 15-22'!D259</f>
        <v>22799</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22799</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47786</v>
      </c>
      <c r="D1431" s="2" t="str">
        <f t="shared" si="21"/>
        <v>Error?</v>
      </c>
    </row>
    <row r="1432" spans="1:4" x14ac:dyDescent="0.2">
      <c r="A1432" s="5">
        <v>1371</v>
      </c>
      <c r="B1432" s="1831">
        <f>'Expenditures 15-22'!D267</f>
        <v>2989</v>
      </c>
      <c r="D1432" s="2" t="str">
        <f t="shared" si="21"/>
        <v>Error?</v>
      </c>
    </row>
    <row r="1433" spans="1:4" x14ac:dyDescent="0.2">
      <c r="A1433" s="5">
        <v>1372</v>
      </c>
      <c r="B1433" s="1831">
        <f>'Expenditures 15-22'!D268</f>
        <v>1784</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52559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104306</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150876</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6508</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228</v>
      </c>
      <c r="C1473" s="2" t="s">
        <v>569</v>
      </c>
      <c r="D1473" s="2" t="str">
        <f t="shared" si="22"/>
        <v>Error?</v>
      </c>
    </row>
    <row r="1474" spans="1:4" x14ac:dyDescent="0.2">
      <c r="A1474" s="5">
        <v>1413</v>
      </c>
      <c r="B1474" s="1831">
        <f>'Expenditures 15-22'!K229</f>
        <v>46570</v>
      </c>
      <c r="C1474" s="2" t="s">
        <v>569</v>
      </c>
      <c r="D1474" s="2" t="str">
        <f t="shared" si="22"/>
        <v>Error?</v>
      </c>
    </row>
    <row r="1475" spans="1:4" x14ac:dyDescent="0.2">
      <c r="A1475" s="5">
        <v>1414</v>
      </c>
      <c r="B1475" s="1831">
        <f>'Expenditures 15-22'!K232</f>
        <v>773</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9342</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655</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10770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13700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13700</v>
      </c>
      <c r="C1485" s="2" t="s">
        <v>569</v>
      </c>
      <c r="D1485" s="2" t="str">
        <f t="shared" si="22"/>
        <v>Error?</v>
      </c>
    </row>
    <row r="1486" spans="1:4" x14ac:dyDescent="0.2">
      <c r="A1486" s="5">
        <v>1425</v>
      </c>
      <c r="B1486" s="1831">
        <f>'Expenditures 15-22'!K245</f>
        <v>280</v>
      </c>
      <c r="C1486" s="2" t="s">
        <v>569</v>
      </c>
      <c r="D1486" s="2" t="str">
        <f t="shared" si="22"/>
        <v>Error?</v>
      </c>
    </row>
    <row r="1487" spans="1:4" x14ac:dyDescent="0.2">
      <c r="A1487" s="5">
        <v>1426</v>
      </c>
      <c r="B1487" s="1831">
        <f>'Expenditures 15-22'!K246</f>
        <v>2077</v>
      </c>
      <c r="C1487" s="2" t="s">
        <v>569</v>
      </c>
      <c r="D1487" s="2" t="str">
        <f t="shared" si="22"/>
        <v>Error?</v>
      </c>
    </row>
    <row r="1488" spans="1:4" x14ac:dyDescent="0.2">
      <c r="A1488" s="5">
        <v>1427</v>
      </c>
      <c r="B1488" s="1831">
        <f>'Expenditures 15-22'!K257</f>
        <v>4478</v>
      </c>
      <c r="C1488" s="2" t="s">
        <v>569</v>
      </c>
      <c r="D1488" s="2" t="str">
        <f t="shared" si="22"/>
        <v>Error?</v>
      </c>
    </row>
    <row r="1489" spans="1:4" x14ac:dyDescent="0.2">
      <c r="A1489" s="5">
        <v>1428</v>
      </c>
      <c r="B1489" s="1831">
        <f>'Expenditures 15-22'!K259</f>
        <v>22799</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22799</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47786</v>
      </c>
      <c r="C1495" s="2" t="s">
        <v>569</v>
      </c>
      <c r="D1495" s="2" t="str">
        <f t="shared" si="22"/>
        <v>Error?</v>
      </c>
    </row>
    <row r="1496" spans="1:4" x14ac:dyDescent="0.2">
      <c r="A1496" s="5">
        <v>1435</v>
      </c>
      <c r="B1496" s="1831">
        <f>'Expenditures 15-22'!K267</f>
        <v>2989</v>
      </c>
      <c r="C1496" s="2" t="s">
        <v>569</v>
      </c>
      <c r="D1496" s="2" t="str">
        <f t="shared" si="22"/>
        <v>Error?</v>
      </c>
    </row>
    <row r="1497" spans="1:4" x14ac:dyDescent="0.2">
      <c r="A1497" s="5">
        <v>1436</v>
      </c>
      <c r="B1497" s="1831">
        <f>'Expenditures 15-22'!K268</f>
        <v>1784</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52559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104306</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150876</v>
      </c>
      <c r="C1517" s="2" t="s">
        <v>569</v>
      </c>
      <c r="D1517" s="2" t="str">
        <f t="shared" si="22"/>
        <v>Error?</v>
      </c>
    </row>
    <row r="1518" spans="1:4" x14ac:dyDescent="0.2">
      <c r="A1518" s="5">
        <v>1457</v>
      </c>
      <c r="B1518" s="1831">
        <f>'Expenditures 15-22'!K296</f>
        <v>16991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5686273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5728629</v>
      </c>
      <c r="C1630" s="2" t="s">
        <v>569</v>
      </c>
      <c r="D1630" s="2" t="str">
        <f t="shared" si="24"/>
        <v>Error?</v>
      </c>
    </row>
    <row r="1631" spans="1:4" x14ac:dyDescent="0.2">
      <c r="A1631" s="5">
        <v>1570</v>
      </c>
      <c r="B1631" s="1831">
        <f>'Acct Summary 7-8'!D79</f>
        <v>1775951</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1575870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209380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156907</v>
      </c>
      <c r="C1672" s="2" t="s">
        <v>569</v>
      </c>
      <c r="D1672" s="2" t="str">
        <f t="shared" si="25"/>
        <v>Error?</v>
      </c>
    </row>
    <row r="1673" spans="1:4" x14ac:dyDescent="0.2">
      <c r="A1673" s="5">
        <v>1612</v>
      </c>
      <c r="B1673" s="1831">
        <f>'Acct Summary 7-8'!G79</f>
        <v>140633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157624</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2980457</v>
      </c>
      <c r="C1744" s="2" t="s">
        <v>569</v>
      </c>
      <c r="D1744" s="2" t="str">
        <f t="shared" si="26"/>
        <v>Error?</v>
      </c>
    </row>
    <row r="1745" spans="1:5" x14ac:dyDescent="0.2">
      <c r="A1745" s="5">
        <v>1684</v>
      </c>
      <c r="B1745" s="1831">
        <f>'Tax Sched 23'!B5</f>
        <v>871712</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975</v>
      </c>
      <c r="C1747" s="2" t="s">
        <v>569</v>
      </c>
      <c r="D1747" s="2" t="str">
        <f t="shared" si="26"/>
        <v>Error?</v>
      </c>
    </row>
    <row r="1748" spans="1:5" x14ac:dyDescent="0.2">
      <c r="A1748" s="5">
        <v>1687</v>
      </c>
      <c r="B1748" s="1831">
        <f>'Tax Sched 23'!B8</f>
        <v>73100</v>
      </c>
      <c r="C1748" s="2" t="s">
        <v>569</v>
      </c>
      <c r="D1748" s="2" t="str">
        <f t="shared" si="26"/>
        <v>Error?</v>
      </c>
    </row>
    <row r="1749" spans="1:5" x14ac:dyDescent="0.2">
      <c r="A1749" s="5">
        <v>1688</v>
      </c>
      <c r="B1749" s="1831">
        <f>'Tax Sched 23'!B10</f>
        <v>9748</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68227</v>
      </c>
      <c r="C1752" s="2" t="s">
        <v>569</v>
      </c>
      <c r="D1752" s="2" t="str">
        <f t="shared" si="26"/>
        <v>Error?</v>
      </c>
    </row>
    <row r="1753" spans="1:5" x14ac:dyDescent="0.2">
      <c r="A1753" s="5">
        <v>1692</v>
      </c>
      <c r="B1753" s="1831">
        <f>'Tax Sched 23'!B12</f>
        <v>975</v>
      </c>
      <c r="C1753" s="2" t="s">
        <v>569</v>
      </c>
      <c r="D1753" s="2" t="str">
        <f t="shared" si="26"/>
        <v>Error?</v>
      </c>
    </row>
    <row r="1754" spans="1:5" x14ac:dyDescent="0.2">
      <c r="A1754" s="5">
        <v>1693</v>
      </c>
      <c r="B1754" s="1831">
        <f>'Tax Sched 23'!B14</f>
        <v>139376</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4144570</v>
      </c>
      <c r="C1759" s="2" t="s">
        <v>569</v>
      </c>
      <c r="D1759" s="2" t="str">
        <f t="shared" si="26"/>
        <v>Error?</v>
      </c>
    </row>
    <row r="1760" spans="1:5" x14ac:dyDescent="0.2">
      <c r="A1760" s="5">
        <v>1699</v>
      </c>
      <c r="B1760" s="1831">
        <f>'Tax Sched 23'!D4</f>
        <v>1419428</v>
      </c>
      <c r="C1760" s="2" t="s">
        <v>569</v>
      </c>
      <c r="D1760" s="2" t="str">
        <f t="shared" si="26"/>
        <v>Error?</v>
      </c>
    </row>
    <row r="1761" spans="1:7" x14ac:dyDescent="0.2">
      <c r="A1761" s="5">
        <v>1700</v>
      </c>
      <c r="B1761" s="1831">
        <f>'Tax Sched 23'!D5</f>
        <v>419895</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474</v>
      </c>
      <c r="C1763" s="2" t="s">
        <v>569</v>
      </c>
      <c r="D1763" s="2" t="str">
        <f t="shared" si="26"/>
        <v>Error?</v>
      </c>
    </row>
    <row r="1764" spans="1:7" x14ac:dyDescent="0.2">
      <c r="A1764" s="5">
        <v>1703</v>
      </c>
      <c r="B1764" s="1831">
        <f>'Tax Sched 23'!D8</f>
        <v>35532</v>
      </c>
      <c r="C1764" s="2" t="s">
        <v>569</v>
      </c>
      <c r="D1764" s="2" t="str">
        <f t="shared" si="26"/>
        <v>Error?</v>
      </c>
    </row>
    <row r="1765" spans="1:7" x14ac:dyDescent="0.2">
      <c r="A1765" s="5">
        <v>1704</v>
      </c>
      <c r="B1765" s="1831">
        <f>'Tax Sched 23'!D10</f>
        <v>4739</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33164</v>
      </c>
      <c r="C1768" s="2" t="s">
        <v>569</v>
      </c>
      <c r="D1768" s="2" t="str">
        <f t="shared" si="26"/>
        <v>Error?</v>
      </c>
    </row>
    <row r="1769" spans="1:7" x14ac:dyDescent="0.2">
      <c r="A1769" s="5">
        <v>1708</v>
      </c>
      <c r="B1769" s="1831">
        <f>'Tax Sched 23'!D12</f>
        <v>474</v>
      </c>
      <c r="C1769" s="2" t="s">
        <v>569</v>
      </c>
      <c r="D1769" s="2" t="str">
        <f t="shared" si="26"/>
        <v>Error?</v>
      </c>
    </row>
    <row r="1770" spans="1:7" x14ac:dyDescent="0.2">
      <c r="A1770" s="5">
        <v>1709</v>
      </c>
      <c r="B1770" s="1831">
        <f>'Tax Sched 23'!D14</f>
        <v>107819</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1981453</v>
      </c>
      <c r="C1775" s="2" t="s">
        <v>569</v>
      </c>
      <c r="D1775" s="2" t="str">
        <f t="shared" si="26"/>
        <v>Error?</v>
      </c>
    </row>
    <row r="1776" spans="1:7" x14ac:dyDescent="0.2">
      <c r="A1776" s="5">
        <v>1715</v>
      </c>
      <c r="B1776" s="1831">
        <f>'Tax Sched 23'!C4</f>
        <v>1561029</v>
      </c>
      <c r="D1776" s="2" t="str">
        <f t="shared" si="26"/>
        <v>Error?</v>
      </c>
    </row>
    <row r="1777" spans="1:4" x14ac:dyDescent="0.2">
      <c r="A1777" s="5">
        <v>1716</v>
      </c>
      <c r="B1777" s="1831">
        <f>'Tax Sched 23'!C5</f>
        <v>451817</v>
      </c>
      <c r="D1777" s="2" t="str">
        <f t="shared" si="26"/>
        <v>Error?</v>
      </c>
    </row>
    <row r="1778" spans="1:4" x14ac:dyDescent="0.2">
      <c r="A1778" s="5">
        <v>1717</v>
      </c>
      <c r="B1778" s="1831">
        <f>'Tax Sched 23'!C6</f>
        <v>0</v>
      </c>
      <c r="D1778" s="2" t="str">
        <f t="shared" si="26"/>
        <v>Error?</v>
      </c>
    </row>
    <row r="1779" spans="1:4" x14ac:dyDescent="0.2">
      <c r="A1779" s="5">
        <v>1718</v>
      </c>
      <c r="B1779" s="1831">
        <f>'Tax Sched 23'!C7</f>
        <v>501</v>
      </c>
      <c r="D1779" s="2" t="str">
        <f t="shared" si="26"/>
        <v>Error?</v>
      </c>
    </row>
    <row r="1780" spans="1:4" x14ac:dyDescent="0.2">
      <c r="A1780" s="5">
        <v>1719</v>
      </c>
      <c r="B1780" s="1831">
        <f>'Tax Sched 23'!C8</f>
        <v>37568</v>
      </c>
      <c r="D1780" s="2" t="str">
        <f t="shared" si="26"/>
        <v>Error?</v>
      </c>
    </row>
    <row r="1781" spans="1:4" x14ac:dyDescent="0.2">
      <c r="A1781" s="5">
        <v>1720</v>
      </c>
      <c r="B1781" s="1831">
        <f>'Tax Sched 23'!C10</f>
        <v>5009</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35063</v>
      </c>
      <c r="D1784" s="2" t="str">
        <f t="shared" si="26"/>
        <v>Error?</v>
      </c>
    </row>
    <row r="1785" spans="1:4" x14ac:dyDescent="0.2">
      <c r="A1785" s="5">
        <v>1724</v>
      </c>
      <c r="B1785" s="1831">
        <f>'Tax Sched 23'!C12</f>
        <v>501</v>
      </c>
      <c r="D1785" s="2" t="str">
        <f t="shared" si="26"/>
        <v>Error?</v>
      </c>
    </row>
    <row r="1786" spans="1:4" x14ac:dyDescent="0.2">
      <c r="A1786" s="5">
        <v>1725</v>
      </c>
      <c r="B1786" s="1831">
        <f>'Tax Sched 23'!C14</f>
        <v>31557</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2163117</v>
      </c>
      <c r="C1791" s="2" t="s">
        <v>569</v>
      </c>
      <c r="D1791" s="2" t="str">
        <f t="shared" ref="D1791:D1854" si="27">IF(ISBLANK(B1791),"OK",IF(A1791-B1791=0,"OK","Error?"))</f>
        <v>Error?</v>
      </c>
    </row>
    <row r="1792" spans="1:4" x14ac:dyDescent="0.2">
      <c r="A1792" s="5">
        <v>1731</v>
      </c>
      <c r="B1792" s="1831">
        <f>'Tax Sched 23'!F4</f>
        <v>1648878</v>
      </c>
      <c r="C1792" s="2" t="s">
        <v>569</v>
      </c>
      <c r="D1792" s="2" t="str">
        <f t="shared" si="27"/>
        <v>Error?</v>
      </c>
    </row>
    <row r="1793" spans="1:4" x14ac:dyDescent="0.2">
      <c r="A1793" s="5">
        <v>1732</v>
      </c>
      <c r="B1793" s="1831">
        <f>'Tax Sched 23'!F5</f>
        <v>477243</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529</v>
      </c>
      <c r="C1795" s="2" t="s">
        <v>569</v>
      </c>
      <c r="D1795" s="2" t="str">
        <f t="shared" si="27"/>
        <v>Error?</v>
      </c>
    </row>
    <row r="1796" spans="1:4" x14ac:dyDescent="0.2">
      <c r="A1796" s="5">
        <v>1735</v>
      </c>
      <c r="B1796" s="1831">
        <f>'Tax Sched 23'!F8</f>
        <v>39682</v>
      </c>
      <c r="C1796" s="2" t="s">
        <v>569</v>
      </c>
      <c r="D1796" s="2" t="str">
        <f t="shared" si="27"/>
        <v>Error?</v>
      </c>
    </row>
    <row r="1797" spans="1:4" x14ac:dyDescent="0.2">
      <c r="A1797" s="5">
        <v>1736</v>
      </c>
      <c r="B1797" s="1831">
        <f>'Tax Sched 23'!F10</f>
        <v>5291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37037</v>
      </c>
      <c r="C1800" s="2" t="s">
        <v>569</v>
      </c>
      <c r="D1800" s="2" t="str">
        <f t="shared" si="27"/>
        <v>Error?</v>
      </c>
    </row>
    <row r="1801" spans="1:4" x14ac:dyDescent="0.2">
      <c r="A1801" s="5">
        <v>1740</v>
      </c>
      <c r="B1801" s="1831">
        <f>'Tax Sched 23'!F12</f>
        <v>529</v>
      </c>
      <c r="C1801" s="2" t="s">
        <v>569</v>
      </c>
      <c r="D1801" s="2" t="str">
        <f t="shared" si="27"/>
        <v>Error?</v>
      </c>
    </row>
    <row r="1802" spans="1:4" x14ac:dyDescent="0.2">
      <c r="A1802" s="5">
        <v>1741</v>
      </c>
      <c r="B1802" s="1831">
        <f>'Tax Sched 23'!F14</f>
        <v>33333</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2284850</v>
      </c>
      <c r="C1807" s="2" t="s">
        <v>569</v>
      </c>
      <c r="D1807" s="2" t="str">
        <f t="shared" si="27"/>
        <v>Error?</v>
      </c>
    </row>
    <row r="1808" spans="1:4" x14ac:dyDescent="0.2">
      <c r="A1808" s="5">
        <v>1747</v>
      </c>
      <c r="B1808" s="1831">
        <f>'Tax Sched 23'!E4</f>
        <v>3209907</v>
      </c>
      <c r="D1808" s="2" t="str">
        <f t="shared" si="27"/>
        <v>Error?</v>
      </c>
    </row>
    <row r="1809" spans="1:4" x14ac:dyDescent="0.2">
      <c r="A1809" s="5">
        <v>1748</v>
      </c>
      <c r="B1809" s="1831">
        <f>'Tax Sched 23'!E5</f>
        <v>929060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1030</v>
      </c>
      <c r="D1811" s="2" t="str">
        <f t="shared" si="27"/>
        <v>Error?</v>
      </c>
    </row>
    <row r="1812" spans="1:4" x14ac:dyDescent="0.2">
      <c r="A1812" s="5">
        <v>1751</v>
      </c>
      <c r="B1812" s="1831">
        <f>'Tax Sched 23'!E8</f>
        <v>77250</v>
      </c>
      <c r="D1812" s="2" t="str">
        <f t="shared" si="27"/>
        <v>Error?</v>
      </c>
    </row>
    <row r="1813" spans="1:4" x14ac:dyDescent="0.2">
      <c r="A1813" s="5">
        <v>1752</v>
      </c>
      <c r="B1813" s="1831">
        <f>'Tax Sched 23'!E10</f>
        <v>10300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72100</v>
      </c>
      <c r="D1816" s="2" t="str">
        <f t="shared" si="27"/>
        <v>Error?</v>
      </c>
    </row>
    <row r="1817" spans="1:4" x14ac:dyDescent="0.2">
      <c r="A1817" s="5">
        <v>1756</v>
      </c>
      <c r="B1817" s="1831">
        <f>'Tax Sched 23'!E12</f>
        <v>1030</v>
      </c>
      <c r="D1817" s="2" t="str">
        <f t="shared" si="27"/>
        <v>Error?</v>
      </c>
    </row>
    <row r="1818" spans="1:4" x14ac:dyDescent="0.2">
      <c r="A1818" s="5">
        <v>1757</v>
      </c>
      <c r="B1818" s="1831">
        <f>'Tax Sched 23'!E14</f>
        <v>64890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4447967</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200000</v>
      </c>
      <c r="D2008" s="2" t="str">
        <f t="shared" si="30"/>
        <v>Error?</v>
      </c>
    </row>
    <row r="2009" spans="1:4" x14ac:dyDescent="0.2">
      <c r="A2009" s="5">
        <v>1948</v>
      </c>
      <c r="B2009" s="1831">
        <f>'Cap Outlay Deprec 26'!C8</f>
        <v>8656211</v>
      </c>
      <c r="D2009" s="2" t="str">
        <f t="shared" si="30"/>
        <v>Error?</v>
      </c>
    </row>
    <row r="2010" spans="1:4" x14ac:dyDescent="0.2">
      <c r="A2010" s="5">
        <v>1949</v>
      </c>
      <c r="B2010" s="1831">
        <f>'Cap Outlay Deprec 26'!C10</f>
        <v>684059</v>
      </c>
      <c r="D2010" s="2" t="str">
        <f t="shared" si="30"/>
        <v>Error?</v>
      </c>
    </row>
    <row r="2011" spans="1:4" x14ac:dyDescent="0.2">
      <c r="A2011" s="5">
        <v>1950</v>
      </c>
      <c r="B2011" s="1831">
        <f>'Cap Outlay Deprec 26'!C12</f>
        <v>1184719</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10724989</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105742</v>
      </c>
      <c r="D2015" s="2" t="str">
        <f t="shared" si="30"/>
        <v>Error?</v>
      </c>
    </row>
    <row r="2016" spans="1:4" x14ac:dyDescent="0.2">
      <c r="A2016" s="5">
        <v>1955</v>
      </c>
      <c r="B2016" s="1831">
        <f>'Cap Outlay Deprec 26'!D10</f>
        <v>66700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654362</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200000</v>
      </c>
      <c r="C2026" s="2" t="s">
        <v>569</v>
      </c>
      <c r="D2026" s="2" t="str">
        <f t="shared" si="30"/>
        <v>Error?</v>
      </c>
    </row>
    <row r="2027" spans="1:4" x14ac:dyDescent="0.2">
      <c r="A2027" s="5">
        <v>1966</v>
      </c>
      <c r="B2027" s="1831">
        <f>'Cap Outlay Deprec 26'!F8</f>
        <v>8761953</v>
      </c>
      <c r="C2027" s="2" t="s">
        <v>569</v>
      </c>
      <c r="D2027" s="2" t="str">
        <f t="shared" si="30"/>
        <v>Error?</v>
      </c>
    </row>
    <row r="2028" spans="1:4" x14ac:dyDescent="0.2">
      <c r="A2028" s="5">
        <v>1967</v>
      </c>
      <c r="B2028" s="1831">
        <f>'Cap Outlay Deprec 26'!F10</f>
        <v>750759</v>
      </c>
      <c r="C2028" s="2" t="s">
        <v>569</v>
      </c>
      <c r="D2028" s="2" t="str">
        <f t="shared" si="30"/>
        <v>Error?</v>
      </c>
    </row>
    <row r="2029" spans="1:4" x14ac:dyDescent="0.2">
      <c r="A2029" s="5">
        <v>1968</v>
      </c>
      <c r="B2029" s="1831">
        <f>'Cap Outlay Deprec 26'!F12</f>
        <v>1184719</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11379351</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4810010</v>
      </c>
      <c r="D2033" s="2" t="str">
        <f t="shared" si="30"/>
        <v>Error?</v>
      </c>
    </row>
    <row r="2034" spans="1:4" x14ac:dyDescent="0.2">
      <c r="A2034" s="5">
        <v>1973</v>
      </c>
      <c r="B2034" s="1831">
        <f>'Cap Outlay Deprec 26'!H10</f>
        <v>103925</v>
      </c>
      <c r="D2034" s="2" t="str">
        <f t="shared" si="30"/>
        <v>Error?</v>
      </c>
    </row>
    <row r="2035" spans="1:4" x14ac:dyDescent="0.2">
      <c r="A2035" s="5">
        <v>1974</v>
      </c>
      <c r="B2035" s="1831">
        <f>'Cap Outlay Deprec 26'!H12</f>
        <v>947984</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5861919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194869</v>
      </c>
      <c r="D2039" s="2" t="str">
        <f t="shared" si="30"/>
        <v>Error?</v>
      </c>
    </row>
    <row r="2040" spans="1:4" x14ac:dyDescent="0.2">
      <c r="A2040" s="5">
        <v>1979</v>
      </c>
      <c r="B2040" s="1831">
        <f>'Cap Outlay Deprec 26'!I10</f>
        <v>21408</v>
      </c>
      <c r="D2040" s="2" t="str">
        <f t="shared" si="30"/>
        <v>Error?</v>
      </c>
    </row>
    <row r="2041" spans="1:4" x14ac:dyDescent="0.2">
      <c r="A2041" s="5">
        <v>1980</v>
      </c>
      <c r="B2041" s="1831">
        <f>'Cap Outlay Deprec 26'!I12</f>
        <v>72053</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288330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5004879</v>
      </c>
      <c r="C2051" s="2" t="s">
        <v>569</v>
      </c>
      <c r="D2051" s="2" t="str">
        <f t="shared" si="31"/>
        <v>Error?</v>
      </c>
    </row>
    <row r="2052" spans="1:4" x14ac:dyDescent="0.2">
      <c r="A2052" s="5">
        <v>1991</v>
      </c>
      <c r="B2052" s="1831">
        <f>'Cap Outlay Deprec 26'!K10</f>
        <v>125333</v>
      </c>
      <c r="C2052" s="2" t="s">
        <v>569</v>
      </c>
      <c r="D2052" s="2" t="str">
        <f t="shared" si="31"/>
        <v>Error?</v>
      </c>
    </row>
    <row r="2053" spans="1:4" x14ac:dyDescent="0.2">
      <c r="A2053" s="5">
        <v>1992</v>
      </c>
      <c r="B2053" s="1831">
        <f>'Cap Outlay Deprec 26'!K12</f>
        <v>1020037</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6150249</v>
      </c>
      <c r="C2055" s="2" t="s">
        <v>569</v>
      </c>
      <c r="D2055" s="2" t="str">
        <f t="shared" si="31"/>
        <v>Error?</v>
      </c>
    </row>
    <row r="2056" spans="1:4" x14ac:dyDescent="0.2">
      <c r="A2056" s="5">
        <v>1995</v>
      </c>
      <c r="B2056" s="1831">
        <f>'Cap Outlay Deprec 26'!L5</f>
        <v>200000</v>
      </c>
      <c r="C2056" s="2" t="s">
        <v>569</v>
      </c>
      <c r="D2056" s="2" t="str">
        <f t="shared" si="31"/>
        <v>Error?</v>
      </c>
    </row>
    <row r="2057" spans="1:4" x14ac:dyDescent="0.2">
      <c r="A2057" s="5">
        <v>1996</v>
      </c>
      <c r="B2057" s="1831">
        <f>'Cap Outlay Deprec 26'!L8</f>
        <v>3757074</v>
      </c>
      <c r="C2057" s="2" t="s">
        <v>569</v>
      </c>
      <c r="D2057" s="2" t="str">
        <f t="shared" si="31"/>
        <v>Error?</v>
      </c>
    </row>
    <row r="2058" spans="1:4" x14ac:dyDescent="0.2">
      <c r="A2058" s="5">
        <v>1997</v>
      </c>
      <c r="B2058" s="1831">
        <f>'Cap Outlay Deprec 26'!L10</f>
        <v>625426</v>
      </c>
      <c r="C2058" s="2" t="s">
        <v>569</v>
      </c>
      <c r="D2058" s="2" t="str">
        <f t="shared" si="31"/>
        <v>Error?</v>
      </c>
    </row>
    <row r="2059" spans="1:4" x14ac:dyDescent="0.2">
      <c r="A2059" s="5">
        <v>1998</v>
      </c>
      <c r="B2059" s="1831">
        <f>'Cap Outlay Deprec 26'!L12</f>
        <v>164682</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5229102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468692</v>
      </c>
      <c r="C2088" s="2" t="s">
        <v>569</v>
      </c>
      <c r="D2088" s="2" t="str">
        <f t="shared" si="31"/>
        <v>Error?</v>
      </c>
    </row>
    <row r="2089" spans="1:4" x14ac:dyDescent="0.2">
      <c r="A2089" s="5">
        <v>2028</v>
      </c>
      <c r="B2089" s="1831">
        <f>'Expenditures 15-22'!K92</f>
        <v>302397</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1575870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156907</v>
      </c>
      <c r="D2475" s="2" t="str">
        <f t="shared" si="37"/>
        <v>Error?</v>
      </c>
    </row>
    <row r="2476" spans="1:4" x14ac:dyDescent="0.2">
      <c r="A2476" s="10">
        <v>2415</v>
      </c>
      <c r="B2476" s="1831"/>
      <c r="D2476" s="2" t="str">
        <f t="shared" si="37"/>
        <v>OK</v>
      </c>
    </row>
    <row r="2477" spans="1:4" x14ac:dyDescent="0.2">
      <c r="A2477" s="5">
        <v>2416</v>
      </c>
      <c r="B2477" s="1831">
        <f>'Assets-Liab 5-6'!G38</f>
        <v>157624</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3728576</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1116239</v>
      </c>
      <c r="C2553" s="2" t="s">
        <v>569</v>
      </c>
      <c r="D2553" s="2" t="str">
        <f t="shared" si="38"/>
        <v>Error?</v>
      </c>
    </row>
    <row r="2554" spans="1:4" x14ac:dyDescent="0.2">
      <c r="A2554" s="5">
        <v>2493</v>
      </c>
      <c r="B2554" s="1831">
        <f>'Acct Summary 7-8'!C7</f>
        <v>372263</v>
      </c>
      <c r="C2554" s="2" t="s">
        <v>569</v>
      </c>
      <c r="D2554" s="2" t="str">
        <f t="shared" si="38"/>
        <v>Error?</v>
      </c>
    </row>
    <row r="2555" spans="1:4" x14ac:dyDescent="0.2">
      <c r="A2555" s="5">
        <v>2494</v>
      </c>
      <c r="B2555" s="1831">
        <f>'Acct Summary 7-8'!C8</f>
        <v>5217078</v>
      </c>
      <c r="C2555" s="2" t="s">
        <v>569</v>
      </c>
      <c r="D2555" s="2" t="str">
        <f t="shared" si="38"/>
        <v>Error?</v>
      </c>
    </row>
    <row r="2556" spans="1:4" x14ac:dyDescent="0.2">
      <c r="A2556" s="5">
        <v>2495</v>
      </c>
      <c r="B2556" s="1831">
        <f>'Acct Summary 7-8'!C12</f>
        <v>3205046</v>
      </c>
      <c r="C2556" s="2" t="s">
        <v>569</v>
      </c>
      <c r="D2556" s="2" t="str">
        <f t="shared" si="38"/>
        <v>Error?</v>
      </c>
    </row>
    <row r="2557" spans="1:4" x14ac:dyDescent="0.2">
      <c r="A2557" s="5">
        <v>2496</v>
      </c>
      <c r="B2557" s="1831">
        <f>'Acct Summary 7-8'!C13</f>
        <v>1194374</v>
      </c>
      <c r="C2557" s="2" t="s">
        <v>569</v>
      </c>
      <c r="D2557" s="2" t="str">
        <f t="shared" si="38"/>
        <v>Error?</v>
      </c>
    </row>
    <row r="2558" spans="1:4" x14ac:dyDescent="0.2">
      <c r="A2558" s="5">
        <v>2497</v>
      </c>
      <c r="B2558" s="1831">
        <f>'Acct Summary 7-8'!C14</f>
        <v>4213</v>
      </c>
      <c r="C2558" s="2" t="s">
        <v>569</v>
      </c>
      <c r="D2558" s="2" t="str">
        <f t="shared" si="38"/>
        <v>Error?</v>
      </c>
    </row>
    <row r="2559" spans="1:4" x14ac:dyDescent="0.2">
      <c r="A2559" s="5">
        <v>2498</v>
      </c>
      <c r="B2559" s="1831">
        <f>'Acct Summary 7-8'!C15</f>
        <v>771089</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5174722</v>
      </c>
      <c r="C2561" s="2" t="s">
        <v>569</v>
      </c>
      <c r="D2561" s="2" t="str">
        <f t="shared" si="39"/>
        <v>Error?</v>
      </c>
    </row>
    <row r="2562" spans="1:4" x14ac:dyDescent="0.2">
      <c r="A2562" s="5">
        <v>2501</v>
      </c>
      <c r="B2562" s="1831">
        <f>'Acct Summary 7-8'!C20</f>
        <v>42356</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1129155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1179155</v>
      </c>
      <c r="C2568" s="2" t="s">
        <v>569</v>
      </c>
      <c r="D2568" s="2" t="str">
        <f t="shared" si="39"/>
        <v>Error?</v>
      </c>
    </row>
    <row r="2569" spans="1:4" x14ac:dyDescent="0.2">
      <c r="A2569" s="5">
        <v>2508</v>
      </c>
      <c r="B2569" s="1831">
        <f>'Acct Summary 7-8'!D13</f>
        <v>1379236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1379236</v>
      </c>
      <c r="C2573" s="2" t="s">
        <v>569</v>
      </c>
      <c r="D2573" s="2" t="str">
        <f t="shared" si="39"/>
        <v>Error?</v>
      </c>
    </row>
    <row r="2574" spans="1:4" x14ac:dyDescent="0.2">
      <c r="A2574" s="5">
        <v>2513</v>
      </c>
      <c r="B2574" s="1831">
        <f>'Acct Summary 7-8'!D20</f>
        <v>-200081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975</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44973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45948</v>
      </c>
      <c r="C2595" s="2" t="s">
        <v>569</v>
      </c>
      <c r="D2595" s="2" t="str">
        <f t="shared" si="39"/>
        <v>Error?</v>
      </c>
    </row>
    <row r="2596" spans="1:4" x14ac:dyDescent="0.2">
      <c r="A2596" s="5">
        <v>2535</v>
      </c>
      <c r="B2596" s="1831">
        <f>'Acct Summary 7-8'!F13</f>
        <v>98421</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98421</v>
      </c>
      <c r="C2600" s="2" t="s">
        <v>569</v>
      </c>
      <c r="D2600" s="2" t="str">
        <f t="shared" si="39"/>
        <v>Error?</v>
      </c>
    </row>
    <row r="2601" spans="1:4" x14ac:dyDescent="0.2">
      <c r="A2601" s="5">
        <v>2540</v>
      </c>
      <c r="B2601" s="1831">
        <f>'Acct Summary 7-8'!F20</f>
        <v>-52473</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167867</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167867</v>
      </c>
      <c r="C2606" s="2" t="s">
        <v>569</v>
      </c>
      <c r="D2606" s="2" t="str">
        <f t="shared" si="39"/>
        <v>Error?</v>
      </c>
    </row>
    <row r="2607" spans="1:4" x14ac:dyDescent="0.2">
      <c r="A2607" s="5">
        <v>2546</v>
      </c>
      <c r="B2607" s="1831">
        <f>'Acct Summary 7-8'!G12</f>
        <v>46570</v>
      </c>
      <c r="C2607" s="2" t="s">
        <v>569</v>
      </c>
      <c r="D2607" s="2" t="str">
        <f t="shared" si="39"/>
        <v>Error?</v>
      </c>
    </row>
    <row r="2608" spans="1:4" x14ac:dyDescent="0.2">
      <c r="A2608" s="5">
        <v>2547</v>
      </c>
      <c r="B2608" s="1831">
        <f>'Acct Summary 7-8'!G13</f>
        <v>104306</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150876</v>
      </c>
      <c r="C2612" s="2" t="s">
        <v>569</v>
      </c>
      <c r="D2612" s="2" t="str">
        <f t="shared" si="39"/>
        <v>Error?</v>
      </c>
    </row>
    <row r="2613" spans="1:4" x14ac:dyDescent="0.2">
      <c r="A2613" s="5">
        <v>2552</v>
      </c>
      <c r="B2613" s="1831">
        <f>'Acct Summary 7-8'!G20</f>
        <v>16991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150052</v>
      </c>
      <c r="D2718" s="2" t="str">
        <f t="shared" si="41"/>
        <v>Error?</v>
      </c>
    </row>
    <row r="2719" spans="1:4" x14ac:dyDescent="0.2">
      <c r="A2719" s="5">
        <v>2658</v>
      </c>
      <c r="B2719" s="1831">
        <f>'Expenditures 15-22'!D51</f>
        <v>25233</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175285</v>
      </c>
      <c r="C2724" s="2" t="s">
        <v>569</v>
      </c>
      <c r="D2724" s="2" t="str">
        <f t="shared" si="41"/>
        <v>Error?</v>
      </c>
    </row>
    <row r="2725" spans="1:4" x14ac:dyDescent="0.2">
      <c r="A2725" s="5">
        <v>2664</v>
      </c>
      <c r="B2725" s="1831">
        <f>'Expenditures 15-22'!D247</f>
        <v>2121</v>
      </c>
      <c r="D2725" s="2" t="str">
        <f t="shared" si="41"/>
        <v>Error?</v>
      </c>
    </row>
    <row r="2726" spans="1:4" x14ac:dyDescent="0.2">
      <c r="A2726" s="5">
        <v>2665</v>
      </c>
      <c r="B2726" s="1831">
        <f>'Expenditures 15-22'!K247</f>
        <v>2121</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468692</v>
      </c>
      <c r="C2789" s="2" t="s">
        <v>569</v>
      </c>
      <c r="D2789" s="2" t="str">
        <f t="shared" si="42"/>
        <v>Error?</v>
      </c>
    </row>
    <row r="2790" spans="1:4" x14ac:dyDescent="0.2">
      <c r="A2790" s="5">
        <v>2729</v>
      </c>
      <c r="B2790" s="1831">
        <f>'Expenditures 15-22'!E102</f>
        <v>468692</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481920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998336</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24629</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998336</v>
      </c>
      <c r="D2912" s="2" t="str">
        <f t="shared" si="44"/>
        <v>Error?</v>
      </c>
    </row>
    <row r="2913" spans="1:4" x14ac:dyDescent="0.2">
      <c r="A2913" s="5">
        <v>2852</v>
      </c>
      <c r="B2913" s="1831">
        <f>'Assets-Liab 5-6'!I41</f>
        <v>998336</v>
      </c>
      <c r="C2913" s="2" t="s">
        <v>569</v>
      </c>
      <c r="D2913" s="2" t="str">
        <f t="shared" si="44"/>
        <v>Error?</v>
      </c>
    </row>
    <row r="2914" spans="1:4" x14ac:dyDescent="0.2">
      <c r="A2914" s="5">
        <v>2853</v>
      </c>
      <c r="B2914" s="1831">
        <f>'Assets-Liab 5-6'!L33</f>
        <v>24629</v>
      </c>
      <c r="D2914" s="2" t="str">
        <f t="shared" si="44"/>
        <v>Error?</v>
      </c>
    </row>
    <row r="2915" spans="1:4" x14ac:dyDescent="0.2">
      <c r="A2915" s="10">
        <v>2854</v>
      </c>
      <c r="B2915" s="1831"/>
      <c r="D2915" s="2" t="str">
        <f t="shared" si="44"/>
        <v>OK</v>
      </c>
    </row>
    <row r="2916" spans="1:4" x14ac:dyDescent="0.2">
      <c r="A2916" s="5">
        <v>2855</v>
      </c>
      <c r="B2916" s="1831">
        <f>'Assets-Liab 5-6'!L34</f>
        <v>24629</v>
      </c>
      <c r="C2916" s="2" t="s">
        <v>569</v>
      </c>
      <c r="D2916" s="2" t="str">
        <f t="shared" si="44"/>
        <v>Error?</v>
      </c>
    </row>
    <row r="2917" spans="1:4" x14ac:dyDescent="0.2">
      <c r="A2917" s="5">
        <v>2856</v>
      </c>
      <c r="B2917" s="1831">
        <f>'Assets-Liab 5-6'!L41</f>
        <v>24629</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468692</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468692</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9748</v>
      </c>
      <c r="C3225" s="2" t="s">
        <v>569</v>
      </c>
      <c r="D3225" s="2" t="str">
        <f t="shared" si="49"/>
        <v>Error?</v>
      </c>
    </row>
    <row r="3226" spans="1:4" x14ac:dyDescent="0.2">
      <c r="A3226" s="5">
        <v>3165</v>
      </c>
      <c r="B3226" s="1831">
        <f>'Acct Summary 7-8'!I8</f>
        <v>9748</v>
      </c>
      <c r="C3226" s="2" t="s">
        <v>569</v>
      </c>
      <c r="D3226" s="2" t="str">
        <f t="shared" si="49"/>
        <v>Error?</v>
      </c>
    </row>
    <row r="3227" spans="1:4" x14ac:dyDescent="0.2">
      <c r="A3227" s="5">
        <v>3166</v>
      </c>
      <c r="B3227" s="1831">
        <f>'Acct Summary 7-8'!I20</f>
        <v>9748</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42356</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-200081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-52473</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16991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9748</v>
      </c>
      <c r="C3320" s="2" t="s">
        <v>569</v>
      </c>
      <c r="D3320" s="2" t="str">
        <f t="shared" si="50"/>
        <v>Error?</v>
      </c>
    </row>
    <row r="3321" spans="1:4" x14ac:dyDescent="0.2">
      <c r="A3321" s="5">
        <v>3260</v>
      </c>
      <c r="B3321" s="1831">
        <f>'Acct Summary 7-8'!I79</f>
        <v>988588</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998336</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66225</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20134</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2085</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3169</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53284</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91613</v>
      </c>
      <c r="C3380" s="2" t="s">
        <v>569</v>
      </c>
      <c r="D3380" s="2" t="str">
        <f t="shared" si="51"/>
        <v>Error?</v>
      </c>
    </row>
    <row r="3381" spans="1:4" x14ac:dyDescent="0.2">
      <c r="A3381" s="5">
        <v>3320</v>
      </c>
      <c r="B3381" s="1831">
        <f>'Expenditures 15-22'!K19</f>
        <v>53284</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38913</v>
      </c>
      <c r="D3387" s="2" t="str">
        <f t="shared" si="51"/>
        <v>Error?</v>
      </c>
    </row>
    <row r="3388" spans="1:4" x14ac:dyDescent="0.2">
      <c r="A3388" s="5">
        <v>3327</v>
      </c>
      <c r="B3388" s="1831">
        <f>'Expenditures 15-22'!D217</f>
        <v>921</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38913</v>
      </c>
      <c r="C3390" s="2" t="s">
        <v>569</v>
      </c>
      <c r="D3390" s="2" t="str">
        <f t="shared" si="51"/>
        <v>Error?</v>
      </c>
    </row>
    <row r="3391" spans="1:4" x14ac:dyDescent="0.2">
      <c r="A3391" s="5">
        <v>3330</v>
      </c>
      <c r="B3391" s="1831">
        <f>'Expenditures 15-22'!K217</f>
        <v>921</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5728629</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1575870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156907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157624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998336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24629</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-40072</v>
      </c>
      <c r="C3447" s="2" t="s">
        <v>569</v>
      </c>
      <c r="D3447" s="2" t="str">
        <f t="shared" si="52"/>
        <v>Error?</v>
      </c>
    </row>
    <row r="3448" spans="1:4" x14ac:dyDescent="0.2">
      <c r="A3448" s="5">
        <v>3387</v>
      </c>
      <c r="B3448" s="1831">
        <f>'Tax Sched 23'!C16</f>
        <v>40072</v>
      </c>
      <c r="D3448" s="2" t="str">
        <f t="shared" si="52"/>
        <v>Error?</v>
      </c>
    </row>
    <row r="3449" spans="1:4" x14ac:dyDescent="0.2">
      <c r="A3449" s="5">
        <v>3388</v>
      </c>
      <c r="B3449" s="1831">
        <f>'Tax Sched 23'!F16</f>
        <v>42328</v>
      </c>
      <c r="C3449" s="2" t="s">
        <v>569</v>
      </c>
      <c r="D3449" s="2" t="str">
        <f t="shared" si="52"/>
        <v>Error?</v>
      </c>
    </row>
    <row r="3450" spans="1:4" x14ac:dyDescent="0.2">
      <c r="A3450" s="5">
        <v>3389</v>
      </c>
      <c r="B3450" s="1831">
        <f>'Tax Sched 23'!E16</f>
        <v>82400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481920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481920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481920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322065</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322065</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322065</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322065</v>
      </c>
      <c r="C3568" s="2" t="s">
        <v>569</v>
      </c>
      <c r="D3568" s="2" t="str">
        <f t="shared" si="54"/>
        <v>Error?</v>
      </c>
    </row>
    <row r="3569" spans="1:4" x14ac:dyDescent="0.2">
      <c r="A3569" s="5">
        <v>3508</v>
      </c>
      <c r="B3569" s="1831">
        <f>'Acct Summary 7-8'!K4</f>
        <v>975</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975</v>
      </c>
      <c r="C3571" s="2" t="s">
        <v>569</v>
      </c>
      <c r="D3571" s="2" t="str">
        <f t="shared" si="54"/>
        <v>Error?</v>
      </c>
    </row>
    <row r="3572" spans="1:4" x14ac:dyDescent="0.2">
      <c r="A3572" s="5">
        <v>3511</v>
      </c>
      <c r="B3572" s="1831">
        <f>'Acct Summary 7-8'!K13</f>
        <v>8748</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8748</v>
      </c>
      <c r="C3575" s="2" t="s">
        <v>569</v>
      </c>
      <c r="D3575" s="2" t="str">
        <f t="shared" si="54"/>
        <v>Error?</v>
      </c>
    </row>
    <row r="3576" spans="1:4" x14ac:dyDescent="0.2">
      <c r="A3576" s="5">
        <v>3515</v>
      </c>
      <c r="B3576" s="1831">
        <f>'Acct Summary 7-8'!K20</f>
        <v>-7773</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-7773</v>
      </c>
      <c r="C3588" s="2" t="s">
        <v>569</v>
      </c>
      <c r="D3588" s="2" t="str">
        <f t="shared" si="55"/>
        <v>Error?</v>
      </c>
    </row>
    <row r="3589" spans="1:4" x14ac:dyDescent="0.2">
      <c r="A3589" s="5">
        <v>3528</v>
      </c>
      <c r="B3589" s="1831">
        <f>'Acct Summary 7-8'!K79</f>
        <v>329838</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322065</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8748</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8748</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8748</v>
      </c>
      <c r="C3649" s="2" t="s">
        <v>569</v>
      </c>
      <c r="D3649" s="2" t="str">
        <f t="shared" si="56"/>
        <v>Error?</v>
      </c>
    </row>
    <row r="3650" spans="1:4" x14ac:dyDescent="0.2">
      <c r="A3650" s="5">
        <v>3589</v>
      </c>
      <c r="B3650" s="1831">
        <f>'Expenditures 15-22'!G367</f>
        <v>8748</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8748</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8748</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8748</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8748</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-7773</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1094535</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6311613</v>
      </c>
      <c r="C4122" s="2" t="s">
        <v>569</v>
      </c>
      <c r="D4122" s="2" t="str">
        <f t="shared" si="63"/>
        <v>Error?</v>
      </c>
    </row>
    <row r="4123" spans="1:4" x14ac:dyDescent="0.2">
      <c r="A4123" s="5">
        <v>4062</v>
      </c>
      <c r="B4123" s="1831">
        <f>'Acct Summary 7-8'!D10</f>
        <v>1179155</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45948</v>
      </c>
      <c r="C4125" s="2" t="s">
        <v>569</v>
      </c>
      <c r="D4125" s="2" t="str">
        <f t="shared" si="63"/>
        <v>Error?</v>
      </c>
    </row>
    <row r="4126" spans="1:4" x14ac:dyDescent="0.2">
      <c r="A4126" s="5">
        <v>4065</v>
      </c>
      <c r="B4126" s="1831">
        <f>'Acct Summary 7-8'!G10</f>
        <v>167867</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9748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975</v>
      </c>
      <c r="C4130" s="2" t="s">
        <v>569</v>
      </c>
      <c r="D4130" s="2" t="str">
        <f t="shared" si="63"/>
        <v>Error?</v>
      </c>
    </row>
    <row r="4131" spans="1:4" x14ac:dyDescent="0.2">
      <c r="A4131" s="5">
        <v>4070</v>
      </c>
      <c r="B4131" s="1831">
        <f>'Acct Summary 7-8'!C18</f>
        <v>1094535</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6269257</v>
      </c>
      <c r="C4136" s="2" t="s">
        <v>569</v>
      </c>
      <c r="D4136" s="2" t="str">
        <f t="shared" si="63"/>
        <v>Error?</v>
      </c>
    </row>
    <row r="4137" spans="1:4" x14ac:dyDescent="0.2">
      <c r="A4137" s="5">
        <v>4076</v>
      </c>
      <c r="B4137" s="1831">
        <f>'Acct Summary 7-8'!D19</f>
        <v>1379236</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98421</v>
      </c>
      <c r="C4139" s="2" t="s">
        <v>569</v>
      </c>
      <c r="D4139" s="2" t="str">
        <f t="shared" si="63"/>
        <v>Error?</v>
      </c>
    </row>
    <row r="4140" spans="1:4" x14ac:dyDescent="0.2">
      <c r="A4140" s="5">
        <v>4079</v>
      </c>
      <c r="B4140" s="1831">
        <f>'Acct Summary 7-8'!G19</f>
        <v>150876</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8748</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1570.3999999999999</v>
      </c>
      <c r="C4265" s="2" t="s">
        <v>569</v>
      </c>
      <c r="D4265" s="2" t="str">
        <f t="shared" si="65"/>
        <v>Error?</v>
      </c>
      <c r="E4265" s="124"/>
    </row>
    <row r="4266" spans="1:5" x14ac:dyDescent="0.2">
      <c r="A4266" s="12">
        <v>4205</v>
      </c>
      <c r="B4266" s="1831">
        <f>('FP Info 3'!F10)*100000</f>
        <v>454.50000000000006</v>
      </c>
      <c r="C4266" s="2" t="s">
        <v>569</v>
      </c>
      <c r="D4266" s="2" t="str">
        <f t="shared" si="65"/>
        <v>Error?</v>
      </c>
      <c r="E4266" s="124"/>
    </row>
    <row r="4267" spans="1:5" x14ac:dyDescent="0.2">
      <c r="A4267" s="12">
        <v>4206</v>
      </c>
      <c r="B4267" s="1831">
        <f>('FP Info 3'!H10)*100000</f>
        <v>5</v>
      </c>
      <c r="C4267" s="2" t="s">
        <v>569</v>
      </c>
      <c r="D4267" s="2" t="str">
        <f t="shared" si="65"/>
        <v>Error?</v>
      </c>
      <c r="E4267" s="124"/>
    </row>
    <row r="4268" spans="1:5" x14ac:dyDescent="0.2">
      <c r="A4268" s="12">
        <v>4207</v>
      </c>
      <c r="B4268" s="1831">
        <f>('FP Info 3'!J10)*100000</f>
        <v>2029.9999999999998</v>
      </c>
      <c r="C4268" s="2" t="s">
        <v>569</v>
      </c>
      <c r="D4268" s="2" t="str">
        <f t="shared" si="65"/>
        <v>Error?</v>
      </c>
    </row>
    <row r="4269" spans="1:5" x14ac:dyDescent="0.2">
      <c r="A4269" s="12">
        <v>4208</v>
      </c>
      <c r="B4269" s="1831">
        <f>'FP Info 3'!J16</f>
        <v>8459742</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4040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250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17794</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15730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23429</v>
      </c>
      <c r="D4792" s="2" t="str">
        <f t="shared" si="73"/>
        <v>Error?</v>
      </c>
    </row>
    <row r="4793" spans="1:4" x14ac:dyDescent="0.2">
      <c r="A4793" s="5">
        <v>4732</v>
      </c>
      <c r="B4793" s="1831">
        <f>'Revenues 9-14'!D168</f>
        <v>50000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8513</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204396850</v>
      </c>
      <c r="D4995" s="2" t="str">
        <f t="shared" si="77"/>
        <v>Error?</v>
      </c>
    </row>
    <row r="4996" spans="1:4" x14ac:dyDescent="0.2">
      <c r="A4996" s="12">
        <v>4935</v>
      </c>
      <c r="B4996" s="1831">
        <f>'FP Info 3'!H31</f>
        <v>14103382.65</v>
      </c>
      <c r="D4996" s="2" t="str">
        <f t="shared" si="77"/>
        <v>Error?</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2980457</v>
      </c>
      <c r="D5061" s="2" t="str">
        <f t="shared" si="78"/>
        <v>Error?</v>
      </c>
    </row>
    <row r="5062" spans="1:4" x14ac:dyDescent="0.2">
      <c r="A5062" s="10">
        <v>5001</v>
      </c>
      <c r="B5062" s="1831"/>
      <c r="D5062" s="2" t="str">
        <f t="shared" si="78"/>
        <v>OK</v>
      </c>
    </row>
    <row r="5063" spans="1:4" x14ac:dyDescent="0.2">
      <c r="A5063" s="5">
        <v>5002</v>
      </c>
      <c r="B5063" s="1831">
        <f>'Revenues 9-14'!C7</f>
        <v>61403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3041860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556333</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556333</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107063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107063</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2421</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393</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393</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110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110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20396</v>
      </c>
      <c r="D5119" s="2" t="str">
        <f t="shared" ref="D5119:D5182" si="79">IF(ISBLANK(B5119),"OK",IF(A5119-B5119=0,"OK","Error?"))</f>
        <v>Error?</v>
      </c>
    </row>
    <row r="5120" spans="1:4" x14ac:dyDescent="0.2">
      <c r="A5120" s="5">
        <v>5059</v>
      </c>
      <c r="B5120" s="1831">
        <f>'Revenues 9-14'!C108</f>
        <v>20396</v>
      </c>
      <c r="C5120" s="2" t="s">
        <v>569</v>
      </c>
      <c r="D5120" s="2" t="str">
        <f t="shared" si="79"/>
        <v>Error?</v>
      </c>
    </row>
    <row r="5121" spans="1:4" x14ac:dyDescent="0.2">
      <c r="A5121" s="5">
        <v>5060</v>
      </c>
      <c r="B5121" s="1831">
        <f>'Revenues 9-14'!C109</f>
        <v>3728576</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956168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956168</v>
      </c>
      <c r="C5132" s="2" t="s">
        <v>569</v>
      </c>
      <c r="D5132" s="2" t="str">
        <f t="shared" si="79"/>
        <v>Error?</v>
      </c>
    </row>
    <row r="5133" spans="1:4" x14ac:dyDescent="0.2">
      <c r="A5133" s="5">
        <v>5072</v>
      </c>
      <c r="B5133" s="1831">
        <f>'Revenues 9-14'!C125</f>
        <v>18914</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18914</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2041</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115687</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160071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1116239</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100301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22328</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122629</v>
      </c>
      <c r="C5246" s="2" t="s">
        <v>569</v>
      </c>
      <c r="D5246" s="2" t="str">
        <f t="shared" si="80"/>
        <v>Error?</v>
      </c>
    </row>
    <row r="5247" spans="1:4" x14ac:dyDescent="0.2">
      <c r="A5247" s="5">
        <v>5186</v>
      </c>
      <c r="B5247" s="1831">
        <f>'Revenues 9-14'!C200</f>
        <v>93553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93553</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109754</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109754</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372263</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372263</v>
      </c>
      <c r="C5326" s="2" t="s">
        <v>569</v>
      </c>
      <c r="D5326" s="2" t="str">
        <f t="shared" si="82"/>
        <v>Error?</v>
      </c>
    </row>
    <row r="5327" spans="1:5" x14ac:dyDescent="0.2">
      <c r="A5327" s="5">
        <v>5266</v>
      </c>
      <c r="B5327" s="1831">
        <f>'Revenues 9-14'!C268</f>
        <v>5217078</v>
      </c>
      <c r="C5327" s="2" t="s">
        <v>569</v>
      </c>
      <c r="D5327" s="2" t="str">
        <f t="shared" si="82"/>
        <v>Error?</v>
      </c>
    </row>
    <row r="5328" spans="1:5" x14ac:dyDescent="0.2">
      <c r="A5328" s="5">
        <v>5267</v>
      </c>
      <c r="B5328" s="1831">
        <f>'Revenues 9-14'!D5</f>
        <v>871712</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871712</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242443</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242443</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15000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15000</v>
      </c>
      <c r="C5355" s="2" t="s">
        <v>569</v>
      </c>
      <c r="D5355" s="2" t="str">
        <f t="shared" si="82"/>
        <v>Error?</v>
      </c>
    </row>
    <row r="5356" spans="1:4" x14ac:dyDescent="0.2">
      <c r="A5356" s="5">
        <v>5295</v>
      </c>
      <c r="B5356" s="1831">
        <f>'Revenues 9-14'!D109</f>
        <v>1129155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1179155</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975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975</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975</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29</v>
      </c>
      <c r="D5615" s="2" t="str">
        <f t="shared" si="86"/>
        <v>Error?</v>
      </c>
    </row>
    <row r="5616" spans="1:4" x14ac:dyDescent="0.2">
      <c r="A5616" s="10">
        <v>5555</v>
      </c>
      <c r="B5616" s="1831"/>
      <c r="D5616" s="2" t="str">
        <f t="shared" si="86"/>
        <v>OK</v>
      </c>
    </row>
    <row r="5617" spans="1:5" x14ac:dyDescent="0.2">
      <c r="A5617" s="5">
        <v>5556</v>
      </c>
      <c r="B5617" s="1831">
        <f>'Revenues 9-14'!F153</f>
        <v>44944</v>
      </c>
      <c r="D5617" s="2" t="str">
        <f t="shared" si="86"/>
        <v>Error?</v>
      </c>
    </row>
    <row r="5618" spans="1:5" x14ac:dyDescent="0.2">
      <c r="A5618" s="5">
        <v>5557</v>
      </c>
      <c r="B5618" s="1831">
        <f>'Revenues 9-14'!F155</f>
        <v>44973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44973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44973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45948</v>
      </c>
      <c r="C5720" s="2" t="s">
        <v>569</v>
      </c>
      <c r="D5720" s="2" t="str">
        <f t="shared" si="88"/>
        <v>Error?</v>
      </c>
    </row>
    <row r="5721" spans="1:4" x14ac:dyDescent="0.2">
      <c r="A5721" s="5">
        <v>5660</v>
      </c>
      <c r="B5721" s="1831">
        <f>'Revenues 9-14'!G5</f>
        <v>73100</v>
      </c>
      <c r="D5721" s="2" t="str">
        <f t="shared" si="88"/>
        <v>Error?</v>
      </c>
    </row>
    <row r="5722" spans="1:4" x14ac:dyDescent="0.2">
      <c r="A5722" s="5">
        <v>5661</v>
      </c>
      <c r="B5722" s="1831">
        <f>'Revenues 9-14'!G7</f>
        <v>77973</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151073</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16794</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16794</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167867</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9748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9748</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9748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975</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975</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975</v>
      </c>
      <c r="C6023" s="2" t="s">
        <v>569</v>
      </c>
      <c r="D6023" s="2" t="str">
        <f t="shared" si="93"/>
        <v>Error?</v>
      </c>
    </row>
    <row r="6024" spans="1:5" x14ac:dyDescent="0.2">
      <c r="A6024" s="5">
        <v>5963</v>
      </c>
      <c r="B6024" s="1831">
        <f>'Revenues 9-14'!G109</f>
        <v>167867</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9748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975</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2421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405</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75503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75503</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75503</v>
      </c>
      <c r="D6216" s="2" t="str">
        <f t="shared" si="96"/>
        <v>Error?</v>
      </c>
      <c r="E6216" s="2" t="s">
        <v>189</v>
      </c>
    </row>
    <row r="6217" spans="1:5" x14ac:dyDescent="0.2">
      <c r="A6217">
        <v>6156</v>
      </c>
      <c r="B6217" s="1831">
        <f>'Assets-Liab 5-6'!J4</f>
        <v>75503</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68227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68227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68227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53651</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53651</v>
      </c>
      <c r="D6229" s="2" t="str">
        <f t="shared" si="96"/>
        <v>Error?</v>
      </c>
      <c r="E6229" s="2" t="s">
        <v>189</v>
      </c>
    </row>
    <row r="6230" spans="1:5" x14ac:dyDescent="0.2">
      <c r="A6230">
        <v>6169</v>
      </c>
      <c r="B6230" s="1831">
        <f>'Acct Summary 7-8'!J20</f>
        <v>14576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14576</v>
      </c>
      <c r="D6263" s="2" t="str">
        <f t="shared" si="96"/>
        <v>Error?</v>
      </c>
      <c r="E6263" s="2" t="s">
        <v>189</v>
      </c>
    </row>
    <row r="6264" spans="1:5" x14ac:dyDescent="0.2">
      <c r="A6264">
        <v>6203</v>
      </c>
      <c r="B6264" s="1831">
        <f>'Acct Summary 7-8'!J79</f>
        <v>60927</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75503</v>
      </c>
      <c r="D6266" s="2" t="str">
        <f t="shared" si="96"/>
        <v>Error?</v>
      </c>
      <c r="E6266" s="2" t="s">
        <v>189</v>
      </c>
    </row>
    <row r="6267" spans="1:5" x14ac:dyDescent="0.2">
      <c r="A6267">
        <v>6206</v>
      </c>
      <c r="B6267" s="1831">
        <f>'Acct Summary 7-8'!C82</f>
        <v>42356</v>
      </c>
      <c r="D6267" s="2" t="str">
        <f t="shared" si="96"/>
        <v>Error?</v>
      </c>
      <c r="E6267" s="2" t="s">
        <v>189</v>
      </c>
    </row>
    <row r="6268" spans="1:5" x14ac:dyDescent="0.2">
      <c r="A6268">
        <v>6207</v>
      </c>
      <c r="B6268" s="1831">
        <f>'Acct Summary 7-8'!D82</f>
        <v>-200081</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-52473</v>
      </c>
      <c r="D6270" s="2" t="str">
        <f t="shared" si="96"/>
        <v>Error?</v>
      </c>
      <c r="E6270" s="2" t="s">
        <v>189</v>
      </c>
    </row>
    <row r="6271" spans="1:5" x14ac:dyDescent="0.2">
      <c r="A6271">
        <v>6210</v>
      </c>
      <c r="B6271" s="1831">
        <f>'Acct Summary 7-8'!G82</f>
        <v>16991</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9748</v>
      </c>
      <c r="D6273" s="2" t="str">
        <f t="shared" si="97"/>
        <v>Error?</v>
      </c>
      <c r="E6273" s="2" t="s">
        <v>189</v>
      </c>
    </row>
    <row r="6274" spans="1:5" x14ac:dyDescent="0.2">
      <c r="A6274">
        <v>6213</v>
      </c>
      <c r="B6274" s="1831">
        <f>'Acct Summary 7-8'!J82</f>
        <v>14576</v>
      </c>
      <c r="D6274" s="2" t="str">
        <f t="shared" si="97"/>
        <v>Error?</v>
      </c>
      <c r="E6274" s="2" t="s">
        <v>189</v>
      </c>
    </row>
    <row r="6275" spans="1:5" x14ac:dyDescent="0.2">
      <c r="A6275">
        <v>6214</v>
      </c>
      <c r="B6275" s="1831">
        <f>'Acct Summary 7-8'!K82</f>
        <v>-7773</v>
      </c>
      <c r="D6275" s="2" t="str">
        <f t="shared" si="97"/>
        <v>Error?</v>
      </c>
      <c r="E6275" s="2" t="s">
        <v>189</v>
      </c>
    </row>
    <row r="6276" spans="1:5" x14ac:dyDescent="0.2">
      <c r="A6276">
        <v>6215</v>
      </c>
      <c r="B6276" s="1831">
        <f>'Acct Summary 7-8'!C83</f>
        <v>7.3937411551699365E-3</v>
      </c>
      <c r="D6276" s="2" t="str">
        <f t="shared" si="97"/>
        <v>Error?</v>
      </c>
      <c r="E6276" s="2" t="s">
        <v>189</v>
      </c>
    </row>
    <row r="6277" spans="1:5" x14ac:dyDescent="0.2">
      <c r="A6277">
        <v>6216</v>
      </c>
      <c r="B6277" s="1831">
        <f>'Acct Summary 7-8'!D83</f>
        <v>-0.12696542227468002</v>
      </c>
      <c r="D6277" s="2" t="str">
        <f t="shared" si="97"/>
        <v>Error?</v>
      </c>
      <c r="E6277" s="2" t="s">
        <v>189</v>
      </c>
    </row>
    <row r="6278" spans="1:5" x14ac:dyDescent="0.2">
      <c r="A6278">
        <v>6217</v>
      </c>
      <c r="B6278" s="1831" t="e">
        <f>'Acct Summary 7-8'!E83</f>
        <v>#DIV/0!</v>
      </c>
      <c r="D6278" s="2" t="e">
        <f t="shared" si="97"/>
        <v>#DIV/0!</v>
      </c>
      <c r="E6278" s="2" t="s">
        <v>189</v>
      </c>
    </row>
    <row r="6279" spans="1:5" x14ac:dyDescent="0.2">
      <c r="A6279">
        <v>6218</v>
      </c>
      <c r="B6279" s="1831">
        <f>'Acct Summary 7-8'!F83</f>
        <v>-0.33442102646790772</v>
      </c>
      <c r="D6279" s="2" t="str">
        <f t="shared" si="97"/>
        <v>Error?</v>
      </c>
      <c r="E6279" s="2" t="s">
        <v>189</v>
      </c>
    </row>
    <row r="6280" spans="1:5" x14ac:dyDescent="0.2">
      <c r="A6280">
        <v>6219</v>
      </c>
      <c r="B6280" s="1831">
        <f>'Acct Summary 7-8'!G83</f>
        <v>0.10779449829975131</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9.7642477081864229E-3</v>
      </c>
      <c r="D6282" s="2" t="str">
        <f t="shared" si="97"/>
        <v>Error?</v>
      </c>
      <c r="E6282" s="2" t="s">
        <v>189</v>
      </c>
    </row>
    <row r="6283" spans="1:5" x14ac:dyDescent="0.2">
      <c r="A6283">
        <v>6222</v>
      </c>
      <c r="B6283" s="1831">
        <f>'Acct Summary 7-8'!J83</f>
        <v>0.19305193171132273</v>
      </c>
      <c r="D6283" s="2" t="str">
        <f t="shared" si="97"/>
        <v>Error?</v>
      </c>
      <c r="E6283" s="2" t="s">
        <v>189</v>
      </c>
    </row>
    <row r="6284" spans="1:5" x14ac:dyDescent="0.2">
      <c r="A6284">
        <v>6223</v>
      </c>
      <c r="B6284" s="1831">
        <f>'Acct Summary 7-8'!K83</f>
        <v>-2.4134879605048669E-2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68227</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68227</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68227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302397</v>
      </c>
      <c r="D6983" s="2" t="str">
        <f t="shared" si="108"/>
        <v>Error?</v>
      </c>
    </row>
    <row r="6984" spans="1:4" x14ac:dyDescent="0.2">
      <c r="A6984">
        <v>6923</v>
      </c>
      <c r="B6984" s="1831">
        <f>'Expenditures 15-22'!K86</f>
        <v>302397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302397</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53651</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68227</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53651</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53651</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53651</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53651</v>
      </c>
      <c r="D7224" s="2" t="str">
        <f t="shared" si="111"/>
        <v>Error?</v>
      </c>
    </row>
    <row r="7225" spans="1:4" x14ac:dyDescent="0.2">
      <c r="A7225">
        <v>7164</v>
      </c>
      <c r="B7225" s="1831">
        <f>'Expenditures 15-22'!K343</f>
        <v>14576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288330</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53651</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53651</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0</v>
      </c>
      <c r="D7817" s="2" t="str">
        <f t="shared" si="128"/>
        <v>Error?</v>
      </c>
      <c r="E7817" s="4" t="s">
        <v>1966</v>
      </c>
    </row>
    <row r="7818" spans="1:5" x14ac:dyDescent="0.2">
      <c r="A7818">
        <v>7757</v>
      </c>
      <c r="B7818" s="1831">
        <f>'PCTC-OEPP 27-28'!F172</f>
        <v>0</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-5560</v>
      </c>
      <c r="D7820" s="2" t="str">
        <f t="shared" si="128"/>
        <v>Error?</v>
      </c>
    </row>
    <row r="7821" spans="1:5" x14ac:dyDescent="0.2">
      <c r="A7821">
        <v>7760</v>
      </c>
      <c r="B7821" s="1831">
        <f>'ICR Computation 30'!G40</f>
        <v>-5560</v>
      </c>
      <c r="D7821" s="2" t="str">
        <f t="shared" si="128"/>
        <v>Error?</v>
      </c>
    </row>
    <row r="7822" spans="1:5" x14ac:dyDescent="0.2">
      <c r="A7822" s="1">
        <v>7761</v>
      </c>
      <c r="B7822" s="1831">
        <f>'PCTC-OEPP 27-28'!F14</f>
        <v>6856906</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17137</v>
      </c>
      <c r="D7830" s="2" t="str">
        <f t="shared" si="129"/>
        <v>Error?</v>
      </c>
      <c r="E7830" s="4" t="s">
        <v>1998</v>
      </c>
    </row>
    <row r="7831" spans="1:5" x14ac:dyDescent="0.2">
      <c r="A7831">
        <v>7770</v>
      </c>
      <c r="B7831" s="1831">
        <f>'PCTC-OEPP 27-28'!F52</f>
        <v>4213</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1500298</v>
      </c>
      <c r="D7834" s="2" t="str">
        <f t="shared" si="129"/>
        <v>Error?</v>
      </c>
      <c r="E7834" s="4" t="s">
        <v>1998</v>
      </c>
    </row>
    <row r="7835" spans="1:5" x14ac:dyDescent="0.2">
      <c r="A7835">
        <v>7774</v>
      </c>
      <c r="B7835" s="1831">
        <f>'PCTC-OEPP 27-28'!F78</f>
        <v>5356608</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13226.192592592593</v>
      </c>
      <c r="D7837" s="2" t="str">
        <f t="shared" si="129"/>
        <v>Error?</v>
      </c>
      <c r="E7837" s="4" t="s">
        <v>1998</v>
      </c>
    </row>
    <row r="7838" spans="1:5" x14ac:dyDescent="0.2">
      <c r="A7838">
        <v>7777</v>
      </c>
      <c r="B7838" s="1831">
        <f>'PCTC-OEPP 27-28'!F96</f>
        <v>393</v>
      </c>
      <c r="D7838" s="2" t="str">
        <f t="shared" si="129"/>
        <v>Error?</v>
      </c>
      <c r="E7838" s="4" t="s">
        <v>1998</v>
      </c>
    </row>
    <row r="7839" spans="1:5" x14ac:dyDescent="0.2">
      <c r="A7839">
        <v>7778</v>
      </c>
      <c r="B7839" s="1831">
        <f>'PCTC-OEPP 27-28'!F102</f>
        <v>15000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18914</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44973</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73429</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122629</v>
      </c>
      <c r="D7858" s="2" t="str">
        <f t="shared" si="129"/>
        <v>Error?</v>
      </c>
      <c r="E7858" s="4" t="s">
        <v>1998</v>
      </c>
    </row>
    <row r="7859" spans="1:5" x14ac:dyDescent="0.2">
      <c r="A7859">
        <v>7798</v>
      </c>
      <c r="B7859" s="1831">
        <f>'PCTC-OEPP 27-28'!F127</f>
        <v>93553</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109754</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17794</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15730</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4040</v>
      </c>
      <c r="D7874" s="2" t="str">
        <f t="shared" si="129"/>
        <v>Error?</v>
      </c>
      <c r="E7874" s="4" t="s">
        <v>1998</v>
      </c>
    </row>
    <row r="7875" spans="1:5" x14ac:dyDescent="0.2">
      <c r="A7875">
        <v>7814</v>
      </c>
      <c r="B7875" s="1831">
        <f>'PCTC-OEPP 27-28'!F170</f>
        <v>250</v>
      </c>
      <c r="D7875" s="2" t="str">
        <f t="shared" si="129"/>
        <v>Error?</v>
      </c>
      <c r="E7875" s="4" t="s">
        <v>1998</v>
      </c>
    </row>
    <row r="7876" spans="1:5" x14ac:dyDescent="0.2">
      <c r="A7876">
        <v>7815</v>
      </c>
      <c r="B7876" s="1831">
        <f>'PCTC-OEPP 27-28'!F171</f>
        <v>8513</v>
      </c>
      <c r="D7876" s="2" t="str">
        <f t="shared" si="129"/>
        <v>Error?</v>
      </c>
      <c r="E7876" s="4" t="s">
        <v>1998</v>
      </c>
    </row>
    <row r="7877" spans="1:5" x14ac:dyDescent="0.2">
      <c r="A7877">
        <v>7816</v>
      </c>
      <c r="B7877" s="1831">
        <f>'PCTC-OEPP 27-28'!F175</f>
        <v>529544</v>
      </c>
      <c r="D7877" s="2" t="str">
        <f t="shared" si="129"/>
        <v>Error?</v>
      </c>
      <c r="E7877" s="4" t="s">
        <v>1998</v>
      </c>
    </row>
    <row r="7878" spans="1:5" x14ac:dyDescent="0.2">
      <c r="A7878">
        <v>7817</v>
      </c>
      <c r="B7878" s="1831">
        <f>'PCTC-OEPP 27-28'!F176</f>
        <v>4827064</v>
      </c>
      <c r="D7878" s="2" t="str">
        <f t="shared" si="129"/>
        <v>Error?</v>
      </c>
      <c r="E7878" s="4" t="s">
        <v>1998</v>
      </c>
    </row>
    <row r="7879" spans="1:5" x14ac:dyDescent="0.2">
      <c r="A7879">
        <v>7818</v>
      </c>
      <c r="B7879" s="1831">
        <f>'PCTC-OEPP 27-28'!F178</f>
        <v>5115394</v>
      </c>
      <c r="D7879" s="2" t="str">
        <f t="shared" si="129"/>
        <v>Error?</v>
      </c>
      <c r="E7879" s="4" t="s">
        <v>1998</v>
      </c>
    </row>
    <row r="7880" spans="1:5" x14ac:dyDescent="0.2">
      <c r="A7880">
        <v>7819</v>
      </c>
      <c r="B7880" s="1831">
        <f>'PCTC-OEPP 27-28'!F180</f>
        <v>12630.602469135802</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4.9989318521683403E-2"/>
    <pageSetUpPr fitToPage="1"/>
  </sheetPr>
  <dimension ref="A1:AC59"/>
  <sheetViews>
    <sheetView showGridLines="0" showZeros="0" zoomScale="110" zoomScaleNormal="110" workbookViewId="0">
      <selection activeCell="N18" sqref="N18"/>
    </sheetView>
  </sheetViews>
  <sheetFormatPr defaultColWidth="9.140625" defaultRowHeight="12.75" x14ac:dyDescent="0.2"/>
  <cols>
    <col min="1" max="1" width="7.85546875" style="958" customWidth="1"/>
    <col min="2" max="2" width="2.140625" style="954" customWidth="1"/>
    <col min="3" max="3" width="9.140625" style="958"/>
    <col min="4" max="4" width="13" style="958" customWidth="1"/>
    <col min="5" max="5" width="16" style="958" customWidth="1"/>
    <col min="6" max="6" width="4.140625" style="958" customWidth="1"/>
    <col min="7" max="7" width="3.85546875" style="958" customWidth="1"/>
    <col min="8" max="8" width="9.85546875" style="958" customWidth="1"/>
    <col min="9" max="9" width="10.85546875" style="958" customWidth="1"/>
    <col min="10" max="10" width="5" style="958" customWidth="1"/>
    <col min="11" max="11" width="6.5703125" style="958" customWidth="1"/>
    <col min="12" max="12" width="12.85546875" style="958" customWidth="1"/>
    <col min="13" max="13" width="2.85546875" style="958" customWidth="1"/>
    <col min="14" max="14" width="13.140625" style="958" customWidth="1"/>
    <col min="15" max="15" width="7.140625" style="958" customWidth="1"/>
    <col min="16" max="16" width="7" style="958" customWidth="1"/>
    <col min="17"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Central Stickney SD 110</v>
      </c>
      <c r="B7" s="2535"/>
      <c r="C7" s="2535"/>
      <c r="D7" s="2536"/>
      <c r="E7" s="2537">
        <f>COVER!A13</f>
        <v>7016110002</v>
      </c>
      <c r="F7" s="2538"/>
      <c r="G7" s="2544">
        <f>COVER!T23</f>
        <v>65024892</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RSM US LLP</v>
      </c>
      <c r="H9" s="2550"/>
      <c r="I9" s="2550"/>
      <c r="J9" s="2550"/>
      <c r="K9" s="2550"/>
      <c r="L9" s="2551"/>
    </row>
    <row r="10" spans="1:29" ht="13.5" customHeight="1" x14ac:dyDescent="0.2">
      <c r="A10" s="2523" t="str">
        <f>COVER!A38</f>
        <v>Erin Hackett</v>
      </c>
      <c r="B10" s="2524"/>
      <c r="C10" s="2524"/>
      <c r="D10" s="2524"/>
      <c r="E10" s="2524"/>
      <c r="F10" s="2525"/>
      <c r="G10" s="2517" t="str">
        <f>COVER!T17</f>
        <v>One South Wacker Drive, Suite 800</v>
      </c>
      <c r="H10" s="2518"/>
      <c r="I10" s="2518"/>
      <c r="J10" s="2518"/>
      <c r="K10" s="2518"/>
      <c r="L10" s="2519"/>
    </row>
    <row r="11" spans="1:29" ht="13.5" customHeight="1" x14ac:dyDescent="0.2">
      <c r="A11" s="962" t="s">
        <v>1502</v>
      </c>
      <c r="B11" s="963"/>
      <c r="C11" s="964"/>
      <c r="D11" s="969"/>
      <c r="E11" s="964"/>
      <c r="F11" s="968"/>
      <c r="G11" s="2517" t="str">
        <f>COVER!T19</f>
        <v>Chicago</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Kelly.Kirkman@rsmus.com</v>
      </c>
      <c r="J13" s="2530"/>
      <c r="K13" s="2530"/>
      <c r="L13" s="2531"/>
    </row>
    <row r="14" spans="1:29" ht="13.5" customHeight="1" x14ac:dyDescent="0.2">
      <c r="A14" s="2517" t="str">
        <f>COVER!A19</f>
        <v>6001 S. Long Avenue</v>
      </c>
      <c r="B14" s="2518"/>
      <c r="C14" s="2518"/>
      <c r="D14" s="2518"/>
      <c r="E14" s="2518"/>
      <c r="F14" s="2519"/>
      <c r="G14" s="973" t="s">
        <v>1175</v>
      </c>
      <c r="H14" s="971"/>
      <c r="I14" s="971"/>
      <c r="J14" s="971"/>
      <c r="K14" s="971"/>
      <c r="L14" s="972"/>
    </row>
    <row r="15" spans="1:29" ht="13.5" customHeight="1" x14ac:dyDescent="0.2">
      <c r="A15" s="2517" t="str">
        <f>COVER!A21</f>
        <v>Chicago</v>
      </c>
      <c r="B15" s="2518"/>
      <c r="C15" s="2518"/>
      <c r="D15" s="2518"/>
      <c r="E15" s="2518"/>
      <c r="F15" s="2519"/>
      <c r="G15" s="2514" t="str">
        <f>COVER!T15</f>
        <v>Kelly Kirkman</v>
      </c>
      <c r="H15" s="2515"/>
      <c r="I15" s="2515"/>
      <c r="J15" s="2515"/>
      <c r="K15" s="2515"/>
      <c r="L15" s="2516"/>
    </row>
    <row r="16" spans="1:29" ht="12.2" customHeight="1" x14ac:dyDescent="0.2">
      <c r="A16" s="2540">
        <f>COVER!A25</f>
        <v>60638</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312-634-3400</v>
      </c>
      <c r="H18" s="2535"/>
      <c r="I18" s="2535"/>
      <c r="J18" s="2535"/>
      <c r="K18" s="2534" t="str">
        <f>COVER!X21</f>
        <v>312-634-5524</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3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1.1"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1.1"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pageSetUpPr fitToPage="1"/>
  </sheetPr>
  <dimension ref="A1:K127"/>
  <sheetViews>
    <sheetView showGridLines="0" zoomScale="125" zoomScaleNormal="125" workbookViewId="0">
      <selection activeCell="D8" sqref="D8"/>
    </sheetView>
  </sheetViews>
  <sheetFormatPr defaultColWidth="10.85546875" defaultRowHeight="11.25" x14ac:dyDescent="0.2"/>
  <cols>
    <col min="1" max="1" width="1.85546875" style="993" customWidth="1"/>
    <col min="2" max="2" width="2.85546875" style="997" customWidth="1"/>
    <col min="3" max="3" width="3.140625" style="1007" customWidth="1"/>
    <col min="4" max="4" width="97.85546875" style="997" customWidth="1"/>
    <col min="5" max="5" width="4.140625" style="997" customWidth="1"/>
    <col min="6" max="16384" width="10.85546875" style="997"/>
  </cols>
  <sheetData>
    <row r="1" spans="1:11" s="990" customFormat="1" ht="12.75" x14ac:dyDescent="0.2">
      <c r="A1" s="2556" t="str">
        <f>'Single Audit Cover'!A7</f>
        <v xml:space="preserve">   Central Stickney SD 110</v>
      </c>
      <c r="B1" s="2557"/>
      <c r="C1" s="2557"/>
      <c r="D1" s="2557"/>
    </row>
    <row r="2" spans="1:11" s="990" customFormat="1" ht="12.75" x14ac:dyDescent="0.2">
      <c r="A2" s="2558">
        <f>'Single Audit Cover'!E7</f>
        <v>7016110002</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14999847407452621"/>
  </sheetPr>
  <dimension ref="A1:E49"/>
  <sheetViews>
    <sheetView showGridLines="0" zoomScale="110" zoomScaleNormal="110" zoomScaleSheetLayoutView="100" workbookViewId="0">
      <selection activeCell="D59" sqref="D59"/>
    </sheetView>
  </sheetViews>
  <sheetFormatPr defaultColWidth="15.85546875" defaultRowHeight="12.75" x14ac:dyDescent="0.2"/>
  <cols>
    <col min="1" max="1" width="31.85546875" style="294" customWidth="1"/>
    <col min="2" max="2" width="29.5703125" style="1033" customWidth="1"/>
    <col min="3" max="3" width="1.140625" style="1033" customWidth="1"/>
    <col min="4" max="4" width="24.42578125" style="1034" customWidth="1"/>
    <col min="5" max="5" width="5" style="294" customWidth="1"/>
    <col min="6" max="16384" width="15.85546875" style="294"/>
  </cols>
  <sheetData>
    <row r="1" spans="1:5" x14ac:dyDescent="0.2">
      <c r="A1" s="2561" t="str">
        <f>'Single Audit Cover'!A7</f>
        <v xml:space="preserve">   Central Stickney SD 110</v>
      </c>
      <c r="B1" s="2561"/>
      <c r="C1" s="2561"/>
      <c r="D1" s="2561"/>
      <c r="E1" s="2561"/>
    </row>
    <row r="2" spans="1:5" x14ac:dyDescent="0.2">
      <c r="A2" s="2562">
        <f>'Single Audit Cover'!E7</f>
        <v>7016110002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372263</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-250</v>
      </c>
    </row>
    <row r="19" spans="1:4" ht="13.5" thickBot="1" x14ac:dyDescent="0.25">
      <c r="A19" s="1040" t="s">
        <v>1224</v>
      </c>
      <c r="D19" s="1041">
        <f>SUM(D10:D17)</f>
        <v>372013</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372013</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372013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4999847407452621"/>
  </sheetPr>
  <dimension ref="B1:N152"/>
  <sheetViews>
    <sheetView showGridLines="0" topLeftCell="A4" zoomScaleNormal="100" workbookViewId="0">
      <selection activeCell="I15" sqref="I15"/>
    </sheetView>
  </sheetViews>
  <sheetFormatPr defaultColWidth="33.5703125" defaultRowHeight="12.75" x14ac:dyDescent="0.2"/>
  <cols>
    <col min="1" max="1" width="0.140625" style="294" customWidth="1"/>
    <col min="2" max="2" width="32.85546875" style="294" customWidth="1"/>
    <col min="3" max="3" width="8.85546875" style="1126" customWidth="1"/>
    <col min="4" max="4" width="12.85546875" style="1127" customWidth="1"/>
    <col min="5" max="6" width="11.85546875" style="294" customWidth="1"/>
    <col min="7" max="7" width="11.85546875" style="1033" customWidth="1"/>
    <col min="8" max="8" width="13.85546875" style="1033" bestFit="1" customWidth="1"/>
    <col min="9" max="9" width="11.85546875" style="1033" customWidth="1"/>
    <col min="10" max="10" width="13.85546875" style="1033" customWidth="1"/>
    <col min="11" max="12" width="11.85546875" style="1033" customWidth="1"/>
    <col min="13" max="13" width="11.85546875" style="294" customWidth="1"/>
    <col min="14" max="14" width="2.85546875" style="294" customWidth="1"/>
    <col min="15" max="16384" width="33.5703125" style="294"/>
  </cols>
  <sheetData>
    <row r="1" spans="2:14" ht="11.85" customHeight="1" x14ac:dyDescent="0.2">
      <c r="B1" s="2543" t="str">
        <f>'Single Audit Cover'!A7</f>
        <v xml:space="preserve">   Central Stickney SD 110</v>
      </c>
      <c r="C1" s="2565"/>
      <c r="D1" s="2565"/>
      <c r="E1" s="2565"/>
      <c r="F1" s="2565"/>
      <c r="G1" s="2565"/>
      <c r="H1" s="2565"/>
      <c r="I1" s="2565"/>
      <c r="J1" s="2565"/>
      <c r="K1" s="2565"/>
      <c r="L1" s="2565"/>
      <c r="M1" s="2565"/>
    </row>
    <row r="2" spans="2:14" ht="15" x14ac:dyDescent="0.2">
      <c r="B2" s="2566">
        <f>'Single Audit Cover'!E7</f>
        <v>7016110002</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pageSetUpPr fitToPage="1"/>
  </sheetPr>
  <dimension ref="A1:G52"/>
  <sheetViews>
    <sheetView showGridLines="0" zoomScale="120" zoomScaleNormal="120" workbookViewId="0">
      <selection activeCell="D21" sqref="D21:F21"/>
    </sheetView>
  </sheetViews>
  <sheetFormatPr defaultColWidth="8" defaultRowHeight="12.75" x14ac:dyDescent="0.2"/>
  <cols>
    <col min="1" max="1" width="1.42578125" style="294" customWidth="1"/>
    <col min="2" max="2" width="53.140625" style="294" customWidth="1"/>
    <col min="3" max="3" width="14" style="1033" customWidth="1"/>
    <col min="4" max="4" width="16.85546875" style="1033" customWidth="1"/>
    <col min="5" max="5" width="7.5703125" style="294" customWidth="1"/>
    <col min="6" max="6" width="2.85546875" style="294" customWidth="1"/>
    <col min="7" max="7" width="3.140625" style="294" customWidth="1"/>
    <col min="8" max="16384" width="8" style="294"/>
  </cols>
  <sheetData>
    <row r="1" spans="1:7" ht="13.5" customHeight="1" x14ac:dyDescent="0.2">
      <c r="A1" s="2578" t="str">
        <f>'Single Audit Cover'!A7</f>
        <v xml:space="preserve">   Central Stickney SD 110</v>
      </c>
      <c r="B1" s="2578"/>
      <c r="C1" s="2578"/>
      <c r="D1" s="2578"/>
      <c r="E1" s="2578"/>
      <c r="F1" s="2578"/>
    </row>
    <row r="2" spans="1:7" ht="13.5" customHeight="1" x14ac:dyDescent="0.2">
      <c r="A2" s="2566">
        <f>'Single Audit Cover'!E7</f>
        <v>7016110002</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4"/>
      <c r="D5" s="294"/>
    </row>
    <row r="6" spans="1:7" ht="13.5" customHeight="1" x14ac:dyDescent="0.2">
      <c r="A6" s="1051" t="s">
        <v>1705</v>
      </c>
      <c r="C6" s="294"/>
      <c r="D6" s="294"/>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0"/>
      <c r="E17" s="2570"/>
      <c r="F17" s="2570"/>
    </row>
    <row r="18" spans="1:6" ht="20.85" customHeight="1" x14ac:dyDescent="0.2">
      <c r="A18" s="1058"/>
      <c r="B18" s="1059"/>
      <c r="C18" s="1060"/>
      <c r="D18" s="2570"/>
      <c r="E18" s="2570"/>
      <c r="F18" s="2570"/>
    </row>
    <row r="19" spans="1:6" ht="20.85" customHeight="1" x14ac:dyDescent="0.2">
      <c r="A19" s="1058"/>
      <c r="B19" s="1059"/>
      <c r="C19" s="1060"/>
      <c r="D19" s="2570"/>
      <c r="E19" s="2570"/>
      <c r="F19" s="2570"/>
    </row>
    <row r="20" spans="1:6" ht="20.85" customHeight="1" x14ac:dyDescent="0.2">
      <c r="A20" s="1058"/>
      <c r="B20" s="1059"/>
      <c r="C20" s="1060"/>
      <c r="D20" s="2570"/>
      <c r="E20" s="2570"/>
      <c r="F20" s="2570"/>
    </row>
    <row r="21" spans="1:6" ht="20.85" customHeight="1" x14ac:dyDescent="0.2">
      <c r="A21" s="1058"/>
      <c r="B21" s="1059"/>
      <c r="C21" s="1060"/>
      <c r="D21" s="2570"/>
      <c r="E21" s="2570"/>
      <c r="F21" s="2570"/>
    </row>
    <row r="22" spans="1:6" ht="20.85" customHeight="1" x14ac:dyDescent="0.2">
      <c r="A22" s="1058"/>
      <c r="B22" s="1059"/>
      <c r="C22" s="1060"/>
      <c r="D22" s="2570"/>
      <c r="E22" s="2570"/>
      <c r="F22" s="2570"/>
    </row>
    <row r="23" spans="1:6" ht="20.85" customHeight="1" x14ac:dyDescent="0.2">
      <c r="A23" s="1058"/>
      <c r="B23" s="1059"/>
      <c r="C23" s="1060"/>
      <c r="D23" s="2570"/>
      <c r="E23" s="2570"/>
      <c r="F23" s="2570"/>
    </row>
    <row r="24" spans="1:6" ht="20.85" customHeight="1" x14ac:dyDescent="0.2">
      <c r="A24" s="1058"/>
      <c r="B24" s="1059"/>
      <c r="C24" s="1060"/>
      <c r="D24" s="2570"/>
      <c r="E24" s="2570"/>
      <c r="F24" s="2570"/>
    </row>
    <row r="25" spans="1:6" ht="20.85" customHeight="1" x14ac:dyDescent="0.2">
      <c r="A25" s="1058"/>
      <c r="B25" s="1059"/>
      <c r="C25" s="1060"/>
      <c r="D25" s="2570"/>
      <c r="E25" s="2570"/>
      <c r="F25" s="2570"/>
    </row>
    <row r="26" spans="1:6" ht="20.85" customHeight="1" x14ac:dyDescent="0.2">
      <c r="A26" s="1058"/>
      <c r="B26" s="1059"/>
      <c r="C26" s="1060"/>
      <c r="D26" s="2570"/>
      <c r="E26" s="2570"/>
      <c r="F26" s="2570"/>
    </row>
    <row r="27" spans="1:6" ht="20.85" customHeight="1" x14ac:dyDescent="0.2">
      <c r="A27" s="1058"/>
      <c r="B27" s="1059"/>
      <c r="C27" s="1060"/>
      <c r="D27" s="2570"/>
      <c r="E27" s="2570"/>
      <c r="F27" s="2570"/>
    </row>
    <row r="28" spans="1:6" ht="20.85" customHeight="1" x14ac:dyDescent="0.2">
      <c r="A28" s="1058"/>
      <c r="B28" s="1059"/>
      <c r="C28" s="1060"/>
      <c r="D28" s="2570"/>
      <c r="E28" s="2570"/>
      <c r="F28" s="2570"/>
    </row>
    <row r="29" spans="1:6" ht="20.85" customHeight="1" x14ac:dyDescent="0.2">
      <c r="A29" s="1058"/>
      <c r="B29" s="1059"/>
      <c r="C29" s="1060"/>
      <c r="D29" s="2570"/>
      <c r="E29" s="2570"/>
      <c r="F29" s="2570"/>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1" t="s">
        <v>1709</v>
      </c>
      <c r="B32" s="2571"/>
      <c r="C32" s="2571"/>
      <c r="D32" s="2571"/>
      <c r="E32" s="2571"/>
      <c r="F32" s="2571"/>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72">
        <f>+C33+C34</f>
        <v>0</v>
      </c>
      <c r="F34" s="2573"/>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sheetPr>
  <dimension ref="A1:K143"/>
  <sheetViews>
    <sheetView showGridLines="0" defaultGridColor="0" topLeftCell="A101" colorId="8" zoomScaleNormal="100" workbookViewId="0">
      <selection activeCell="D122" sqref="D122"/>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855468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3" t="s">
        <v>1158</v>
      </c>
      <c r="B2" s="2153"/>
      <c r="C2" s="2153"/>
      <c r="D2" s="2153"/>
      <c r="E2" s="2153"/>
      <c r="F2" s="2153"/>
      <c r="G2" s="2153"/>
      <c r="H2" s="2153"/>
      <c r="I2" s="2153"/>
      <c r="J2" s="2153"/>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7" t="s">
        <v>1616</v>
      </c>
      <c r="B35" s="2168"/>
      <c r="C35" s="2168"/>
      <c r="D35" s="2168"/>
      <c r="E35" s="2169"/>
      <c r="F35" s="2169"/>
      <c r="G35" s="2169"/>
      <c r="H35" s="2169"/>
      <c r="I35" s="216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7" t="s">
        <v>310</v>
      </c>
      <c r="B47" s="2170"/>
      <c r="C47" s="2170"/>
      <c r="D47" s="2170"/>
      <c r="E47" s="2171"/>
      <c r="F47" s="2171"/>
      <c r="G47" s="2171"/>
      <c r="H47" s="2171"/>
      <c r="I47" s="217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1445</v>
      </c>
      <c r="E53" s="242"/>
      <c r="F53" s="243"/>
      <c r="G53" s="243" t="s">
        <v>1444</v>
      </c>
      <c r="H53" s="244"/>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4"/>
      <c r="C57" s="2175"/>
      <c r="D57" s="2175"/>
      <c r="E57" s="2175"/>
      <c r="F57" s="2175"/>
      <c r="G57" s="2175"/>
      <c r="H57" s="2175"/>
      <c r="I57" s="2175"/>
      <c r="J57" s="2176"/>
    </row>
    <row r="58" spans="1:10" s="175" customFormat="1" x14ac:dyDescent="0.2">
      <c r="A58" s="247"/>
      <c r="B58" s="2177"/>
      <c r="C58" s="2178"/>
      <c r="D58" s="2178"/>
      <c r="E58" s="2178"/>
      <c r="F58" s="2178"/>
      <c r="G58" s="2178"/>
      <c r="H58" s="2178"/>
      <c r="I58" s="2178"/>
      <c r="J58" s="2179"/>
    </row>
    <row r="59" spans="1:10" s="175" customFormat="1" x14ac:dyDescent="0.2">
      <c r="A59" s="247"/>
      <c r="B59" s="2177"/>
      <c r="C59" s="2178"/>
      <c r="D59" s="2178"/>
      <c r="E59" s="2178"/>
      <c r="F59" s="2178"/>
      <c r="G59" s="2178"/>
      <c r="H59" s="2178"/>
      <c r="I59" s="2178"/>
      <c r="J59" s="2179"/>
    </row>
    <row r="60" spans="1:10" s="175" customFormat="1" x14ac:dyDescent="0.2">
      <c r="A60" s="247"/>
      <c r="B60" s="2177"/>
      <c r="C60" s="2178"/>
      <c r="D60" s="2178"/>
      <c r="E60" s="2178"/>
      <c r="F60" s="2178"/>
      <c r="G60" s="2178"/>
      <c r="H60" s="2178"/>
      <c r="I60" s="2178"/>
      <c r="J60" s="2179"/>
    </row>
    <row r="61" spans="1:10" s="175" customFormat="1" x14ac:dyDescent="0.2">
      <c r="A61" s="247"/>
      <c r="B61" s="2177"/>
      <c r="C61" s="2178"/>
      <c r="D61" s="2178"/>
      <c r="E61" s="2178"/>
      <c r="F61" s="2178"/>
      <c r="G61" s="2178"/>
      <c r="H61" s="2178"/>
      <c r="I61" s="2178"/>
      <c r="J61" s="2179"/>
    </row>
    <row r="62" spans="1:10" s="175" customFormat="1" x14ac:dyDescent="0.2">
      <c r="A62" s="247"/>
      <c r="B62" s="2177"/>
      <c r="C62" s="2178"/>
      <c r="D62" s="2178"/>
      <c r="E62" s="2178"/>
      <c r="F62" s="2178"/>
      <c r="G62" s="2178"/>
      <c r="H62" s="2178"/>
      <c r="I62" s="2178"/>
      <c r="J62" s="2179"/>
    </row>
    <row r="63" spans="1:10" s="175" customFormat="1" x14ac:dyDescent="0.2">
      <c r="A63" s="247"/>
      <c r="B63" s="2177"/>
      <c r="C63" s="2178"/>
      <c r="D63" s="2178"/>
      <c r="E63" s="2178"/>
      <c r="F63" s="2178"/>
      <c r="G63" s="2178"/>
      <c r="H63" s="2178"/>
      <c r="I63" s="2178"/>
      <c r="J63" s="2179"/>
    </row>
    <row r="64" spans="1:10" s="175" customFormat="1" x14ac:dyDescent="0.2">
      <c r="A64" s="247"/>
      <c r="B64" s="2177"/>
      <c r="C64" s="2178"/>
      <c r="D64" s="2178"/>
      <c r="E64" s="2178"/>
      <c r="F64" s="2178"/>
      <c r="G64" s="2178"/>
      <c r="H64" s="2178"/>
      <c r="I64" s="2178"/>
      <c r="J64" s="2179"/>
    </row>
    <row r="65" spans="1:11" s="175" customFormat="1" x14ac:dyDescent="0.2">
      <c r="A65" s="247"/>
      <c r="B65" s="2177"/>
      <c r="C65" s="2178"/>
      <c r="D65" s="2178"/>
      <c r="E65" s="2178"/>
      <c r="F65" s="2178"/>
      <c r="G65" s="2178"/>
      <c r="H65" s="2178"/>
      <c r="I65" s="2178"/>
      <c r="J65" s="2179"/>
    </row>
    <row r="66" spans="1:11" s="175" customFormat="1" x14ac:dyDescent="0.2">
      <c r="A66" s="247"/>
      <c r="B66" s="2177"/>
      <c r="C66" s="2178"/>
      <c r="D66" s="2178"/>
      <c r="E66" s="2178"/>
      <c r="F66" s="2178"/>
      <c r="G66" s="2178"/>
      <c r="H66" s="2178"/>
      <c r="I66" s="2178"/>
      <c r="J66" s="2179"/>
    </row>
    <row r="67" spans="1:11" s="175" customFormat="1" ht="9" customHeight="1" x14ac:dyDescent="0.2">
      <c r="A67" s="248"/>
      <c r="B67" s="2180"/>
      <c r="C67" s="2181"/>
      <c r="D67" s="2181"/>
      <c r="E67" s="2181"/>
      <c r="F67" s="2181"/>
      <c r="G67" s="2181"/>
      <c r="H67" s="2181"/>
      <c r="I67" s="2181"/>
      <c r="J67" s="218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7" t="s">
        <v>1312</v>
      </c>
      <c r="B70" s="2170"/>
      <c r="C70" s="2170"/>
      <c r="D70" s="2170"/>
      <c r="E70" s="2171"/>
      <c r="F70" s="2171"/>
      <c r="G70" s="2171"/>
      <c r="H70" s="2171"/>
      <c r="I70" s="2171"/>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2" t="s">
        <v>1309</v>
      </c>
      <c r="B83" s="2172"/>
      <c r="C83" s="2172"/>
      <c r="D83" s="2173"/>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3" t="s">
        <v>1989</v>
      </c>
      <c r="B85" s="2183"/>
      <c r="C85" s="2183"/>
      <c r="D85" s="2184"/>
      <c r="E85" s="1543"/>
      <c r="F85" s="1543"/>
      <c r="G85" s="1543"/>
      <c r="H85" s="1543"/>
      <c r="I85" s="1903"/>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5" t="s">
        <v>1989</v>
      </c>
      <c r="B88" s="2186"/>
      <c r="C88" s="2186"/>
      <c r="D88" s="2187"/>
      <c r="E88" s="1543"/>
      <c r="F88" s="1543"/>
      <c r="G88" s="1543"/>
      <c r="H88" s="1543"/>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0</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4"/>
      <c r="C102" s="2155"/>
      <c r="D102" s="2155"/>
      <c r="E102" s="2155"/>
      <c r="F102" s="2155"/>
      <c r="G102" s="2155"/>
      <c r="H102" s="2155"/>
      <c r="I102" s="2156"/>
    </row>
    <row r="103" spans="1:9" s="175" customFormat="1" ht="11.25" customHeight="1" x14ac:dyDescent="0.2">
      <c r="A103" s="293"/>
      <c r="B103" s="2157"/>
      <c r="C103" s="2158"/>
      <c r="D103" s="2158"/>
      <c r="E103" s="2158"/>
      <c r="F103" s="2158"/>
      <c r="G103" s="2158"/>
      <c r="H103" s="2158"/>
      <c r="I103" s="2159"/>
    </row>
    <row r="104" spans="1:9" s="175" customFormat="1" ht="11.25" customHeight="1" x14ac:dyDescent="0.2">
      <c r="A104" s="293"/>
      <c r="B104" s="2157"/>
      <c r="C104" s="2158"/>
      <c r="D104" s="2158"/>
      <c r="E104" s="2158"/>
      <c r="F104" s="2158"/>
      <c r="G104" s="2158"/>
      <c r="H104" s="2158"/>
      <c r="I104" s="2159"/>
    </row>
    <row r="105" spans="1:9" s="175" customFormat="1" x14ac:dyDescent="0.2">
      <c r="A105" s="293"/>
      <c r="B105" s="2157"/>
      <c r="C105" s="2158"/>
      <c r="D105" s="2158"/>
      <c r="E105" s="2158"/>
      <c r="F105" s="2158"/>
      <c r="G105" s="2158"/>
      <c r="H105" s="2158"/>
      <c r="I105" s="2159"/>
    </row>
    <row r="106" spans="1:9" s="175" customFormat="1" ht="11.25" customHeight="1" x14ac:dyDescent="0.2">
      <c r="A106" s="293"/>
      <c r="B106" s="2157"/>
      <c r="C106" s="2158"/>
      <c r="D106" s="2158"/>
      <c r="E106" s="2158"/>
      <c r="F106" s="2158"/>
      <c r="G106" s="2158"/>
      <c r="H106" s="2158"/>
      <c r="I106" s="2159"/>
    </row>
    <row r="107" spans="1:9" s="175" customFormat="1" ht="11.25" customHeight="1" x14ac:dyDescent="0.2">
      <c r="A107" s="293"/>
      <c r="B107" s="2157"/>
      <c r="C107" s="2158"/>
      <c r="D107" s="2158"/>
      <c r="E107" s="2158"/>
      <c r="F107" s="2158"/>
      <c r="G107" s="2158"/>
      <c r="H107" s="2158"/>
      <c r="I107" s="2159"/>
    </row>
    <row r="108" spans="1:9" s="175" customFormat="1" ht="11.25" customHeight="1" x14ac:dyDescent="0.2">
      <c r="A108" s="293"/>
      <c r="B108" s="2157"/>
      <c r="C108" s="2158"/>
      <c r="D108" s="2158"/>
      <c r="E108" s="2158"/>
      <c r="F108" s="2158"/>
      <c r="G108" s="2158"/>
      <c r="H108" s="2158"/>
      <c r="I108" s="2159"/>
    </row>
    <row r="109" spans="1:9" s="175" customFormat="1" ht="11.25" customHeight="1" x14ac:dyDescent="0.2">
      <c r="A109" s="293"/>
      <c r="B109" s="2157"/>
      <c r="C109" s="2158"/>
      <c r="D109" s="2158"/>
      <c r="E109" s="2158"/>
      <c r="F109" s="2158"/>
      <c r="G109" s="2158"/>
      <c r="H109" s="2158"/>
      <c r="I109" s="2159"/>
    </row>
    <row r="110" spans="1:9" s="175" customFormat="1" ht="11.25" customHeight="1" x14ac:dyDescent="0.2">
      <c r="A110" s="293"/>
      <c r="B110" s="2157"/>
      <c r="C110" s="2158"/>
      <c r="D110" s="2158"/>
      <c r="E110" s="2158"/>
      <c r="F110" s="2158"/>
      <c r="G110" s="2158"/>
      <c r="H110" s="2158"/>
      <c r="I110" s="2159"/>
    </row>
    <row r="111" spans="1:9" s="175" customFormat="1" ht="11.25" customHeight="1" x14ac:dyDescent="0.2">
      <c r="A111" s="293"/>
      <c r="B111" s="2157"/>
      <c r="C111" s="2158"/>
      <c r="D111" s="2158"/>
      <c r="E111" s="2158"/>
      <c r="F111" s="2158"/>
      <c r="G111" s="2158"/>
      <c r="H111" s="2158"/>
      <c r="I111" s="2159"/>
    </row>
    <row r="112" spans="1:9" s="175" customFormat="1" ht="11.25" customHeight="1" x14ac:dyDescent="0.2">
      <c r="A112" s="293"/>
      <c r="B112" s="2160"/>
      <c r="C112" s="2161"/>
      <c r="D112" s="2161"/>
      <c r="E112" s="2161"/>
      <c r="F112" s="2161"/>
      <c r="G112" s="2161"/>
      <c r="H112" s="2161"/>
      <c r="I112" s="216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3" t="s">
        <v>2064</v>
      </c>
      <c r="D114" s="2163"/>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4" t="s">
        <v>1319</v>
      </c>
      <c r="D117" s="2165"/>
      <c r="E117" s="2166"/>
      <c r="F117" s="2166"/>
      <c r="G117" s="2166"/>
      <c r="H117" s="2166"/>
      <c r="I117" s="281"/>
    </row>
    <row r="118" spans="1:9" s="175" customFormat="1" ht="24" customHeight="1" x14ac:dyDescent="0.2">
      <c r="A118" s="293"/>
      <c r="B118" s="293"/>
      <c r="C118" s="293"/>
      <c r="D118" s="300" t="s">
        <v>2077</v>
      </c>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J63"/>
  <sheetViews>
    <sheetView showGridLines="0" zoomScale="110" zoomScaleNormal="110" workbookViewId="0">
      <selection activeCell="D21" sqref="D21"/>
    </sheetView>
  </sheetViews>
  <sheetFormatPr defaultColWidth="9.140625" defaultRowHeight="12.75" x14ac:dyDescent="0.2"/>
  <cols>
    <col min="1" max="1" width="1.42578125" style="1075" customWidth="1"/>
    <col min="2" max="2" width="24.42578125" style="1126" customWidth="1"/>
    <col min="3" max="3" width="29.5703125" style="294" customWidth="1"/>
    <col min="4" max="4" width="9.140625" style="294" customWidth="1"/>
    <col min="5" max="5" width="5.140625" style="1033" customWidth="1"/>
    <col min="6" max="8" width="5.140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92" t="str">
        <f>'Single Audit Cover'!A7</f>
        <v xml:space="preserve">   Central Stickney SD 110</v>
      </c>
      <c r="C1" s="2593"/>
      <c r="D1" s="2593"/>
      <c r="E1" s="2593"/>
      <c r="F1" s="2593"/>
      <c r="G1" s="2593"/>
      <c r="H1" s="2593"/>
      <c r="I1" s="2593"/>
      <c r="J1" s="1177"/>
    </row>
    <row r="2" spans="2:10" s="294" customFormat="1" ht="12.75" customHeight="1" x14ac:dyDescent="0.2">
      <c r="B2" s="2594">
        <f>'Single Audit Cover'!E7</f>
        <v>7016110002</v>
      </c>
      <c r="C2" s="2595"/>
      <c r="D2" s="2595"/>
      <c r="E2" s="2595"/>
      <c r="F2" s="2595"/>
      <c r="G2" s="2595"/>
      <c r="H2" s="2595"/>
      <c r="I2" s="2595"/>
      <c r="J2" s="1177"/>
    </row>
    <row r="3" spans="2:10" s="294" customFormat="1" ht="12.75" customHeight="1" x14ac:dyDescent="0.2">
      <c r="B3" s="2596" t="s">
        <v>1274</v>
      </c>
      <c r="C3" s="2597"/>
      <c r="D3" s="2597"/>
      <c r="E3" s="2597"/>
      <c r="F3" s="2597"/>
      <c r="G3" s="2597"/>
      <c r="H3" s="2597"/>
      <c r="I3" s="2597"/>
      <c r="J3" s="1178"/>
    </row>
    <row r="4" spans="2:10" s="294" customFormat="1" ht="12.75" customHeight="1" x14ac:dyDescent="0.2">
      <c r="B4" s="2596" t="str">
        <f>'Single Audit Cover'!A4</f>
        <v>Year Ending June 30, 2020</v>
      </c>
      <c r="C4" s="2597"/>
      <c r="D4" s="2597"/>
      <c r="E4" s="2597"/>
      <c r="F4" s="2597"/>
      <c r="G4" s="2597"/>
      <c r="H4" s="2597"/>
      <c r="I4" s="2597"/>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6" t="s">
        <v>1273</v>
      </c>
      <c r="C7" s="2597"/>
      <c r="D7" s="2597"/>
      <c r="E7" s="2597"/>
      <c r="F7" s="2597"/>
      <c r="G7" s="2597"/>
      <c r="H7" s="2597"/>
      <c r="I7" s="2597"/>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8"/>
      <c r="D11" s="2598"/>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9"/>
      <c r="E29" s="2599"/>
      <c r="F29" s="2599"/>
      <c r="G29" s="2599"/>
      <c r="H29" s="2599"/>
      <c r="I29" s="2599"/>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6" t="str">
        <f>"Total Federal Expenditures for 7/1/"&amp;MID('AFR20'!E2,3,2)-1&amp;"-6/30/"&amp;MID('AFR20'!E2,3,2)</f>
        <v>Total Federal Expenditures for 7/1/19-6/30/20</v>
      </c>
      <c r="C45" s="1917"/>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14999847407452621"/>
  </sheetPr>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92" t="str">
        <f>'Single Audit Cover'!A7</f>
        <v xml:space="preserve">   Central Stickney SD 110</v>
      </c>
      <c r="C1" s="2592"/>
      <c r="D1" s="2592"/>
      <c r="E1" s="2592"/>
      <c r="F1" s="2592"/>
      <c r="G1" s="2592"/>
      <c r="H1" s="2592"/>
      <c r="I1" s="2592"/>
      <c r="J1" s="2592"/>
      <c r="K1" s="2592"/>
      <c r="L1" s="1143"/>
      <c r="M1" s="1143"/>
    </row>
    <row r="2" spans="1:13" ht="12" customHeight="1" x14ac:dyDescent="0.2">
      <c r="B2" s="2594">
        <f>'Single Audit Cover'!E7</f>
        <v>7016110002</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6"/>
      <c r="C32" s="2606"/>
      <c r="D32" s="2607"/>
      <c r="E32" s="2607"/>
      <c r="F32" s="2607"/>
      <c r="G32" s="2607"/>
      <c r="H32" s="2607"/>
      <c r="I32" s="2607"/>
      <c r="J32" s="2607"/>
      <c r="K32" s="2607"/>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249977111117893"/>
  </sheetPr>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855468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5" t="str">
        <f>'Single Audit Cover'!A7</f>
        <v xml:space="preserve">   Central Stickney SD 110</v>
      </c>
      <c r="C1" s="2615"/>
      <c r="D1" s="2615"/>
      <c r="E1" s="2615"/>
      <c r="F1" s="2615"/>
      <c r="G1" s="2615"/>
      <c r="H1" s="2615"/>
      <c r="I1" s="2615"/>
      <c r="J1" s="2615"/>
      <c r="K1" s="2615"/>
      <c r="L1" s="1220"/>
    </row>
    <row r="2" spans="1:12" ht="12.75" customHeight="1" x14ac:dyDescent="0.2">
      <c r="B2" s="2616">
        <f>'Single Audit Cover'!E7</f>
        <v>7016110002</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299"/>
    </row>
    <row r="6" spans="1:12" ht="30.75" customHeight="1" x14ac:dyDescent="0.2">
      <c r="A6" s="299"/>
      <c r="B6" s="2617" t="s">
        <v>1297</v>
      </c>
      <c r="C6" s="2617"/>
      <c r="D6" s="2617"/>
      <c r="E6" s="2617"/>
      <c r="F6" s="2617"/>
      <c r="G6" s="2617"/>
      <c r="H6" s="2617"/>
      <c r="I6" s="2617"/>
      <c r="J6" s="2617"/>
      <c r="K6" s="2617"/>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8"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9"/>
      <c r="G12" s="2599"/>
      <c r="H12" s="2599"/>
      <c r="I12" s="2599"/>
      <c r="J12" s="2599"/>
      <c r="K12" s="2599"/>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2"/>
      <c r="E14" s="2612"/>
      <c r="F14" s="2612"/>
      <c r="H14" s="1229" t="s">
        <v>1292</v>
      </c>
      <c r="I14" s="2613"/>
      <c r="J14" s="2613"/>
      <c r="K14" s="2613"/>
      <c r="L14" s="299"/>
    </row>
    <row r="15" spans="1:12" ht="9.6"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3"/>
      <c r="E16" s="2613"/>
      <c r="F16" s="2613"/>
      <c r="G16" s="2613"/>
      <c r="H16" s="2613"/>
      <c r="I16" s="2613"/>
      <c r="J16" s="2613"/>
      <c r="K16" s="2613"/>
      <c r="L16" s="299"/>
    </row>
    <row r="17" spans="2:12" ht="13.5" customHeight="1" x14ac:dyDescent="0.2">
      <c r="B17" s="1155" t="s">
        <v>1290</v>
      </c>
      <c r="C17" s="1155"/>
      <c r="D17" s="2614"/>
      <c r="E17" s="2614"/>
      <c r="F17" s="2614"/>
      <c r="G17" s="2614"/>
      <c r="H17" s="2614"/>
      <c r="I17" s="2614"/>
      <c r="J17" s="2614"/>
      <c r="K17" s="2614"/>
      <c r="L17" s="299"/>
    </row>
    <row r="18" spans="2:12" ht="9.6"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7"/>
      <c r="C23" s="2607"/>
      <c r="D23" s="2607"/>
      <c r="E23" s="2607"/>
      <c r="F23" s="2607"/>
      <c r="G23" s="2607"/>
      <c r="H23" s="2607"/>
      <c r="I23" s="2607"/>
      <c r="J23" s="2607"/>
      <c r="K23" s="2607"/>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7"/>
      <c r="C26" s="2607"/>
      <c r="D26" s="2607"/>
      <c r="E26" s="2607"/>
      <c r="F26" s="2607"/>
      <c r="G26" s="2607"/>
      <c r="H26" s="2607"/>
      <c r="I26" s="2607"/>
      <c r="J26" s="2607"/>
      <c r="K26" s="2607"/>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7"/>
      <c r="C29" s="2607"/>
      <c r="D29" s="2607"/>
      <c r="E29" s="2607"/>
      <c r="F29" s="2607"/>
      <c r="G29" s="2607"/>
      <c r="H29" s="2607"/>
      <c r="I29" s="2607"/>
      <c r="J29" s="2607"/>
      <c r="K29" s="2607"/>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7"/>
      <c r="C32" s="2607"/>
      <c r="D32" s="2607"/>
      <c r="E32" s="2607"/>
      <c r="F32" s="2607"/>
      <c r="G32" s="2607"/>
      <c r="H32" s="2607"/>
      <c r="I32" s="2607"/>
      <c r="J32" s="2607"/>
      <c r="K32" s="2607"/>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7"/>
      <c r="C35" s="2607"/>
      <c r="D35" s="2607"/>
      <c r="E35" s="2607"/>
      <c r="F35" s="2607"/>
      <c r="G35" s="2607"/>
      <c r="H35" s="2607"/>
      <c r="I35" s="2607"/>
      <c r="J35" s="2607"/>
      <c r="K35" s="2607"/>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7"/>
      <c r="C38" s="2607"/>
      <c r="D38" s="2607"/>
      <c r="E38" s="2607"/>
      <c r="F38" s="2607"/>
      <c r="G38" s="2607"/>
      <c r="H38" s="2607"/>
      <c r="I38" s="2607"/>
      <c r="J38" s="2607"/>
      <c r="K38" s="2607"/>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7"/>
      <c r="C41" s="2607"/>
      <c r="D41" s="2607"/>
      <c r="E41" s="2607"/>
      <c r="F41" s="2607"/>
      <c r="G41" s="2607"/>
      <c r="H41" s="2607"/>
      <c r="I41" s="2607"/>
      <c r="J41" s="2607"/>
      <c r="K41" s="2607"/>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14999847407452621"/>
  </sheetPr>
  <dimension ref="B1:E73"/>
  <sheetViews>
    <sheetView showGridLines="0" zoomScale="110" zoomScaleNormal="110" workbookViewId="0">
      <selection activeCell="B17" sqref="B17"/>
    </sheetView>
  </sheetViews>
  <sheetFormatPr defaultColWidth="9.140625" defaultRowHeight="12.75" x14ac:dyDescent="0.2"/>
  <cols>
    <col min="1" max="1" width="1.5703125" style="294" customWidth="1"/>
    <col min="2" max="2" width="14.85546875" style="294" customWidth="1"/>
    <col min="3" max="3" width="40.85546875" style="294" customWidth="1"/>
    <col min="4" max="4" width="42.140625" style="294" customWidth="1"/>
    <col min="5" max="5" width="8.140625" style="294" customWidth="1"/>
    <col min="6" max="9" width="9.140625" style="294"/>
    <col min="10" max="10" width="6.85546875" style="294" customWidth="1"/>
    <col min="11" max="16384" width="9.140625" style="294"/>
  </cols>
  <sheetData>
    <row r="1" spans="2:5" s="1057" customFormat="1" ht="12.75" customHeight="1" x14ac:dyDescent="0.2">
      <c r="B1" s="2592" t="str">
        <f>'Single Audit Cover'!A7</f>
        <v xml:space="preserve">   Central Stickney SD 110</v>
      </c>
      <c r="C1" s="2592"/>
      <c r="D1" s="2592"/>
      <c r="E1" s="1239"/>
    </row>
    <row r="2" spans="2:5" s="1057" customFormat="1" ht="12.75" customHeight="1" x14ac:dyDescent="0.2">
      <c r="B2" s="2594">
        <f>'Single Audit Cover'!E7</f>
        <v>7016110002</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3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14999847407452621"/>
  </sheetPr>
  <dimension ref="A1:N72"/>
  <sheetViews>
    <sheetView showGridLines="0" defaultGridColor="0" topLeftCell="A19" colorId="8" zoomScale="110" zoomScaleNormal="110" workbookViewId="0">
      <selection activeCell="H62" sqref="H62"/>
    </sheetView>
  </sheetViews>
  <sheetFormatPr defaultColWidth="9.140625" defaultRowHeight="12" x14ac:dyDescent="0.2"/>
  <cols>
    <col min="1" max="1" width="4.85546875" style="216" customWidth="1"/>
    <col min="2" max="2" width="2.85546875" style="324" customWidth="1"/>
    <col min="3" max="3" width="3.85546875" style="324" customWidth="1"/>
    <col min="4" max="4" width="14.85546875" style="324" customWidth="1"/>
    <col min="5" max="5" width="2.85546875" style="324" customWidth="1"/>
    <col min="6" max="6" width="14.85546875" style="324" customWidth="1"/>
    <col min="7" max="7" width="4" style="324" customWidth="1"/>
    <col min="8" max="8" width="14.85546875" style="324" customWidth="1"/>
    <col min="9" max="9" width="2.85546875" style="324" customWidth="1"/>
    <col min="10" max="10" width="14.85546875" style="324" customWidth="1"/>
    <col min="11" max="11" width="2.85546875" style="324" customWidth="1"/>
    <col min="12" max="12" width="14.85546875" style="324" customWidth="1"/>
    <col min="13" max="13" width="2.85546875" style="324" customWidth="1"/>
    <col min="14" max="14" width="3.85546875" style="216" customWidth="1"/>
    <col min="15" max="15" width="4.85546875" style="324" customWidth="1"/>
    <col min="16" max="17" width="5.85546875" style="324" customWidth="1"/>
    <col min="18" max="16384" width="9.140625" style="324"/>
  </cols>
  <sheetData>
    <row r="1" spans="1:14" ht="24" customHeight="1" x14ac:dyDescent="0.2">
      <c r="A1" s="2188" t="s">
        <v>383</v>
      </c>
      <c r="B1" s="2188"/>
      <c r="C1" s="2188"/>
      <c r="D1" s="2188"/>
      <c r="E1" s="2188"/>
      <c r="F1" s="2188"/>
      <c r="G1" s="2188"/>
      <c r="H1" s="2188"/>
      <c r="I1" s="2188"/>
      <c r="J1" s="2188"/>
      <c r="K1" s="2188"/>
      <c r="L1" s="2188"/>
      <c r="M1" s="2188"/>
      <c r="N1" s="323"/>
    </row>
    <row r="2" spans="1:14" ht="11.1"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1.1"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204396850</v>
      </c>
      <c r="K7" s="216"/>
      <c r="L7" s="216"/>
      <c r="M7" s="216"/>
    </row>
    <row r="8" spans="1:14" ht="11.1"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1.5703999999999999E-2</v>
      </c>
      <c r="E10" s="332" t="s">
        <v>998</v>
      </c>
      <c r="F10" s="331">
        <v>4.5450000000000004E-3</v>
      </c>
      <c r="G10" s="332" t="s">
        <v>998</v>
      </c>
      <c r="H10" s="331">
        <v>5.0000000000000002E-5</v>
      </c>
      <c r="I10" s="332" t="s">
        <v>999</v>
      </c>
      <c r="J10" s="1423">
        <f>ROUND(D10+F10+H10,5)</f>
        <v>2.0299999999999999E-2</v>
      </c>
      <c r="K10" s="216"/>
      <c r="L10" s="331">
        <v>5.0000000000000001E-4</v>
      </c>
      <c r="M10" s="216"/>
    </row>
    <row r="11" spans="1:14" ht="7.5" customHeight="1" x14ac:dyDescent="0.2">
      <c r="B11" s="216"/>
      <c r="C11" s="216"/>
      <c r="D11" s="2198" t="str">
        <f>IF(SUM(J10)&lt;=0.0999999,"","Enter the Tax Rates by moving the decimal two places to the left.")</f>
        <v/>
      </c>
      <c r="E11" s="2199"/>
      <c r="F11" s="2199"/>
      <c r="G11" s="2199"/>
      <c r="H11" s="2199"/>
      <c r="I11" s="2199"/>
      <c r="J11" s="219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1.1"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6451929</v>
      </c>
      <c r="E16" s="1546"/>
      <c r="F16" s="1545">
        <f>SUM('Acct Summary 7-8'!C17,'Acct Summary 7-8'!D17,'Acct Summary 7-8'!F17)</f>
        <v>6652379</v>
      </c>
      <c r="G16" s="1546"/>
      <c r="H16" s="1545">
        <f>SUM(D16-F16)</f>
        <v>-200450</v>
      </c>
      <c r="I16" s="1547"/>
      <c r="J16" s="1545">
        <f>SUM('Acct Summary 7-8'!C81,'Acct Summary 7-8'!D81,'Acct Summary 7-8'!F81,'Acct Summary 7-8'!I81)</f>
        <v>8459742</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1.1"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14103382.65</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9"/>
      <c r="C54" s="2190"/>
      <c r="D54" s="2190"/>
      <c r="E54" s="2190"/>
      <c r="F54" s="2190"/>
      <c r="G54" s="2190"/>
      <c r="H54" s="2190"/>
      <c r="I54" s="2190"/>
      <c r="J54" s="2190"/>
      <c r="K54" s="2190"/>
      <c r="L54" s="2191"/>
      <c r="M54" s="356"/>
    </row>
    <row r="55" spans="1:13" ht="12.75" customHeight="1" x14ac:dyDescent="0.2">
      <c r="B55" s="2192"/>
      <c r="C55" s="2193"/>
      <c r="D55" s="2193"/>
      <c r="E55" s="2193"/>
      <c r="F55" s="2193"/>
      <c r="G55" s="2193"/>
      <c r="H55" s="2193"/>
      <c r="I55" s="2193"/>
      <c r="J55" s="2193"/>
      <c r="K55" s="2193"/>
      <c r="L55" s="2194"/>
      <c r="M55" s="356"/>
    </row>
    <row r="56" spans="1:13" ht="12.75" customHeight="1" x14ac:dyDescent="0.2">
      <c r="B56" s="2192"/>
      <c r="C56" s="2193"/>
      <c r="D56" s="2193"/>
      <c r="E56" s="2193"/>
      <c r="F56" s="2193"/>
      <c r="G56" s="2193"/>
      <c r="H56" s="2193"/>
      <c r="I56" s="2193"/>
      <c r="J56" s="2193"/>
      <c r="K56" s="2193"/>
      <c r="L56" s="2194"/>
      <c r="M56" s="216"/>
    </row>
    <row r="57" spans="1:13" ht="12.75" customHeight="1" x14ac:dyDescent="0.2">
      <c r="B57" s="2192"/>
      <c r="C57" s="2193"/>
      <c r="D57" s="2193"/>
      <c r="E57" s="2193"/>
      <c r="F57" s="2193"/>
      <c r="G57" s="2193"/>
      <c r="H57" s="2193"/>
      <c r="I57" s="2193"/>
      <c r="J57" s="2193"/>
      <c r="K57" s="2193"/>
      <c r="L57" s="2194"/>
      <c r="M57" s="216"/>
    </row>
    <row r="58" spans="1:13" x14ac:dyDescent="0.2">
      <c r="B58" s="2195"/>
      <c r="C58" s="2196"/>
      <c r="D58" s="2196"/>
      <c r="E58" s="2196"/>
      <c r="F58" s="2196"/>
      <c r="G58" s="2196"/>
      <c r="H58" s="2196"/>
      <c r="I58" s="2196"/>
      <c r="J58" s="2196"/>
      <c r="K58" s="2196"/>
      <c r="L58" s="219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0"/>
      <c r="D61" s="220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14999847407452621"/>
  </sheetPr>
  <dimension ref="A1:R44"/>
  <sheetViews>
    <sheetView showGridLines="0" topLeftCell="A22" zoomScale="110" zoomScaleNormal="110" workbookViewId="0">
      <selection activeCell="H62" sqref="H62"/>
    </sheetView>
  </sheetViews>
  <sheetFormatPr defaultColWidth="9.140625" defaultRowHeight="12" x14ac:dyDescent="0.2"/>
  <cols>
    <col min="1" max="1" width="2" style="361" customWidth="1"/>
    <col min="2" max="2" width="2.85546875" style="410" customWidth="1"/>
    <col min="3" max="3" width="15.140625" style="361" customWidth="1"/>
    <col min="4" max="4" width="37.85546875" style="361" customWidth="1"/>
    <col min="5" max="5" width="1.85546875" style="361" customWidth="1"/>
    <col min="6" max="6" width="31.140625" style="361" customWidth="1"/>
    <col min="7" max="7" width="1.85546875" style="361" customWidth="1"/>
    <col min="8" max="8" width="15.85546875" style="412" customWidth="1"/>
    <col min="9" max="9" width="2.85546875" style="361" customWidth="1"/>
    <col min="10" max="10" width="5.85546875" style="361" hidden="1" customWidth="1"/>
    <col min="11" max="11" width="10.85546875" style="412" customWidth="1"/>
    <col min="12" max="12" width="2.85546875" style="361" customWidth="1"/>
    <col min="13" max="13" width="10.85546875" style="361" customWidth="1"/>
    <col min="14" max="14" width="2.85546875" style="361" customWidth="1"/>
    <col min="15" max="15" width="10.85546875" style="361" customWidth="1"/>
    <col min="16" max="16" width="0.85546875" style="361" customWidth="1"/>
    <col min="17" max="18" width="2.85546875" style="361" customWidth="1"/>
    <col min="19" max="16384" width="9.140625" style="361"/>
  </cols>
  <sheetData>
    <row r="1" spans="1:18" ht="12.75" x14ac:dyDescent="0.2">
      <c r="A1" s="2203"/>
      <c r="B1" s="2204"/>
      <c r="C1" s="2204"/>
      <c r="D1" s="360"/>
      <c r="E1" s="360"/>
      <c r="F1" s="360"/>
      <c r="G1" s="360"/>
      <c r="H1" s="360"/>
      <c r="I1" s="360"/>
      <c r="J1" s="360"/>
      <c r="K1" s="360"/>
      <c r="L1" s="360"/>
      <c r="M1" s="360"/>
      <c r="N1" s="360"/>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Central Stickney SD 110</v>
      </c>
      <c r="E7" s="367"/>
      <c r="G7" s="246"/>
      <c r="H7" s="363"/>
      <c r="I7" s="363"/>
      <c r="J7" s="363"/>
      <c r="K7" s="363"/>
      <c r="L7" s="306"/>
      <c r="M7" s="306"/>
      <c r="N7" s="306"/>
      <c r="O7" s="306"/>
      <c r="P7" s="306"/>
    </row>
    <row r="8" spans="1:18" ht="12.75" x14ac:dyDescent="0.2">
      <c r="A8" s="306"/>
      <c r="B8" s="306"/>
      <c r="C8" s="365" t="s">
        <v>1115</v>
      </c>
      <c r="D8" s="368">
        <f>COVER!A13</f>
        <v>7016110002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8459742</v>
      </c>
      <c r="I12" s="379"/>
      <c r="J12" s="379"/>
      <c r="K12" s="1558">
        <f>TRUNC((H12/H13*100000),5)/100000</f>
        <v>1.3111957678999999</v>
      </c>
      <c r="L12" s="380"/>
      <c r="M12" s="336" t="s">
        <v>1134</v>
      </c>
      <c r="N12" s="336"/>
      <c r="O12" s="1561">
        <v>0.35</v>
      </c>
      <c r="P12" s="212"/>
      <c r="Q12" s="212"/>
    </row>
    <row r="13" spans="1:18" s="381" customFormat="1" ht="12.75" x14ac:dyDescent="0.2">
      <c r="A13" s="212"/>
      <c r="B13" s="376"/>
      <c r="C13" s="2205" t="s">
        <v>1313</v>
      </c>
      <c r="D13" s="2206"/>
      <c r="E13" s="212"/>
      <c r="F13" s="382" t="s">
        <v>788</v>
      </c>
      <c r="G13" s="377"/>
      <c r="H13" s="1550">
        <f>SUM('Acct Summary 7-8'!C8+'Acct Summary 7-8'!D8+'Acct Summary 7-8'!F8+'Acct Summary 7-8'!I8)+H14</f>
        <v>6451929</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t="str">
        <f>IF(K17&gt;1.2,"1",IF(K17&gt;1.1,"2",IF(K17&gt;1,"3",4)))</f>
        <v>3</v>
      </c>
      <c r="P16" s="210"/>
      <c r="R16" s="360"/>
    </row>
    <row r="17" spans="1:18" s="381" customFormat="1" ht="11.25" x14ac:dyDescent="0.2">
      <c r="A17" s="212"/>
      <c r="B17" s="376"/>
      <c r="C17" s="212" t="s">
        <v>792</v>
      </c>
      <c r="D17" s="212"/>
      <c r="E17" s="212"/>
      <c r="F17" s="212" t="s">
        <v>441</v>
      </c>
      <c r="G17" s="377"/>
      <c r="H17" s="1550">
        <f>SUM('Acct Summary 7-8'!C17+'Acct Summary 7-8'!D17+'Acct Summary 7-8'!F17)</f>
        <v>6652379</v>
      </c>
      <c r="I17" s="379"/>
      <c r="J17" s="388"/>
      <c r="K17" s="1558">
        <f>TRUNC((H17/H18*100000),5)/100000</f>
        <v>1.0310682278000001</v>
      </c>
      <c r="L17" s="380"/>
      <c r="M17" s="389" t="s">
        <v>1161</v>
      </c>
      <c r="O17" s="1564" t="str">
        <f>IF(AND(O16="2", J20 &gt; 2),"1",IF(AND(O16 = "1", J20 &gt; 2),"2",IF(AND(O16="1", J20 &gt;1),"1","0")))</f>
        <v>0</v>
      </c>
      <c r="P17" s="212"/>
    </row>
    <row r="18" spans="1:18" s="381" customFormat="1" ht="11.25" x14ac:dyDescent="0.2">
      <c r="A18" s="212"/>
      <c r="B18" s="376"/>
      <c r="C18" s="2205" t="s">
        <v>1306</v>
      </c>
      <c r="D18" s="2206"/>
      <c r="E18" s="212"/>
      <c r="F18" s="390" t="s">
        <v>789</v>
      </c>
      <c r="G18" s="377"/>
      <c r="H18" s="1550">
        <f>SUM('Acct Summary 7-8'!C8+'Acct Summary 7-8'!D8+'Acct Summary 7-8'!F8+'Acct Summary 7-8'!I8)+H19</f>
        <v>6451929</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f>IF(K17&lt;=1,"0",TRUNC(((K12-0.1)/(K17-1)*100),5)/100)</f>
        <v>38.985029099999998</v>
      </c>
      <c r="K20" s="1558" t="str">
        <f>IF(K17&lt;=1,"0",IF(AND(O16="2", J20 &gt; 2),TRUNC(((K12-0.1)/(K17-1)*100),5)/100,IF(AND(O16 = "1", J20 &gt; 2),TRUNC(((K12-0.1)/(K17-1)*100),5)/100,IF(AND(O16="1", J20 &gt;1),TRUNC(((K12-0.1)/(K17-1)*100),5)/100,""))))</f>
        <v/>
      </c>
      <c r="L20" s="212"/>
      <c r="M20" s="336" t="s">
        <v>1135</v>
      </c>
      <c r="N20" s="336"/>
      <c r="O20" s="1562">
        <f>(O16+O17)*O18</f>
        <v>1.0499999999999998</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x14ac:dyDescent="0.2">
      <c r="A24" s="212"/>
      <c r="B24" s="376"/>
      <c r="C24" s="2202" t="s">
        <v>1395</v>
      </c>
      <c r="D24" s="2202"/>
      <c r="E24" s="212"/>
      <c r="F24" s="212" t="s">
        <v>442</v>
      </c>
      <c r="G24" s="377"/>
      <c r="H24" s="1550">
        <f>SUM('Assets-Liab 5-6'!C4+'Assets-Liab 5-6'!D4+'Assets-Liab 5-6'!F4+'Assets-Liab 5-6'!I4+'Assets-Liab 5-6'!C5+'Assets-Liab 5-6'!D5+'Assets-Liab 5-6'!F5+'Assets-Liab 5-6'!I5)</f>
        <v>8459742</v>
      </c>
      <c r="I24" s="393"/>
      <c r="J24" s="393"/>
      <c r="K24" s="1554">
        <f>TRUNC(((H24/H25*100000)/100000),2)</f>
        <v>457.8</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18478.830559999999</v>
      </c>
      <c r="I25" s="395"/>
      <c r="J25" s="395"/>
      <c r="K25" s="1557"/>
      <c r="L25" s="212"/>
      <c r="M25" s="336" t="s">
        <v>1135</v>
      </c>
      <c r="N25" s="336"/>
      <c r="O25" s="1562">
        <f>O23*O24</f>
        <v>0.4</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3526867.6467499998</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str">
        <f>IF(K32&gt;=75,"4",IF(K32&gt;=50,"3",IF(K32&gt;=25,"2",1)))</f>
        <v>4</v>
      </c>
      <c r="P31" s="210"/>
    </row>
    <row r="32" spans="1:18" s="381" customFormat="1" ht="11.25" x14ac:dyDescent="0.2">
      <c r="A32" s="212"/>
      <c r="B32" s="376"/>
      <c r="C32" s="212" t="s">
        <v>842</v>
      </c>
      <c r="D32" s="212"/>
      <c r="E32" s="212"/>
      <c r="F32" s="212"/>
      <c r="G32" s="377"/>
      <c r="H32" s="1550">
        <f>'FP Info 3'!H37</f>
        <v>0</v>
      </c>
      <c r="I32" s="391"/>
      <c r="J32" s="391"/>
      <c r="K32" s="1554">
        <f>TRUNC(100-((((H32/H33*100))*100)/100),2)</f>
        <v>100</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14103382.65</v>
      </c>
      <c r="I33" s="391"/>
      <c r="J33" s="391"/>
      <c r="K33" s="378"/>
      <c r="L33" s="212"/>
      <c r="M33" s="400" t="s">
        <v>1135</v>
      </c>
      <c r="N33" s="400"/>
      <c r="O33" s="1567">
        <f>(O31*O32)</f>
        <v>0.4</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3.6499999999999995</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14999847407452621"/>
  </sheetPr>
  <dimension ref="A1:N44"/>
  <sheetViews>
    <sheetView showGridLines="0" defaultGridColor="0" topLeftCell="C1" colorId="8" zoomScale="80" zoomScaleNormal="80" workbookViewId="0">
      <pane ySplit="2" topLeftCell="A9" activePane="bottomLeft" state="frozen"/>
      <selection activeCell="H62" sqref="H62"/>
      <selection pane="bottomLeft" activeCell="H62" sqref="H62"/>
    </sheetView>
  </sheetViews>
  <sheetFormatPr defaultColWidth="9.140625" defaultRowHeight="12.75" x14ac:dyDescent="0.2"/>
  <cols>
    <col min="1" max="1" width="47.140625" style="440" customWidth="1"/>
    <col min="2" max="2" width="4.5703125" style="441" customWidth="1"/>
    <col min="3" max="14" width="13.85546875" style="420" customWidth="1"/>
    <col min="15" max="16384" width="9.140625" style="420"/>
  </cols>
  <sheetData>
    <row r="1" spans="1:14" x14ac:dyDescent="0.2">
      <c r="A1" s="2210"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1"/>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6" t="s">
        <v>1632</v>
      </c>
      <c r="B4" s="427"/>
      <c r="C4" s="1571">
        <v>5728629</v>
      </c>
      <c r="D4" s="1572">
        <v>1575870</v>
      </c>
      <c r="E4" s="1572"/>
      <c r="F4" s="1572">
        <v>156907</v>
      </c>
      <c r="G4" s="1572">
        <v>157624</v>
      </c>
      <c r="H4" s="1572"/>
      <c r="I4" s="1572">
        <v>998336</v>
      </c>
      <c r="J4" s="1573">
        <v>75503</v>
      </c>
      <c r="K4" s="1572">
        <v>322065</v>
      </c>
      <c r="L4" s="1572">
        <v>24629</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c r="D8" s="1573"/>
      <c r="E8" s="1573"/>
      <c r="F8" s="1573"/>
      <c r="G8" s="1582"/>
      <c r="H8" s="1573"/>
      <c r="I8" s="1578"/>
      <c r="J8" s="1578"/>
      <c r="K8" s="1583"/>
      <c r="L8" s="1584"/>
      <c r="M8" s="1574"/>
      <c r="N8" s="1575"/>
    </row>
    <row r="9" spans="1:14" ht="13.5" customHeight="1" x14ac:dyDescent="0.2">
      <c r="A9" s="429" t="s">
        <v>268</v>
      </c>
      <c r="B9" s="428">
        <v>160</v>
      </c>
      <c r="C9" s="1580">
        <v>0</v>
      </c>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5728629</v>
      </c>
      <c r="D13" s="1586">
        <f t="shared" ref="D13:L13" si="0">SUM(D4:D12)</f>
        <v>1575870</v>
      </c>
      <c r="E13" s="1586">
        <f t="shared" si="0"/>
        <v>0</v>
      </c>
      <c r="F13" s="1586">
        <f t="shared" si="0"/>
        <v>156907</v>
      </c>
      <c r="G13" s="1586">
        <f t="shared" si="0"/>
        <v>157624</v>
      </c>
      <c r="H13" s="1586">
        <f t="shared" si="0"/>
        <v>0</v>
      </c>
      <c r="I13" s="1586">
        <f t="shared" si="0"/>
        <v>998336</v>
      </c>
      <c r="J13" s="1586">
        <f t="shared" si="0"/>
        <v>75503</v>
      </c>
      <c r="K13" s="1586">
        <f t="shared" si="0"/>
        <v>322065</v>
      </c>
      <c r="L13" s="1586">
        <f t="shared" si="0"/>
        <v>24629</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f>+'Cap Outlay Deprec 26'!L5</f>
        <v>200000</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f>+'Cap Outlay Deprec 26'!L8</f>
        <v>3757074</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f>+'Cap Outlay Deprec 26'!L10</f>
        <v>625426</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f>+'Cap Outlay Deprec 26'!L12</f>
        <v>164682</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f>+'Cap Outlay Deprec 26'!L15</f>
        <v>481920</v>
      </c>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5229102</v>
      </c>
      <c r="N23" s="1593">
        <f>SUM(N21:N22)</f>
        <v>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24629</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24629</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6" customFormat="1" ht="13.5" customHeight="1" thickTop="1" x14ac:dyDescent="0.2">
      <c r="A38" s="437" t="s">
        <v>417</v>
      </c>
      <c r="B38" s="431">
        <v>714</v>
      </c>
      <c r="C38" s="1572"/>
      <c r="D38" s="1572">
        <f>'Acct Summary 7-8'!D81</f>
        <v>1575870</v>
      </c>
      <c r="E38" s="1572"/>
      <c r="F38" s="1572">
        <f>'Acct Summary 7-8'!F81</f>
        <v>156907</v>
      </c>
      <c r="G38" s="1572">
        <f>'Acct Summary 7-8'!G81</f>
        <v>157624</v>
      </c>
      <c r="H38" s="1572"/>
      <c r="I38" s="1572"/>
      <c r="J38" s="1573">
        <f>'Acct Summary 7-8'!J81</f>
        <v>75503</v>
      </c>
      <c r="K38" s="1572">
        <f>'Acct Summary 7-8'!K81</f>
        <v>322065</v>
      </c>
      <c r="L38" s="1585"/>
      <c r="M38" s="1603"/>
      <c r="N38" s="1603"/>
    </row>
    <row r="39" spans="1:14" s="306" customFormat="1" ht="13.5" customHeight="1" x14ac:dyDescent="0.2">
      <c r="A39" s="437" t="s">
        <v>339</v>
      </c>
      <c r="B39" s="431">
        <v>730</v>
      </c>
      <c r="C39" s="1572">
        <f>'Acct Summary 7-8'!C81</f>
        <v>5728629</v>
      </c>
      <c r="D39" s="1572"/>
      <c r="E39" s="1572"/>
      <c r="F39" s="1572"/>
      <c r="G39" s="1572"/>
      <c r="H39" s="1572"/>
      <c r="I39" s="1572">
        <f>'Acct Summary 7-8'!I81</f>
        <v>998336</v>
      </c>
      <c r="J39" s="1573"/>
      <c r="K39" s="1572"/>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f>M23</f>
        <v>5229102</v>
      </c>
      <c r="N40" s="1603"/>
    </row>
    <row r="41" spans="1:14" ht="13.5" customHeight="1" thickBot="1" x14ac:dyDescent="0.25">
      <c r="A41" s="1425" t="s">
        <v>650</v>
      </c>
      <c r="B41" s="1404"/>
      <c r="C41" s="1593">
        <f>(SUM(C34,C37,C38,C39))</f>
        <v>5728629</v>
      </c>
      <c r="D41" s="1593">
        <f t="shared" ref="D41:L41" si="2">SUM(D34,D37,D38:D39)</f>
        <v>1575870</v>
      </c>
      <c r="E41" s="1593">
        <f t="shared" si="2"/>
        <v>0</v>
      </c>
      <c r="F41" s="1593">
        <f t="shared" si="2"/>
        <v>156907</v>
      </c>
      <c r="G41" s="1593">
        <f t="shared" si="2"/>
        <v>157624</v>
      </c>
      <c r="H41" s="1593">
        <f t="shared" si="2"/>
        <v>0</v>
      </c>
      <c r="I41" s="1593">
        <f t="shared" si="2"/>
        <v>998336</v>
      </c>
      <c r="J41" s="1593">
        <f t="shared" si="2"/>
        <v>75503</v>
      </c>
      <c r="K41" s="1593">
        <f t="shared" si="2"/>
        <v>322065</v>
      </c>
      <c r="L41" s="1593">
        <f t="shared" si="2"/>
        <v>24629</v>
      </c>
      <c r="M41" s="1593">
        <f>SUM(M40)</f>
        <v>5229102</v>
      </c>
      <c r="N41" s="1593">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M87"/>
  <sheetViews>
    <sheetView showGridLines="0" defaultGridColor="0" colorId="8" zoomScale="90" zoomScaleNormal="90" zoomScaleSheetLayoutView="100" workbookViewId="0">
      <pane ySplit="2" topLeftCell="A12" activePane="bottomLeft" state="frozen"/>
      <selection activeCell="H62" sqref="H62"/>
      <selection pane="bottomLeft" activeCell="H62" sqref="H62"/>
    </sheetView>
  </sheetViews>
  <sheetFormatPr defaultColWidth="9.140625" defaultRowHeight="12.75" x14ac:dyDescent="0.2"/>
  <cols>
    <col min="1" max="1" width="55.85546875" style="440" customWidth="1"/>
    <col min="2" max="2" width="4.85546875" style="441" customWidth="1"/>
    <col min="3" max="11" width="13.85546875" style="420" customWidth="1"/>
    <col min="12" max="12" width="2" style="420" customWidth="1"/>
    <col min="13" max="16384" width="9.140625" style="420"/>
  </cols>
  <sheetData>
    <row r="1" spans="1:13" ht="12.75" customHeight="1" x14ac:dyDescent="0.2">
      <c r="A1" s="2228"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9"/>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0" t="s">
        <v>1165</v>
      </c>
      <c r="B3" s="2241"/>
      <c r="C3" s="1310"/>
      <c r="D3" s="1311"/>
      <c r="E3" s="1311"/>
      <c r="F3" s="1311"/>
      <c r="G3" s="1311"/>
      <c r="H3" s="1311"/>
      <c r="I3" s="1311"/>
      <c r="J3" s="1311"/>
      <c r="K3" s="1312"/>
      <c r="L3" s="445"/>
    </row>
    <row r="4" spans="1:13" ht="15.75" customHeight="1" x14ac:dyDescent="0.2">
      <c r="A4" s="1536" t="s">
        <v>1482</v>
      </c>
      <c r="B4" s="1537">
        <v>1000</v>
      </c>
      <c r="C4" s="1605">
        <f>'Revenues 9-14'!C109</f>
        <v>3728576</v>
      </c>
      <c r="D4" s="1605">
        <f>'Revenues 9-14'!D109</f>
        <v>1129155</v>
      </c>
      <c r="E4" s="1605">
        <f>'Revenues 9-14'!E109</f>
        <v>0</v>
      </c>
      <c r="F4" s="1605">
        <f>'Revenues 9-14'!F109</f>
        <v>975</v>
      </c>
      <c r="G4" s="1605">
        <f>'Revenues 9-14'!G109</f>
        <v>167867</v>
      </c>
      <c r="H4" s="1605">
        <f>'Revenues 9-14'!H109</f>
        <v>0</v>
      </c>
      <c r="I4" s="1605">
        <f>'Revenues 9-14'!I109</f>
        <v>9748</v>
      </c>
      <c r="J4" s="1605">
        <f>'Revenues 9-14'!J109</f>
        <v>68227</v>
      </c>
      <c r="K4" s="1605">
        <f>'Revenues 9-14'!K109</f>
        <v>975</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1116239</v>
      </c>
      <c r="D6" s="1606">
        <f>'Revenues 9-14'!D170</f>
        <v>50000</v>
      </c>
      <c r="E6" s="1606">
        <f>'Revenues 9-14'!E170</f>
        <v>0</v>
      </c>
      <c r="F6" s="1606">
        <f>'Revenues 9-14'!F170</f>
        <v>44973</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372263</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5217078</v>
      </c>
      <c r="D8" s="1593">
        <f t="shared" ref="D8:K8" si="0">SUM(D4:D7)</f>
        <v>1179155</v>
      </c>
      <c r="E8" s="1593">
        <f t="shared" si="0"/>
        <v>0</v>
      </c>
      <c r="F8" s="1593">
        <f t="shared" si="0"/>
        <v>45948</v>
      </c>
      <c r="G8" s="1593">
        <f t="shared" si="0"/>
        <v>167867</v>
      </c>
      <c r="H8" s="1593">
        <f t="shared" si="0"/>
        <v>0</v>
      </c>
      <c r="I8" s="1593">
        <f t="shared" si="0"/>
        <v>9748</v>
      </c>
      <c r="J8" s="1593">
        <f t="shared" si="0"/>
        <v>68227</v>
      </c>
      <c r="K8" s="1593">
        <f t="shared" si="0"/>
        <v>975</v>
      </c>
      <c r="L8" s="324"/>
    </row>
    <row r="9" spans="1:13" ht="15.75" thickTop="1" x14ac:dyDescent="0.2">
      <c r="A9" s="448" t="s">
        <v>1634</v>
      </c>
      <c r="B9" s="449">
        <v>3998</v>
      </c>
      <c r="C9" s="1585">
        <f>1094535</f>
        <v>1094535</v>
      </c>
      <c r="D9" s="1612"/>
      <c r="E9" s="1585"/>
      <c r="F9" s="1585"/>
      <c r="G9" s="1613"/>
      <c r="H9" s="1585"/>
      <c r="I9" s="1608" t="s">
        <v>1159</v>
      </c>
      <c r="J9" s="1582"/>
      <c r="K9" s="1585"/>
      <c r="L9" s="324"/>
    </row>
    <row r="10" spans="1:13" s="451" customFormat="1" ht="13.5" thickBot="1" x14ac:dyDescent="0.25">
      <c r="A10" s="1425" t="s">
        <v>1163</v>
      </c>
      <c r="B10" s="1406"/>
      <c r="C10" s="1593">
        <f>SUM(C8:C9)</f>
        <v>6311613</v>
      </c>
      <c r="D10" s="1593">
        <f t="shared" ref="D10:K10" si="1">SUM(D8:D9)</f>
        <v>1179155</v>
      </c>
      <c r="E10" s="1593">
        <f t="shared" si="1"/>
        <v>0</v>
      </c>
      <c r="F10" s="1593">
        <f t="shared" si="1"/>
        <v>45948</v>
      </c>
      <c r="G10" s="1593">
        <f t="shared" si="1"/>
        <v>167867</v>
      </c>
      <c r="H10" s="1593">
        <f t="shared" si="1"/>
        <v>0</v>
      </c>
      <c r="I10" s="1593">
        <f t="shared" si="1"/>
        <v>9748</v>
      </c>
      <c r="J10" s="1593">
        <f t="shared" si="1"/>
        <v>68227</v>
      </c>
      <c r="K10" s="1593">
        <f t="shared" si="1"/>
        <v>975</v>
      </c>
      <c r="L10" s="450"/>
    </row>
    <row r="11" spans="1:13" s="451" customFormat="1" ht="16.7" customHeight="1" thickTop="1" x14ac:dyDescent="0.2">
      <c r="A11" s="2214" t="s">
        <v>1166</v>
      </c>
      <c r="B11" s="2215"/>
      <c r="C11" s="1601"/>
      <c r="D11" s="1602"/>
      <c r="E11" s="1602"/>
      <c r="F11" s="1602"/>
      <c r="G11" s="1602"/>
      <c r="H11" s="1602"/>
      <c r="I11" s="1602"/>
      <c r="J11" s="1602"/>
      <c r="K11" s="1614"/>
      <c r="L11" s="450"/>
    </row>
    <row r="12" spans="1:13" ht="15.75" customHeight="1" x14ac:dyDescent="0.2">
      <c r="A12" s="1313" t="s">
        <v>453</v>
      </c>
      <c r="B12" s="1315">
        <v>1000</v>
      </c>
      <c r="C12" s="1605">
        <f>'Expenditures 15-22'!K33</f>
        <v>3205046</v>
      </c>
      <c r="D12" s="1615" t="s">
        <v>1159</v>
      </c>
      <c r="E12" s="1574" t="s">
        <v>1159</v>
      </c>
      <c r="F12" s="1574" t="s">
        <v>1159</v>
      </c>
      <c r="G12" s="1605">
        <f>'Expenditures 15-22'!K229</f>
        <v>46570</v>
      </c>
      <c r="H12" s="1616"/>
      <c r="I12" s="1574" t="s">
        <v>1159</v>
      </c>
      <c r="J12" s="1574" t="s">
        <v>1159</v>
      </c>
      <c r="K12" s="1616" t="s">
        <v>1159</v>
      </c>
      <c r="L12" s="324"/>
    </row>
    <row r="13" spans="1:13" ht="15.75" customHeight="1" x14ac:dyDescent="0.2">
      <c r="A13" s="1313" t="s">
        <v>454</v>
      </c>
      <c r="B13" s="1315">
        <v>2000</v>
      </c>
      <c r="C13" s="1606">
        <f>'Expenditures 15-22'!K74</f>
        <v>1194374</v>
      </c>
      <c r="D13" s="1606">
        <f>'Expenditures 15-22'!K129</f>
        <v>1379236</v>
      </c>
      <c r="E13" s="1575" t="s">
        <v>1159</v>
      </c>
      <c r="F13" s="1606">
        <f>'Expenditures 15-22'!K184</f>
        <v>98421</v>
      </c>
      <c r="G13" s="1606">
        <f>'Expenditures 15-22'!K279</f>
        <v>104306</v>
      </c>
      <c r="H13" s="1606">
        <f>'Expenditures 15-22'!K303</f>
        <v>0</v>
      </c>
      <c r="I13" s="1574" t="s">
        <v>1159</v>
      </c>
      <c r="J13" s="1606">
        <f>'Expenditures 15-22'!K330</f>
        <v>53651</v>
      </c>
      <c r="K13" s="1617">
        <f>'Expenditures 15-22'!K352</f>
        <v>8748</v>
      </c>
      <c r="L13" s="324"/>
    </row>
    <row r="14" spans="1:13" ht="15.75" customHeight="1" x14ac:dyDescent="0.2">
      <c r="A14" s="1313" t="s">
        <v>446</v>
      </c>
      <c r="B14" s="1315">
        <v>3000</v>
      </c>
      <c r="C14" s="1606">
        <f>'Expenditures 15-22'!K75</f>
        <v>4213</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x14ac:dyDescent="0.2">
      <c r="A15" s="1313" t="s">
        <v>107</v>
      </c>
      <c r="B15" s="1315">
        <v>4000</v>
      </c>
      <c r="C15" s="1606">
        <f>'Expenditures 15-22'!K102</f>
        <v>771089</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5174722</v>
      </c>
      <c r="D17" s="1593">
        <f t="shared" si="2"/>
        <v>1379236</v>
      </c>
      <c r="E17" s="1593">
        <f t="shared" si="2"/>
        <v>0</v>
      </c>
      <c r="F17" s="1593">
        <f t="shared" si="2"/>
        <v>98421</v>
      </c>
      <c r="G17" s="1593">
        <f t="shared" si="2"/>
        <v>150876</v>
      </c>
      <c r="H17" s="1593">
        <f t="shared" si="2"/>
        <v>0</v>
      </c>
      <c r="I17" s="1574"/>
      <c r="J17" s="1593">
        <f>SUM(J12:J16)</f>
        <v>53651</v>
      </c>
      <c r="K17" s="1593">
        <f>SUM(K12:K16)</f>
        <v>8748</v>
      </c>
      <c r="L17" s="324"/>
    </row>
    <row r="18" spans="1:12" ht="15" customHeight="1" thickTop="1" x14ac:dyDescent="0.2">
      <c r="A18" s="1429" t="s">
        <v>1635</v>
      </c>
      <c r="B18" s="1430">
        <v>4180</v>
      </c>
      <c r="C18" s="1605">
        <f t="shared" ref="C18:H18" si="3">C9</f>
        <v>1094535</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6269257</v>
      </c>
      <c r="D19" s="1593">
        <f t="shared" si="4"/>
        <v>1379236</v>
      </c>
      <c r="E19" s="1593">
        <f t="shared" si="4"/>
        <v>0</v>
      </c>
      <c r="F19" s="1593">
        <f t="shared" si="4"/>
        <v>98421</v>
      </c>
      <c r="G19" s="1593">
        <f t="shared" si="4"/>
        <v>150876</v>
      </c>
      <c r="H19" s="1593">
        <f t="shared" si="4"/>
        <v>0</v>
      </c>
      <c r="I19" s="1574"/>
      <c r="J19" s="1593">
        <f>SUM(J17:J18)</f>
        <v>53651</v>
      </c>
      <c r="K19" s="1593">
        <f>SUM(K17:K18)</f>
        <v>8748</v>
      </c>
      <c r="L19" s="324"/>
    </row>
    <row r="20" spans="1:12" ht="16.5" thickTop="1" thickBot="1" x14ac:dyDescent="0.25">
      <c r="A20" s="2230" t="s">
        <v>1636</v>
      </c>
      <c r="B20" s="2231"/>
      <c r="C20" s="1621">
        <f>C8-C17</f>
        <v>42356</v>
      </c>
      <c r="D20" s="1621">
        <f t="shared" ref="D20:K20" si="5">D8-D17</f>
        <v>-200081</v>
      </c>
      <c r="E20" s="1621">
        <f t="shared" si="5"/>
        <v>0</v>
      </c>
      <c r="F20" s="1621">
        <f t="shared" si="5"/>
        <v>-52473</v>
      </c>
      <c r="G20" s="1621">
        <f t="shared" si="5"/>
        <v>16991</v>
      </c>
      <c r="H20" s="1621">
        <f t="shared" si="5"/>
        <v>0</v>
      </c>
      <c r="I20" s="1621">
        <f t="shared" si="5"/>
        <v>9748</v>
      </c>
      <c r="J20" s="1621">
        <f t="shared" si="5"/>
        <v>14576</v>
      </c>
      <c r="K20" s="1621">
        <f t="shared" si="5"/>
        <v>-7773</v>
      </c>
      <c r="L20" s="324"/>
    </row>
    <row r="21" spans="1:12" ht="16.7" customHeight="1" thickTop="1" x14ac:dyDescent="0.2">
      <c r="A21" s="2242" t="s">
        <v>591</v>
      </c>
      <c r="B21" s="2243"/>
      <c r="C21" s="1601"/>
      <c r="D21" s="1602"/>
      <c r="E21" s="1602"/>
      <c r="F21" s="1602"/>
      <c r="G21" s="1602"/>
      <c r="H21" s="1602"/>
      <c r="I21" s="1602"/>
      <c r="J21" s="1602"/>
      <c r="K21" s="1614"/>
      <c r="L21" s="452"/>
    </row>
    <row r="22" spans="1:12" ht="15.75" customHeight="1" collapsed="1" x14ac:dyDescent="0.2">
      <c r="A22" s="2238" t="s">
        <v>592</v>
      </c>
      <c r="B22" s="2239"/>
      <c r="C22" s="1581"/>
      <c r="D22" s="1581"/>
      <c r="E22" s="1581"/>
      <c r="F22" s="1581"/>
      <c r="G22" s="1581"/>
      <c r="H22" s="1581"/>
      <c r="I22" s="1581"/>
      <c r="J22" s="1581"/>
      <c r="K22" s="1581"/>
      <c r="L22" s="324"/>
    </row>
    <row r="23" spans="1:12" s="432" customFormat="1" ht="15.75" customHeight="1" x14ac:dyDescent="0.2">
      <c r="A23" s="2234" t="s">
        <v>290</v>
      </c>
      <c r="B23" s="2235"/>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6" t="s">
        <v>974</v>
      </c>
      <c r="B32" s="2237"/>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0</v>
      </c>
      <c r="F37" s="1579"/>
      <c r="G37" s="1579"/>
      <c r="H37" s="1579"/>
      <c r="I37" s="1581"/>
      <c r="J37" s="1579"/>
      <c r="K37" s="1579"/>
      <c r="L37" s="452"/>
    </row>
    <row r="38" spans="1:12" s="432" customFormat="1" x14ac:dyDescent="0.2">
      <c r="A38" s="1259" t="s">
        <v>439</v>
      </c>
      <c r="B38" s="453">
        <v>7500</v>
      </c>
      <c r="C38" s="1581"/>
      <c r="D38" s="1581"/>
      <c r="E38" s="1606">
        <f>SUM(C58:D61,H58:H61)</f>
        <v>0</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38" t="s">
        <v>108</v>
      </c>
      <c r="B45" s="2239"/>
      <c r="C45" s="1624"/>
      <c r="D45" s="1624"/>
      <c r="E45" s="1624"/>
      <c r="F45" s="1624"/>
      <c r="G45" s="1624"/>
      <c r="H45" s="1624"/>
      <c r="I45" s="1624"/>
      <c r="J45" s="1624"/>
      <c r="K45" s="1624"/>
      <c r="L45" s="324"/>
    </row>
    <row r="46" spans="1:12" s="432" customFormat="1" ht="15.75" customHeight="1" x14ac:dyDescent="0.2">
      <c r="A46" s="2246" t="s">
        <v>109</v>
      </c>
      <c r="B46" s="2247"/>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2"/>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4"/>
    </row>
    <row r="78" spans="1:12" ht="21.75" customHeight="1" thickTop="1" thickBot="1" x14ac:dyDescent="0.25">
      <c r="A78" s="2226" t="s">
        <v>593</v>
      </c>
      <c r="B78" s="2227"/>
      <c r="C78" s="1628">
        <f t="shared" ref="C78:K78" si="9">C20+C77</f>
        <v>42356</v>
      </c>
      <c r="D78" s="1628">
        <f t="shared" si="9"/>
        <v>-200081</v>
      </c>
      <c r="E78" s="1628">
        <f t="shared" si="9"/>
        <v>0</v>
      </c>
      <c r="F78" s="1628">
        <f t="shared" si="9"/>
        <v>-52473</v>
      </c>
      <c r="G78" s="1628">
        <f t="shared" si="9"/>
        <v>16991</v>
      </c>
      <c r="H78" s="1628">
        <f t="shared" si="9"/>
        <v>0</v>
      </c>
      <c r="I78" s="1628">
        <f t="shared" si="9"/>
        <v>9748</v>
      </c>
      <c r="J78" s="1628">
        <f t="shared" si="9"/>
        <v>14576</v>
      </c>
      <c r="K78" s="1628">
        <f t="shared" si="9"/>
        <v>-7773</v>
      </c>
      <c r="L78" s="456"/>
    </row>
    <row r="79" spans="1:12" ht="13.5" thickTop="1" x14ac:dyDescent="0.2">
      <c r="A79" s="1843" t="str">
        <f>"Fund Balances - July 1, "&amp;'AFR20'!E2-1</f>
        <v>Fund Balances - July 1, 2019</v>
      </c>
      <c r="B79" s="457"/>
      <c r="C79" s="1582">
        <v>5686273</v>
      </c>
      <c r="D79" s="1629">
        <v>1775951</v>
      </c>
      <c r="E79" s="1629"/>
      <c r="F79" s="1629">
        <v>209380</v>
      </c>
      <c r="G79" s="1629">
        <v>140633</v>
      </c>
      <c r="H79" s="1629"/>
      <c r="I79" s="1629">
        <v>988588</v>
      </c>
      <c r="J79" s="1629">
        <v>60927</v>
      </c>
      <c r="K79" s="1629">
        <v>329838</v>
      </c>
      <c r="L79" s="324"/>
    </row>
    <row r="80" spans="1:12" x14ac:dyDescent="0.2">
      <c r="A80" s="2232" t="s">
        <v>1772</v>
      </c>
      <c r="B80" s="2233"/>
      <c r="C80" s="1573"/>
      <c r="D80" s="1573"/>
      <c r="E80" s="1573"/>
      <c r="F80" s="1573"/>
      <c r="G80" s="1573"/>
      <c r="H80" s="1573"/>
      <c r="I80" s="1573"/>
      <c r="J80" s="1573"/>
      <c r="K80" s="1573"/>
      <c r="L80" s="324"/>
    </row>
    <row r="81" spans="1:12" ht="13.5" thickBot="1" x14ac:dyDescent="0.25">
      <c r="A81" s="2224" t="str">
        <f>"Fund Balances - June 30, "&amp;'AFR20'!E2</f>
        <v>Fund Balances - June 30, 2020</v>
      </c>
      <c r="B81" s="2225"/>
      <c r="C81" s="1593">
        <f>(SUM(C78:C80))</f>
        <v>5728629</v>
      </c>
      <c r="D81" s="1593">
        <f>SUM(D78:D80)</f>
        <v>1575870</v>
      </c>
      <c r="E81" s="1593">
        <f t="shared" ref="E81:K81" si="10">SUM(E78:E80)</f>
        <v>0</v>
      </c>
      <c r="F81" s="1593">
        <f t="shared" si="10"/>
        <v>156907</v>
      </c>
      <c r="G81" s="1593">
        <f t="shared" si="10"/>
        <v>157624</v>
      </c>
      <c r="H81" s="1593">
        <f t="shared" si="10"/>
        <v>0</v>
      </c>
      <c r="I81" s="1593">
        <f t="shared" si="10"/>
        <v>998336</v>
      </c>
      <c r="J81" s="1593">
        <f t="shared" si="10"/>
        <v>75503</v>
      </c>
      <c r="K81" s="1593">
        <f t="shared" si="10"/>
        <v>322065</v>
      </c>
      <c r="L81" s="324"/>
    </row>
    <row r="82" spans="1:12" ht="0.75" customHeight="1" thickTop="1" thickBot="1" x14ac:dyDescent="0.25">
      <c r="A82" s="458" t="s">
        <v>340</v>
      </c>
      <c r="B82" s="459"/>
      <c r="C82" s="460">
        <f>(C81-C79)</f>
        <v>42356</v>
      </c>
      <c r="D82" s="460">
        <f t="shared" ref="D82:K82" si="11">(D81-D79)</f>
        <v>-200081</v>
      </c>
      <c r="E82" s="460">
        <f t="shared" si="11"/>
        <v>0</v>
      </c>
      <c r="F82" s="460">
        <f t="shared" si="11"/>
        <v>-52473</v>
      </c>
      <c r="G82" s="460">
        <f t="shared" si="11"/>
        <v>16991</v>
      </c>
      <c r="H82" s="460">
        <f t="shared" si="11"/>
        <v>0</v>
      </c>
      <c r="I82" s="460">
        <f t="shared" si="11"/>
        <v>9748</v>
      </c>
      <c r="J82" s="460">
        <f t="shared" si="11"/>
        <v>14576</v>
      </c>
      <c r="K82" s="460">
        <f t="shared" si="11"/>
        <v>-7773</v>
      </c>
    </row>
    <row r="83" spans="1:12" ht="14.25" hidden="1" thickTop="1" thickBot="1" x14ac:dyDescent="0.25">
      <c r="A83" s="461" t="s">
        <v>341</v>
      </c>
      <c r="B83" s="427"/>
      <c r="C83" s="462">
        <f>C82/C81</f>
        <v>7.3937411551699365E-3</v>
      </c>
      <c r="D83" s="462">
        <f t="shared" ref="D83:K83" si="12">D82/D81</f>
        <v>-0.12696542227468002</v>
      </c>
      <c r="E83" s="462" t="e">
        <f t="shared" si="12"/>
        <v>#DIV/0!</v>
      </c>
      <c r="F83" s="462">
        <f t="shared" si="12"/>
        <v>-0.33442102646790772</v>
      </c>
      <c r="G83" s="462">
        <f t="shared" si="12"/>
        <v>0.10779449829975131</v>
      </c>
      <c r="H83" s="462" t="e">
        <f t="shared" si="12"/>
        <v>#DIV/0!</v>
      </c>
      <c r="I83" s="462">
        <f t="shared" si="12"/>
        <v>9.7642477081864229E-3</v>
      </c>
      <c r="J83" s="462">
        <f t="shared" si="12"/>
        <v>0.19305193171132273</v>
      </c>
      <c r="K83" s="462">
        <f t="shared" si="12"/>
        <v>-2.4134879605048669E-2</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L279"/>
  <sheetViews>
    <sheetView showGridLines="0" defaultGridColor="0" topLeftCell="C1" colorId="8" zoomScale="90" zoomScaleNormal="90" zoomScaleSheetLayoutView="75" workbookViewId="0">
      <pane ySplit="2" topLeftCell="A6" activePane="bottomLeft" state="frozen"/>
      <selection activeCell="H62" sqref="H62"/>
      <selection pane="bottomLeft" activeCell="G16" sqref="G16"/>
    </sheetView>
  </sheetViews>
  <sheetFormatPr defaultColWidth="9.140625" defaultRowHeight="12.75" x14ac:dyDescent="0.2"/>
  <cols>
    <col min="1" max="1" width="54.140625" style="489" customWidth="1"/>
    <col min="2" max="2" width="4.85546875" style="490" customWidth="1"/>
    <col min="3" max="11" width="13.85546875" style="360" customWidth="1"/>
    <col min="12" max="16384" width="9.140625" style="360"/>
  </cols>
  <sheetData>
    <row r="1" spans="1:12" x14ac:dyDescent="0.2">
      <c r="A1" s="2228" t="s">
        <v>1779</v>
      </c>
      <c r="B1" s="415"/>
      <c r="C1" s="416" t="s">
        <v>422</v>
      </c>
      <c r="D1" s="416" t="s">
        <v>423</v>
      </c>
      <c r="E1" s="416" t="s">
        <v>424</v>
      </c>
      <c r="F1" s="416" t="s">
        <v>425</v>
      </c>
      <c r="G1" s="416" t="s">
        <v>426</v>
      </c>
      <c r="H1" s="416" t="s">
        <v>427</v>
      </c>
      <c r="I1" s="416" t="s">
        <v>428</v>
      </c>
      <c r="J1" s="416" t="s">
        <v>429</v>
      </c>
      <c r="K1" s="416" t="s">
        <v>751</v>
      </c>
    </row>
    <row r="2" spans="1:12" ht="36" x14ac:dyDescent="0.2">
      <c r="A2" s="2229"/>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2980457</v>
      </c>
      <c r="D5" s="1585">
        <v>871712</v>
      </c>
      <c r="E5" s="1572"/>
      <c r="F5" s="1630">
        <v>975</v>
      </c>
      <c r="G5" s="1572">
        <v>73100</v>
      </c>
      <c r="H5" s="1572"/>
      <c r="I5" s="1572">
        <v>9748</v>
      </c>
      <c r="J5" s="1573">
        <v>68227</v>
      </c>
      <c r="K5" s="1572">
        <v>975</v>
      </c>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v>61403</v>
      </c>
      <c r="D7" s="1572"/>
      <c r="E7" s="1574"/>
      <c r="F7" s="1573"/>
      <c r="G7" s="1573">
        <v>77973</v>
      </c>
      <c r="H7" s="1573"/>
      <c r="I7" s="1574"/>
      <c r="J7" s="1574"/>
      <c r="K7" s="1574"/>
    </row>
    <row r="8" spans="1:12" x14ac:dyDescent="0.2">
      <c r="A8" s="426" t="s">
        <v>410</v>
      </c>
      <c r="B8" s="428">
        <v>1150</v>
      </c>
      <c r="C8" s="1579"/>
      <c r="D8" s="1579"/>
      <c r="E8" s="1581"/>
      <c r="F8" s="1581"/>
      <c r="G8" s="1585"/>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3041860</v>
      </c>
      <c r="D12" s="1632">
        <f t="shared" si="0"/>
        <v>871712</v>
      </c>
      <c r="E12" s="1632">
        <f t="shared" si="0"/>
        <v>0</v>
      </c>
      <c r="F12" s="1632">
        <f t="shared" si="0"/>
        <v>975</v>
      </c>
      <c r="G12" s="1632">
        <f t="shared" si="0"/>
        <v>151073</v>
      </c>
      <c r="H12" s="1632">
        <f t="shared" si="0"/>
        <v>0</v>
      </c>
      <c r="I12" s="1632">
        <f t="shared" si="0"/>
        <v>9748</v>
      </c>
      <c r="J12" s="1632">
        <f t="shared" si="0"/>
        <v>68227</v>
      </c>
      <c r="K12" s="1593">
        <f t="shared" si="0"/>
        <v>975</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556333</v>
      </c>
      <c r="D16" s="1572">
        <v>242443</v>
      </c>
      <c r="E16" s="1572"/>
      <c r="F16" s="1572"/>
      <c r="G16" s="1572">
        <v>16794</v>
      </c>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556333</v>
      </c>
      <c r="D18" s="1634">
        <f t="shared" ref="D18:K18" si="1">SUM(D14:D17)</f>
        <v>242443</v>
      </c>
      <c r="E18" s="1634">
        <f t="shared" si="1"/>
        <v>0</v>
      </c>
      <c r="F18" s="1634">
        <f t="shared" si="1"/>
        <v>0</v>
      </c>
      <c r="G18" s="1634">
        <f t="shared" si="1"/>
        <v>16794</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107063</v>
      </c>
      <c r="D65" s="1572"/>
      <c r="E65" s="1572"/>
      <c r="F65" s="1573"/>
      <c r="G65" s="1572"/>
      <c r="H65" s="1572"/>
      <c r="I65" s="1572"/>
      <c r="J65" s="1573"/>
      <c r="K65" s="1572"/>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107063</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2421</v>
      </c>
      <c r="D69" s="1574"/>
      <c r="E69" s="1574"/>
      <c r="F69" s="1574"/>
      <c r="G69" s="1574"/>
      <c r="H69" s="1574"/>
      <c r="I69" s="1574"/>
      <c r="J69" s="1574"/>
      <c r="K69" s="1574"/>
    </row>
    <row r="70" spans="1:11" ht="12.75" customHeight="1" x14ac:dyDescent="0.2">
      <c r="A70" s="426" t="s">
        <v>990</v>
      </c>
      <c r="B70" s="428">
        <v>1612</v>
      </c>
      <c r="C70" s="1631"/>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2421</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393</v>
      </c>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393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v>110</v>
      </c>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110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v>15000</v>
      </c>
      <c r="E95" s="1616"/>
      <c r="F95" s="1616"/>
      <c r="G95" s="1616"/>
      <c r="H95" s="1616"/>
      <c r="I95" s="1616"/>
      <c r="J95" s="1616"/>
      <c r="K95" s="1616"/>
    </row>
    <row r="96" spans="1:11" ht="12.75" customHeight="1" x14ac:dyDescent="0.2">
      <c r="A96" s="426" t="s">
        <v>388</v>
      </c>
      <c r="B96" s="428">
        <v>1920</v>
      </c>
      <c r="C96" s="1631"/>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v>20396</v>
      </c>
      <c r="D107" s="1572"/>
      <c r="E107" s="1572"/>
      <c r="F107" s="1572"/>
      <c r="G107" s="1572"/>
      <c r="H107" s="1572"/>
      <c r="I107" s="1572"/>
      <c r="J107" s="1573"/>
      <c r="K107" s="1572"/>
    </row>
    <row r="108" spans="1:12" ht="12.75" customHeight="1" thickBot="1" x14ac:dyDescent="0.25">
      <c r="A108" s="1405" t="s">
        <v>484</v>
      </c>
      <c r="B108" s="1407"/>
      <c r="C108" s="1632">
        <f>SUM(C95:C107)</f>
        <v>20396</v>
      </c>
      <c r="D108" s="1632">
        <f t="shared" ref="D108:K108" si="3">SUM(D95:D107)</f>
        <v>15000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3728576</v>
      </c>
      <c r="D109" s="1640">
        <f t="shared" si="4"/>
        <v>1129155</v>
      </c>
      <c r="E109" s="1640">
        <f t="shared" si="4"/>
        <v>0</v>
      </c>
      <c r="F109" s="1640">
        <f t="shared" si="4"/>
        <v>975</v>
      </c>
      <c r="G109" s="1640">
        <f t="shared" si="4"/>
        <v>167867</v>
      </c>
      <c r="H109" s="1640">
        <f t="shared" si="4"/>
        <v>0</v>
      </c>
      <c r="I109" s="1640">
        <f t="shared" si="4"/>
        <v>9748</v>
      </c>
      <c r="J109" s="1640">
        <f t="shared" si="4"/>
        <v>68227</v>
      </c>
      <c r="K109" s="1628">
        <f t="shared" si="4"/>
        <v>975</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956168</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956168</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v>18914</v>
      </c>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18914</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2041</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29</v>
      </c>
      <c r="G152" s="1573"/>
      <c r="H152" s="1574"/>
      <c r="I152" s="1574"/>
      <c r="J152" s="1574"/>
      <c r="K152" s="1574"/>
    </row>
    <row r="153" spans="1:11" ht="12.75" customHeight="1" x14ac:dyDescent="0.2">
      <c r="A153" s="426" t="s">
        <v>1048</v>
      </c>
      <c r="B153" s="477">
        <v>3510</v>
      </c>
      <c r="C153" s="1631"/>
      <c r="D153" s="1572"/>
      <c r="E153" s="1639"/>
      <c r="F153" s="1572">
        <v>44944</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44973</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v>115687</v>
      </c>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v>23429</v>
      </c>
      <c r="D168" s="1654">
        <v>50000</v>
      </c>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160071</v>
      </c>
      <c r="D169" s="1657">
        <f t="shared" si="6"/>
        <v>50000</v>
      </c>
      <c r="E169" s="1657">
        <f t="shared" si="6"/>
        <v>0</v>
      </c>
      <c r="F169" s="1657">
        <f t="shared" si="6"/>
        <v>44973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1116239</v>
      </c>
      <c r="D170" s="1640">
        <f t="shared" si="7"/>
        <v>50000</v>
      </c>
      <c r="E170" s="1640">
        <f t="shared" si="7"/>
        <v>0</v>
      </c>
      <c r="F170" s="1640">
        <f t="shared" si="7"/>
        <v>44973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100301</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v>22328</v>
      </c>
      <c r="D193" s="1574"/>
      <c r="E193" s="1639"/>
      <c r="F193" s="1574"/>
      <c r="G193" s="1663"/>
      <c r="H193" s="1574"/>
      <c r="I193" s="1574"/>
      <c r="J193" s="1574"/>
      <c r="K193" s="1574"/>
    </row>
    <row r="194" spans="1:11" ht="12.75" customHeight="1" x14ac:dyDescent="0.2">
      <c r="A194" s="426" t="s">
        <v>1434</v>
      </c>
      <c r="B194" s="428">
        <v>4225</v>
      </c>
      <c r="C194" s="1631"/>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122629</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93553</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93553</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109754</v>
      </c>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109754</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v>17794</v>
      </c>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15730</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v>4040</v>
      </c>
      <c r="D263" s="1650"/>
      <c r="E263" s="1574"/>
      <c r="F263" s="1650"/>
      <c r="G263" s="1650"/>
      <c r="H263" s="1574"/>
      <c r="I263" s="1574"/>
      <c r="J263" s="1574"/>
      <c r="K263" s="1574"/>
    </row>
    <row r="264" spans="1:11" ht="12.75" customHeight="1" thickTop="1" thickBot="1" x14ac:dyDescent="0.25">
      <c r="A264" s="426" t="s">
        <v>374</v>
      </c>
      <c r="B264" s="428">
        <v>4992</v>
      </c>
      <c r="C264" s="1649">
        <v>250</v>
      </c>
      <c r="D264" s="1650"/>
      <c r="E264" s="1574"/>
      <c r="F264" s="1650"/>
      <c r="G264" s="1650"/>
      <c r="H264" s="1574"/>
      <c r="I264" s="1574"/>
      <c r="J264" s="1574"/>
      <c r="K264" s="1574"/>
    </row>
    <row r="265" spans="1:11" s="488" customFormat="1" ht="12.75" customHeight="1" thickTop="1" thickBot="1" x14ac:dyDescent="0.25">
      <c r="A265" s="478" t="s">
        <v>75</v>
      </c>
      <c r="B265" s="474">
        <v>4998</v>
      </c>
      <c r="C265" s="1649">
        <v>8513</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372263</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372263</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5217078</v>
      </c>
      <c r="D268" s="1640">
        <f t="shared" si="12"/>
        <v>1179155</v>
      </c>
      <c r="E268" s="1640">
        <f t="shared" si="12"/>
        <v>0</v>
      </c>
      <c r="F268" s="1640">
        <f t="shared" si="12"/>
        <v>45948</v>
      </c>
      <c r="G268" s="1640">
        <f t="shared" si="12"/>
        <v>167867</v>
      </c>
      <c r="H268" s="1640">
        <f t="shared" si="12"/>
        <v>0</v>
      </c>
      <c r="I268" s="1640">
        <f t="shared" si="12"/>
        <v>9748</v>
      </c>
      <c r="J268" s="1640">
        <f t="shared" si="12"/>
        <v>68227</v>
      </c>
      <c r="K268" s="1628">
        <f t="shared" si="12"/>
        <v>975</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sheetPr>
  <dimension ref="A1:N368"/>
  <sheetViews>
    <sheetView showGridLines="0" defaultGridColor="0" colorId="8" zoomScale="90" zoomScaleNormal="90" workbookViewId="0">
      <pane ySplit="2" topLeftCell="A80" activePane="bottomLeft" state="frozen"/>
      <selection pane="bottomLeft" activeCell="O87" sqref="O87"/>
    </sheetView>
  </sheetViews>
  <sheetFormatPr defaultColWidth="9.140625" defaultRowHeight="12.75" x14ac:dyDescent="0.2"/>
  <cols>
    <col min="1" max="1" width="48.5703125" style="573" customWidth="1"/>
    <col min="2" max="2" width="5" style="574" customWidth="1"/>
    <col min="3" max="8" width="13.140625" style="500" customWidth="1"/>
    <col min="9" max="10" width="13.140625" style="320" customWidth="1"/>
    <col min="11" max="11" width="13.140625" style="575" customWidth="1"/>
    <col min="12" max="12" width="11.85546875" style="320" customWidth="1"/>
    <col min="13" max="13" width="1.5703125" style="204" customWidth="1"/>
    <col min="14" max="14" width="9.140625" style="204"/>
    <col min="15" max="16384" width="9.140625" style="306"/>
  </cols>
  <sheetData>
    <row r="1" spans="1:14" x14ac:dyDescent="0.2">
      <c r="A1" s="2228"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0"/>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6" t="s">
        <v>294</v>
      </c>
      <c r="B3" s="2267"/>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1744545</v>
      </c>
      <c r="D5" s="1572">
        <v>612886</v>
      </c>
      <c r="E5" s="1572">
        <v>90357</v>
      </c>
      <c r="F5" s="1572">
        <v>153190</v>
      </c>
      <c r="G5" s="1572">
        <v>13881</v>
      </c>
      <c r="H5" s="1572">
        <v>4688</v>
      </c>
      <c r="I5" s="1573"/>
      <c r="J5" s="1573"/>
      <c r="K5" s="1671">
        <f>SUM(C5:J5)</f>
        <v>2619547</v>
      </c>
      <c r="L5" s="1572">
        <v>2748025</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c r="D7" s="1573"/>
      <c r="E7" s="1573"/>
      <c r="F7" s="1573"/>
      <c r="G7" s="1573"/>
      <c r="H7" s="1573"/>
      <c r="I7" s="1573"/>
      <c r="J7" s="1573"/>
      <c r="K7" s="1671">
        <f t="shared" ref="K7:K32" si="0">SUM(C7:J7)</f>
        <v>0</v>
      </c>
      <c r="L7" s="1572"/>
    </row>
    <row r="8" spans="1:14" x14ac:dyDescent="0.2">
      <c r="A8" s="1273" t="s">
        <v>163</v>
      </c>
      <c r="B8" s="502">
        <v>1200</v>
      </c>
      <c r="C8" s="1572">
        <v>66225</v>
      </c>
      <c r="D8" s="1572">
        <v>20134</v>
      </c>
      <c r="E8" s="1572">
        <v>2085</v>
      </c>
      <c r="F8" s="1572">
        <v>3169</v>
      </c>
      <c r="G8" s="1572"/>
      <c r="H8" s="1572"/>
      <c r="I8" s="1573"/>
      <c r="J8" s="1573"/>
      <c r="K8" s="1671">
        <f t="shared" si="0"/>
        <v>91613</v>
      </c>
      <c r="L8" s="1572">
        <v>182454</v>
      </c>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c r="D10" s="1572"/>
      <c r="E10" s="1572"/>
      <c r="F10" s="1572"/>
      <c r="G10" s="1572"/>
      <c r="H10" s="1572"/>
      <c r="I10" s="1573"/>
      <c r="J10" s="1573"/>
      <c r="K10" s="1671">
        <f t="shared" si="0"/>
        <v>0</v>
      </c>
      <c r="L10" s="1572"/>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v>2505</v>
      </c>
      <c r="G13" s="1572"/>
      <c r="H13" s="1572"/>
      <c r="I13" s="1573"/>
      <c r="J13" s="1573"/>
      <c r="K13" s="1671">
        <f t="shared" si="0"/>
        <v>2505</v>
      </c>
      <c r="L13" s="1572">
        <v>5000</v>
      </c>
    </row>
    <row r="14" spans="1:14" x14ac:dyDescent="0.2">
      <c r="A14" s="1273" t="s">
        <v>957</v>
      </c>
      <c r="B14" s="502">
        <v>1500</v>
      </c>
      <c r="C14" s="1572"/>
      <c r="D14" s="1572"/>
      <c r="E14" s="1572">
        <v>136</v>
      </c>
      <c r="F14" s="1572">
        <v>969</v>
      </c>
      <c r="G14" s="1572"/>
      <c r="H14" s="1572">
        <v>2200</v>
      </c>
      <c r="I14" s="1573"/>
      <c r="J14" s="1573"/>
      <c r="K14" s="1671">
        <f t="shared" si="0"/>
        <v>3305</v>
      </c>
      <c r="L14" s="1572">
        <v>8500</v>
      </c>
    </row>
    <row r="15" spans="1:14" x14ac:dyDescent="0.2">
      <c r="A15" s="1273" t="s">
        <v>958</v>
      </c>
      <c r="B15" s="502">
        <v>1600</v>
      </c>
      <c r="C15" s="1572">
        <v>15744</v>
      </c>
      <c r="D15" s="1572">
        <v>1245</v>
      </c>
      <c r="E15" s="1572"/>
      <c r="F15" s="1572">
        <v>148</v>
      </c>
      <c r="G15" s="1572"/>
      <c r="H15" s="1572"/>
      <c r="I15" s="1573"/>
      <c r="J15" s="1573"/>
      <c r="K15" s="1671">
        <f t="shared" si="0"/>
        <v>17137</v>
      </c>
      <c r="L15" s="1572">
        <v>18236</v>
      </c>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v>411535</v>
      </c>
      <c r="D18" s="1572">
        <v>6120</v>
      </c>
      <c r="E18" s="1572"/>
      <c r="F18" s="1572"/>
      <c r="G18" s="1572"/>
      <c r="H18" s="1572"/>
      <c r="I18" s="1573"/>
      <c r="J18" s="1573"/>
      <c r="K18" s="1671">
        <f t="shared" si="0"/>
        <v>417655</v>
      </c>
      <c r="L18" s="1572">
        <v>454345</v>
      </c>
    </row>
    <row r="19" spans="1:12" x14ac:dyDescent="0.2">
      <c r="A19" s="1273" t="s">
        <v>133</v>
      </c>
      <c r="B19" s="502">
        <v>1900</v>
      </c>
      <c r="C19" s="1572"/>
      <c r="D19" s="1572"/>
      <c r="E19" s="1572"/>
      <c r="F19" s="1572"/>
      <c r="G19" s="1572"/>
      <c r="H19" s="1572">
        <v>53284</v>
      </c>
      <c r="I19" s="1573"/>
      <c r="J19" s="1573"/>
      <c r="K19" s="1671">
        <f t="shared" si="0"/>
        <v>53284</v>
      </c>
      <c r="L19" s="1572">
        <v>54200</v>
      </c>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2238049</v>
      </c>
      <c r="D33" s="1673">
        <f t="shared" ref="D33:L33" si="1">SUM(D5:D32)</f>
        <v>640385</v>
      </c>
      <c r="E33" s="1673">
        <f t="shared" si="1"/>
        <v>92578</v>
      </c>
      <c r="F33" s="1673">
        <f t="shared" si="1"/>
        <v>159981</v>
      </c>
      <c r="G33" s="1673">
        <f t="shared" si="1"/>
        <v>13881</v>
      </c>
      <c r="H33" s="1673">
        <f t="shared" si="1"/>
        <v>60172</v>
      </c>
      <c r="I33" s="1673">
        <f t="shared" si="1"/>
        <v>0</v>
      </c>
      <c r="J33" s="1673">
        <f t="shared" si="1"/>
        <v>0</v>
      </c>
      <c r="K33" s="1673">
        <f t="shared" si="1"/>
        <v>3205046</v>
      </c>
      <c r="L33" s="1673">
        <f t="shared" si="1"/>
        <v>3470760</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v>54600</v>
      </c>
      <c r="D36" s="1585">
        <v>825</v>
      </c>
      <c r="E36" s="1585"/>
      <c r="F36" s="1585"/>
      <c r="G36" s="1585"/>
      <c r="H36" s="1585"/>
      <c r="I36" s="1573"/>
      <c r="J36" s="1573"/>
      <c r="K36" s="1671">
        <f t="shared" ref="K36:K41" si="2">SUM(C36:J36)</f>
        <v>55425</v>
      </c>
      <c r="L36" s="1572"/>
    </row>
    <row r="37" spans="1:14" x14ac:dyDescent="0.2">
      <c r="A37" s="1273" t="s">
        <v>1081</v>
      </c>
      <c r="B37" s="502">
        <v>2120</v>
      </c>
      <c r="C37" s="1572"/>
      <c r="D37" s="1572"/>
      <c r="E37" s="1572"/>
      <c r="F37" s="1572"/>
      <c r="G37" s="1572"/>
      <c r="H37" s="1572"/>
      <c r="I37" s="1573"/>
      <c r="J37" s="1573"/>
      <c r="K37" s="1671">
        <f t="shared" si="2"/>
        <v>0</v>
      </c>
      <c r="L37" s="1572"/>
    </row>
    <row r="38" spans="1:14" x14ac:dyDescent="0.2">
      <c r="A38" s="1273" t="s">
        <v>196</v>
      </c>
      <c r="B38" s="502">
        <v>2130</v>
      </c>
      <c r="C38" s="1572">
        <v>56411</v>
      </c>
      <c r="D38" s="1572">
        <v>19192</v>
      </c>
      <c r="E38" s="1572"/>
      <c r="F38" s="1572">
        <v>274</v>
      </c>
      <c r="G38" s="1572"/>
      <c r="H38" s="1572"/>
      <c r="I38" s="1573"/>
      <c r="J38" s="1573"/>
      <c r="K38" s="1671">
        <f t="shared" si="2"/>
        <v>75877</v>
      </c>
      <c r="L38" s="1572">
        <v>76838</v>
      </c>
    </row>
    <row r="39" spans="1:14" x14ac:dyDescent="0.2">
      <c r="A39" s="1273" t="s">
        <v>197</v>
      </c>
      <c r="B39" s="502">
        <v>2140</v>
      </c>
      <c r="C39" s="1572"/>
      <c r="D39" s="1572"/>
      <c r="E39" s="1572">
        <v>9600</v>
      </c>
      <c r="F39" s="1572"/>
      <c r="G39" s="1572"/>
      <c r="H39" s="1572"/>
      <c r="I39" s="1573"/>
      <c r="J39" s="1573"/>
      <c r="K39" s="1671">
        <f t="shared" si="2"/>
        <v>9600</v>
      </c>
      <c r="L39" s="1572">
        <v>10000</v>
      </c>
    </row>
    <row r="40" spans="1:14" x14ac:dyDescent="0.2">
      <c r="A40" s="1273" t="s">
        <v>198</v>
      </c>
      <c r="B40" s="502">
        <v>2150</v>
      </c>
      <c r="C40" s="1572">
        <v>46352</v>
      </c>
      <c r="D40" s="1572">
        <v>834</v>
      </c>
      <c r="E40" s="1572"/>
      <c r="F40" s="1572"/>
      <c r="G40" s="1572"/>
      <c r="H40" s="1572"/>
      <c r="I40" s="1573"/>
      <c r="J40" s="1573"/>
      <c r="K40" s="1671">
        <f t="shared" si="2"/>
        <v>47186</v>
      </c>
      <c r="L40" s="1572"/>
    </row>
    <row r="41" spans="1:14" x14ac:dyDescent="0.2">
      <c r="A41" s="1273" t="s">
        <v>1650</v>
      </c>
      <c r="B41" s="502">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157363</v>
      </c>
      <c r="D42" s="1673">
        <f t="shared" ref="D42:L42" si="3">SUM(D36:D41)</f>
        <v>20851</v>
      </c>
      <c r="E42" s="1673">
        <f t="shared" si="3"/>
        <v>9600</v>
      </c>
      <c r="F42" s="1673">
        <f t="shared" si="3"/>
        <v>274</v>
      </c>
      <c r="G42" s="1673">
        <f t="shared" si="3"/>
        <v>0</v>
      </c>
      <c r="H42" s="1673">
        <f t="shared" si="3"/>
        <v>0</v>
      </c>
      <c r="I42" s="1673">
        <f t="shared" si="3"/>
        <v>0</v>
      </c>
      <c r="J42" s="1673">
        <f t="shared" si="3"/>
        <v>0</v>
      </c>
      <c r="K42" s="1673">
        <f t="shared" si="3"/>
        <v>188088</v>
      </c>
      <c r="L42" s="1673">
        <f t="shared" si="3"/>
        <v>86838</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c r="D44" s="1585"/>
      <c r="E44" s="1585">
        <v>10064</v>
      </c>
      <c r="F44" s="1585"/>
      <c r="G44" s="1585"/>
      <c r="H44" s="1585"/>
      <c r="I44" s="1573"/>
      <c r="J44" s="1573"/>
      <c r="K44" s="1677">
        <f>SUM(C44:J44)</f>
        <v>10064</v>
      </c>
      <c r="L44" s="1585">
        <v>11853</v>
      </c>
    </row>
    <row r="45" spans="1:14" x14ac:dyDescent="0.2">
      <c r="A45" s="1273" t="s">
        <v>810</v>
      </c>
      <c r="B45" s="502">
        <v>2220</v>
      </c>
      <c r="C45" s="1572">
        <v>81098</v>
      </c>
      <c r="D45" s="1572">
        <v>28818</v>
      </c>
      <c r="E45" s="1572">
        <v>2151</v>
      </c>
      <c r="F45" s="1572">
        <v>16765</v>
      </c>
      <c r="G45" s="1572"/>
      <c r="H45" s="1572"/>
      <c r="I45" s="1573"/>
      <c r="J45" s="1573"/>
      <c r="K45" s="1677">
        <f>SUM(C45:J45)</f>
        <v>128832</v>
      </c>
      <c r="L45" s="1572">
        <v>141360</v>
      </c>
    </row>
    <row r="46" spans="1:14" x14ac:dyDescent="0.2">
      <c r="A46" s="1273" t="s">
        <v>811</v>
      </c>
      <c r="B46" s="502">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81098</v>
      </c>
      <c r="D47" s="1673">
        <f t="shared" ref="D47:K47" si="4">SUM(D44:D46)</f>
        <v>28818</v>
      </c>
      <c r="E47" s="1673">
        <f t="shared" si="4"/>
        <v>12215</v>
      </c>
      <c r="F47" s="1673">
        <f t="shared" si="4"/>
        <v>16765</v>
      </c>
      <c r="G47" s="1673">
        <f t="shared" si="4"/>
        <v>0</v>
      </c>
      <c r="H47" s="1673">
        <f t="shared" si="4"/>
        <v>0</v>
      </c>
      <c r="I47" s="1673">
        <f t="shared" si="4"/>
        <v>0</v>
      </c>
      <c r="J47" s="1673">
        <f t="shared" si="4"/>
        <v>0</v>
      </c>
      <c r="K47" s="1673">
        <f t="shared" si="4"/>
        <v>138896</v>
      </c>
      <c r="L47" s="1673">
        <f>SUM(L44:L46)</f>
        <v>153213</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c r="D49" s="1585"/>
      <c r="E49" s="1585">
        <v>67445</v>
      </c>
      <c r="F49" s="1585">
        <v>437</v>
      </c>
      <c r="G49" s="1585"/>
      <c r="H49" s="1585">
        <v>17212</v>
      </c>
      <c r="I49" s="1573"/>
      <c r="J49" s="1573"/>
      <c r="K49" s="1677">
        <f>SUM(C49:J49)</f>
        <v>85094</v>
      </c>
      <c r="L49" s="1585">
        <v>103000</v>
      </c>
    </row>
    <row r="50" spans="1:14" x14ac:dyDescent="0.2">
      <c r="A50" s="1273" t="s">
        <v>813</v>
      </c>
      <c r="B50" s="502">
        <v>2320</v>
      </c>
      <c r="C50" s="1572">
        <v>157632</v>
      </c>
      <c r="D50" s="1572">
        <v>15106</v>
      </c>
      <c r="E50" s="1572">
        <v>11631</v>
      </c>
      <c r="F50" s="1572">
        <v>9566</v>
      </c>
      <c r="G50" s="1572">
        <v>4416</v>
      </c>
      <c r="H50" s="1572"/>
      <c r="I50" s="1573"/>
      <c r="J50" s="1573"/>
      <c r="K50" s="1677">
        <f>SUM(C50:J50)</f>
        <v>198351</v>
      </c>
      <c r="L50" s="1572">
        <v>280773</v>
      </c>
    </row>
    <row r="51" spans="1:14" x14ac:dyDescent="0.2">
      <c r="A51" s="1273" t="s">
        <v>42</v>
      </c>
      <c r="B51" s="502">
        <v>2330</v>
      </c>
      <c r="C51" s="1572">
        <v>150052</v>
      </c>
      <c r="D51" s="1572">
        <v>25233</v>
      </c>
      <c r="E51" s="1572"/>
      <c r="F51" s="1572"/>
      <c r="G51" s="1572"/>
      <c r="H51" s="1572"/>
      <c r="I51" s="1573"/>
      <c r="J51" s="1573"/>
      <c r="K51" s="1677">
        <f>SUM(C51:J51)</f>
        <v>175285</v>
      </c>
      <c r="L51" s="1572">
        <v>112826</v>
      </c>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307684</v>
      </c>
      <c r="D53" s="1673">
        <f t="shared" ref="D53:L53" si="5">SUM(D49:D52)</f>
        <v>40339</v>
      </c>
      <c r="E53" s="1673">
        <f t="shared" si="5"/>
        <v>79076</v>
      </c>
      <c r="F53" s="1673">
        <f t="shared" si="5"/>
        <v>10003</v>
      </c>
      <c r="G53" s="1673">
        <f t="shared" si="5"/>
        <v>4416</v>
      </c>
      <c r="H53" s="1673">
        <f t="shared" si="5"/>
        <v>17212</v>
      </c>
      <c r="I53" s="1673">
        <f t="shared" si="5"/>
        <v>0</v>
      </c>
      <c r="J53" s="1673">
        <f t="shared" si="5"/>
        <v>0</v>
      </c>
      <c r="K53" s="1673">
        <f t="shared" si="5"/>
        <v>458730</v>
      </c>
      <c r="L53" s="1673">
        <f t="shared" si="5"/>
        <v>496599</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250443</v>
      </c>
      <c r="D55" s="1585">
        <v>37101</v>
      </c>
      <c r="E55" s="1585">
        <v>1493</v>
      </c>
      <c r="F55" s="1585">
        <v>3428</v>
      </c>
      <c r="G55" s="1585"/>
      <c r="H55" s="1585"/>
      <c r="I55" s="1573"/>
      <c r="J55" s="1573"/>
      <c r="K55" s="1677">
        <f>SUM(C55:J55)</f>
        <v>292465</v>
      </c>
      <c r="L55" s="1585">
        <v>292064</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250443</v>
      </c>
      <c r="D57" s="1678">
        <f t="shared" ref="D57:K57" si="6">SUM(D55:D56)</f>
        <v>37101</v>
      </c>
      <c r="E57" s="1678">
        <f t="shared" si="6"/>
        <v>1493</v>
      </c>
      <c r="F57" s="1678">
        <f t="shared" si="6"/>
        <v>3428</v>
      </c>
      <c r="G57" s="1678">
        <f t="shared" si="6"/>
        <v>0</v>
      </c>
      <c r="H57" s="1678">
        <f t="shared" si="6"/>
        <v>0</v>
      </c>
      <c r="I57" s="1678">
        <f t="shared" si="6"/>
        <v>0</v>
      </c>
      <c r="J57" s="1678">
        <f t="shared" si="6"/>
        <v>0</v>
      </c>
      <c r="K57" s="1678">
        <f t="shared" si="6"/>
        <v>292465</v>
      </c>
      <c r="L57" s="1673">
        <f>SUM(L55:L56)</f>
        <v>292064</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c r="D60" s="1572"/>
      <c r="E60" s="1572">
        <v>30560</v>
      </c>
      <c r="F60" s="1572"/>
      <c r="G60" s="1572"/>
      <c r="H60" s="1572"/>
      <c r="I60" s="1573"/>
      <c r="J60" s="1573"/>
      <c r="K60" s="1677">
        <f t="shared" si="7"/>
        <v>30560</v>
      </c>
      <c r="L60" s="1572">
        <v>30000</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v>12962</v>
      </c>
      <c r="D63" s="1572"/>
      <c r="E63" s="1572"/>
      <c r="F63" s="1572">
        <v>72673</v>
      </c>
      <c r="G63" s="1572"/>
      <c r="H63" s="1572"/>
      <c r="I63" s="1573"/>
      <c r="J63" s="1573"/>
      <c r="K63" s="1677">
        <f t="shared" si="7"/>
        <v>85635</v>
      </c>
      <c r="L63" s="1572">
        <v>160497</v>
      </c>
    </row>
    <row r="64" spans="1:14" s="500" customFormat="1" x14ac:dyDescent="0.2">
      <c r="A64" s="1278" t="s">
        <v>101</v>
      </c>
      <c r="B64" s="512">
        <v>2570</v>
      </c>
      <c r="C64" s="1585"/>
      <c r="D64" s="1585"/>
      <c r="E64" s="1585"/>
      <c r="F64" s="1585"/>
      <c r="G64" s="1585"/>
      <c r="H64" s="1585"/>
      <c r="I64" s="1573"/>
      <c r="J64" s="1573"/>
      <c r="K64" s="1677">
        <f t="shared" si="7"/>
        <v>0</v>
      </c>
      <c r="L64" s="1585"/>
    </row>
    <row r="65" spans="1:14" s="320" customFormat="1" ht="12.75" customHeight="1" thickBot="1" x14ac:dyDescent="0.25">
      <c r="A65" s="1379" t="s">
        <v>714</v>
      </c>
      <c r="B65" s="1380" t="s">
        <v>35</v>
      </c>
      <c r="C65" s="1673">
        <f>SUM(C59:C64)</f>
        <v>12962</v>
      </c>
      <c r="D65" s="1673">
        <f t="shared" ref="D65:L65" si="8">SUM(D59:D64)</f>
        <v>0</v>
      </c>
      <c r="E65" s="1673">
        <f t="shared" si="8"/>
        <v>30560</v>
      </c>
      <c r="F65" s="1673">
        <f t="shared" si="8"/>
        <v>72673</v>
      </c>
      <c r="G65" s="1673">
        <f t="shared" si="8"/>
        <v>0</v>
      </c>
      <c r="H65" s="1673">
        <f t="shared" si="8"/>
        <v>0</v>
      </c>
      <c r="I65" s="1673">
        <f t="shared" si="8"/>
        <v>0</v>
      </c>
      <c r="J65" s="1673">
        <f t="shared" si="8"/>
        <v>0</v>
      </c>
      <c r="K65" s="1673">
        <f t="shared" si="8"/>
        <v>116195</v>
      </c>
      <c r="L65" s="1673">
        <f t="shared" si="8"/>
        <v>190497</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809550</v>
      </c>
      <c r="D74" s="1680">
        <f t="shared" ref="D74:K74" si="10">SUM(D42,D47,D53,D57,D65,D72,D73)</f>
        <v>127109</v>
      </c>
      <c r="E74" s="1680">
        <f t="shared" si="10"/>
        <v>132944</v>
      </c>
      <c r="F74" s="1680">
        <f t="shared" si="10"/>
        <v>103143</v>
      </c>
      <c r="G74" s="1680">
        <f t="shared" si="10"/>
        <v>4416</v>
      </c>
      <c r="H74" s="1680">
        <f t="shared" si="10"/>
        <v>17212</v>
      </c>
      <c r="I74" s="1680">
        <f t="shared" si="10"/>
        <v>0</v>
      </c>
      <c r="J74" s="1680">
        <f t="shared" si="10"/>
        <v>0</v>
      </c>
      <c r="K74" s="1680">
        <f t="shared" si="10"/>
        <v>1194374</v>
      </c>
      <c r="L74" s="1680">
        <f>SUM(L42,L47,L53,L57,L65,L72,L73)</f>
        <v>1219211</v>
      </c>
    </row>
    <row r="75" spans="1:14" s="253" customFormat="1" ht="15.75" customHeight="1" thickTop="1" thickBot="1" x14ac:dyDescent="0.25">
      <c r="A75" s="1347" t="s">
        <v>47</v>
      </c>
      <c r="B75" s="1348" t="s">
        <v>571</v>
      </c>
      <c r="C75" s="1648"/>
      <c r="D75" s="1648"/>
      <c r="E75" s="1648">
        <v>560</v>
      </c>
      <c r="F75" s="1648">
        <v>3653</v>
      </c>
      <c r="G75" s="1648"/>
      <c r="H75" s="1648"/>
      <c r="I75" s="1626"/>
      <c r="J75" s="1626"/>
      <c r="K75" s="1673">
        <f>SUM(C75:J75)</f>
        <v>4213</v>
      </c>
      <c r="L75" s="1650">
        <v>5500</v>
      </c>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v>468692</v>
      </c>
      <c r="F79" s="1672"/>
      <c r="G79" s="1672"/>
      <c r="H79" s="1572"/>
      <c r="I79" s="1581"/>
      <c r="J79" s="1581"/>
      <c r="K79" s="1671">
        <f t="shared" si="11"/>
        <v>468692</v>
      </c>
      <c r="L79" s="1572">
        <v>443989</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468692</v>
      </c>
      <c r="F84" s="1672"/>
      <c r="G84" s="1672"/>
      <c r="H84" s="1673">
        <f>SUM(H78:H83)</f>
        <v>0</v>
      </c>
      <c r="I84" s="1581"/>
      <c r="J84" s="1581"/>
      <c r="K84" s="1673">
        <f>SUM(K78:K83)</f>
        <v>468692</v>
      </c>
      <c r="L84" s="1673">
        <f>SUM(L78:L83)</f>
        <v>443989</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v>302397</v>
      </c>
      <c r="I86" s="1581"/>
      <c r="J86" s="1581"/>
      <c r="K86" s="1680">
        <f t="shared" ref="K86:K98" si="12">H86</f>
        <v>302397</v>
      </c>
      <c r="L86" s="1625">
        <v>400976</v>
      </c>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302397</v>
      </c>
      <c r="I92" s="1581"/>
      <c r="J92" s="1581"/>
      <c r="K92" s="1680">
        <f t="shared" si="12"/>
        <v>302397</v>
      </c>
      <c r="L92" s="1673">
        <f>SUM(L85:L91)</f>
        <v>400976</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468692</v>
      </c>
      <c r="F102" s="1672"/>
      <c r="G102" s="1672"/>
      <c r="H102" s="1680">
        <f>SUM(H84,H92,H100,H101)</f>
        <v>302397</v>
      </c>
      <c r="I102" s="1581"/>
      <c r="J102" s="1581"/>
      <c r="K102" s="1680">
        <f>SUM(K84,K92,K100,K101)</f>
        <v>771089</v>
      </c>
      <c r="L102" s="1680">
        <f>SUM(L84,L92,L100,L101)</f>
        <v>844965</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3047599</v>
      </c>
      <c r="D114" s="1673">
        <f t="shared" ref="D114:K114" si="13">SUM(D33,D74,D75,D102,D112,D113)</f>
        <v>767494</v>
      </c>
      <c r="E114" s="1673">
        <f t="shared" si="13"/>
        <v>694774</v>
      </c>
      <c r="F114" s="1673">
        <f t="shared" si="13"/>
        <v>266777</v>
      </c>
      <c r="G114" s="1673">
        <f t="shared" si="13"/>
        <v>18297</v>
      </c>
      <c r="H114" s="1673">
        <f>SUM(H33,H74,H75,H102,H112,H113)</f>
        <v>379781</v>
      </c>
      <c r="I114" s="1673">
        <f t="shared" si="13"/>
        <v>0</v>
      </c>
      <c r="J114" s="1673">
        <f t="shared" si="13"/>
        <v>0</v>
      </c>
      <c r="K114" s="1673">
        <f t="shared" si="13"/>
        <v>5174722</v>
      </c>
      <c r="L114" s="1673">
        <f>SUM(L33,L74,L75,L102,L112,L113)</f>
        <v>5540436</v>
      </c>
    </row>
    <row r="115" spans="1:14" ht="13.5" thickTop="1" x14ac:dyDescent="0.2">
      <c r="A115" s="2285" t="s">
        <v>989</v>
      </c>
      <c r="B115" s="2286"/>
      <c r="C115" s="1674"/>
      <c r="D115" s="1674"/>
      <c r="E115" s="1674"/>
      <c r="F115" s="1674"/>
      <c r="G115" s="1674"/>
      <c r="H115" s="1674"/>
      <c r="I115" s="1674"/>
      <c r="J115" s="1674"/>
      <c r="K115" s="1688">
        <f>'Revenues 9-14'!C268-'Expenditures 15-22'!K114</f>
        <v>42356</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3" t="s">
        <v>293</v>
      </c>
      <c r="B117" s="2264"/>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327617</v>
      </c>
      <c r="D124" s="1572">
        <v>92835</v>
      </c>
      <c r="E124" s="1572">
        <v>85568</v>
      </c>
      <c r="F124" s="1572">
        <v>183882</v>
      </c>
      <c r="G124" s="1572">
        <v>689334</v>
      </c>
      <c r="H124" s="1572"/>
      <c r="I124" s="1573"/>
      <c r="J124" s="1573"/>
      <c r="K124" s="1673">
        <f>SUM(C124:J124)</f>
        <v>1379236</v>
      </c>
      <c r="L124" s="1572">
        <v>1573939</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327617</v>
      </c>
      <c r="D127" s="1673">
        <f t="shared" ref="D127:L127" si="14">SUM(D122:D126)</f>
        <v>92835</v>
      </c>
      <c r="E127" s="1673">
        <f t="shared" si="14"/>
        <v>85568</v>
      </c>
      <c r="F127" s="1673">
        <f t="shared" si="14"/>
        <v>183882</v>
      </c>
      <c r="G127" s="1673">
        <f t="shared" si="14"/>
        <v>689334</v>
      </c>
      <c r="H127" s="1673">
        <f t="shared" si="14"/>
        <v>0</v>
      </c>
      <c r="I127" s="1673">
        <f t="shared" si="14"/>
        <v>0</v>
      </c>
      <c r="J127" s="1673">
        <f t="shared" si="14"/>
        <v>0</v>
      </c>
      <c r="K127" s="1673">
        <f t="shared" si="14"/>
        <v>1379236</v>
      </c>
      <c r="L127" s="1673">
        <f t="shared" si="14"/>
        <v>1573939</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327617</v>
      </c>
      <c r="D129" s="1680">
        <f t="shared" ref="D129:L129" si="15">SUM(D120,D127,D128)</f>
        <v>92835</v>
      </c>
      <c r="E129" s="1680">
        <f t="shared" si="15"/>
        <v>85568</v>
      </c>
      <c r="F129" s="1680">
        <f t="shared" si="15"/>
        <v>183882</v>
      </c>
      <c r="G129" s="1680">
        <f t="shared" si="15"/>
        <v>689334</v>
      </c>
      <c r="H129" s="1680">
        <f t="shared" si="15"/>
        <v>0</v>
      </c>
      <c r="I129" s="1680">
        <f t="shared" si="15"/>
        <v>0</v>
      </c>
      <c r="J129" s="1680">
        <f t="shared" si="15"/>
        <v>0</v>
      </c>
      <c r="K129" s="1680">
        <f t="shared" si="15"/>
        <v>1379236</v>
      </c>
      <c r="L129" s="1680">
        <f t="shared" si="15"/>
        <v>1573939</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327617</v>
      </c>
      <c r="D151" s="1673">
        <f t="shared" ref="D151:K151" si="16">SUM(D129,D130,D139,D149,D150)</f>
        <v>92835</v>
      </c>
      <c r="E151" s="1673">
        <f t="shared" si="16"/>
        <v>85568</v>
      </c>
      <c r="F151" s="1673">
        <f t="shared" si="16"/>
        <v>183882</v>
      </c>
      <c r="G151" s="1673">
        <f t="shared" si="16"/>
        <v>689334</v>
      </c>
      <c r="H151" s="1673">
        <f t="shared" si="16"/>
        <v>0</v>
      </c>
      <c r="I151" s="1673">
        <f t="shared" si="16"/>
        <v>0</v>
      </c>
      <c r="J151" s="1673">
        <f t="shared" si="16"/>
        <v>0</v>
      </c>
      <c r="K151" s="1673">
        <f t="shared" si="16"/>
        <v>1379236</v>
      </c>
      <c r="L151" s="1673">
        <f>SUM(L129,L130,L139,L149,L150)</f>
        <v>1573939</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-200081</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3" t="s">
        <v>617</v>
      </c>
      <c r="B154" s="2265"/>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c r="I169" s="1672"/>
      <c r="J169" s="1672"/>
      <c r="K169" s="1671">
        <f>SUM(C169:H169)</f>
        <v>0</v>
      </c>
      <c r="L169" s="1694"/>
    </row>
    <row r="170" spans="1:14" ht="33.75" customHeight="1" x14ac:dyDescent="0.2">
      <c r="A170" s="542" t="s">
        <v>1651</v>
      </c>
      <c r="B170" s="544" t="s">
        <v>31</v>
      </c>
      <c r="C170" s="1672"/>
      <c r="D170" s="1672"/>
      <c r="E170" s="1672"/>
      <c r="F170" s="1672"/>
      <c r="G170" s="1672"/>
      <c r="H170" s="1645"/>
      <c r="I170" s="1672"/>
      <c r="J170" s="1672"/>
      <c r="K170" s="1671">
        <f>SUM(C170:J170)</f>
        <v>0</v>
      </c>
      <c r="L170" s="1645"/>
    </row>
    <row r="171" spans="1:14" ht="15.75" customHeight="1" x14ac:dyDescent="0.2">
      <c r="A171" s="506" t="s">
        <v>761</v>
      </c>
      <c r="B171" s="545"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85" t="s">
        <v>989</v>
      </c>
      <c r="B175" s="2286"/>
      <c r="C175" s="1672"/>
      <c r="D175" s="1672"/>
      <c r="E175" s="1672"/>
      <c r="F175" s="1672"/>
      <c r="G175" s="1672"/>
      <c r="H175" s="1674"/>
      <c r="I175" s="1672"/>
      <c r="J175" s="1672"/>
      <c r="K175" s="1688">
        <f>'Revenues 9-14'!E268-'Expenditures 15-22'!K174</f>
        <v>0</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v>17656</v>
      </c>
      <c r="D182" s="1572">
        <v>3178</v>
      </c>
      <c r="E182" s="1572">
        <v>77587</v>
      </c>
      <c r="F182" s="1572"/>
      <c r="G182" s="1572"/>
      <c r="H182" s="1572"/>
      <c r="I182" s="1573"/>
      <c r="J182" s="1573"/>
      <c r="K182" s="1671">
        <f>SUM(C182:J182)</f>
        <v>98421</v>
      </c>
      <c r="L182" s="1572">
        <v>169814</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17656</v>
      </c>
      <c r="D184" s="1680">
        <f t="shared" ref="D184:J184" si="17">SUM(D180,D182,D183)</f>
        <v>3178</v>
      </c>
      <c r="E184" s="1680">
        <f t="shared" si="17"/>
        <v>77587</v>
      </c>
      <c r="F184" s="1680">
        <f t="shared" si="17"/>
        <v>0</v>
      </c>
      <c r="G184" s="1680">
        <f t="shared" si="17"/>
        <v>0</v>
      </c>
      <c r="H184" s="1680">
        <f t="shared" si="17"/>
        <v>0</v>
      </c>
      <c r="I184" s="1680">
        <f t="shared" si="17"/>
        <v>0</v>
      </c>
      <c r="J184" s="1680">
        <f t="shared" si="17"/>
        <v>0</v>
      </c>
      <c r="K184" s="1680">
        <f>SUM(K180,K182,K183)</f>
        <v>98421</v>
      </c>
      <c r="L184" s="1680">
        <f>SUM(L180, L182:L183)</f>
        <v>169814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17656</v>
      </c>
      <c r="D210" s="1673">
        <f>SUM(D184,D185)</f>
        <v>3178</v>
      </c>
      <c r="E210" s="1673">
        <f>SUM(E184,E185,E196)</f>
        <v>77587</v>
      </c>
      <c r="F210" s="1673">
        <f>SUM(F184,F185)</f>
        <v>0</v>
      </c>
      <c r="G210" s="1673">
        <f>SUM(G184,G185)</f>
        <v>0</v>
      </c>
      <c r="H210" s="1673">
        <f>SUM(H184,H185,H196,H208,H209)</f>
        <v>0</v>
      </c>
      <c r="I210" s="1673">
        <f>SUM(I184,I185)</f>
        <v>0</v>
      </c>
      <c r="J210" s="1673">
        <f>SUM(J184,J185)</f>
        <v>0</v>
      </c>
      <c r="K210" s="1671">
        <f>SUM(K184,K185,K196,K208,K209)</f>
        <v>98421</v>
      </c>
      <c r="L210" s="1673">
        <f>SUM(L184,L185,L196,L208,L209)</f>
        <v>169814</v>
      </c>
    </row>
    <row r="211" spans="1:14" ht="13.5" thickTop="1" x14ac:dyDescent="0.2">
      <c r="A211" s="2285" t="s">
        <v>989</v>
      </c>
      <c r="B211" s="2286"/>
      <c r="C211" s="1674"/>
      <c r="D211" s="1674"/>
      <c r="E211" s="1674"/>
      <c r="F211" s="1674"/>
      <c r="G211" s="1674"/>
      <c r="H211" s="1674"/>
      <c r="I211" s="1672"/>
      <c r="J211" s="1672"/>
      <c r="K211" s="1688">
        <f>'Revenues 9-14'!F268-'Expenditures 15-22'!K210</f>
        <v>-52473</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0" t="s">
        <v>959</v>
      </c>
      <c r="B213" s="2281"/>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38913</v>
      </c>
      <c r="E215" s="1672"/>
      <c r="F215" s="1672"/>
      <c r="G215" s="1672"/>
      <c r="H215" s="1672"/>
      <c r="I215" s="1672"/>
      <c r="J215" s="1672"/>
      <c r="K215" s="1671">
        <f>D215</f>
        <v>38913</v>
      </c>
      <c r="L215" s="1572">
        <v>54755</v>
      </c>
    </row>
    <row r="216" spans="1:14" x14ac:dyDescent="0.2">
      <c r="A216" s="1273" t="s">
        <v>162</v>
      </c>
      <c r="B216" s="502" t="s">
        <v>961</v>
      </c>
      <c r="C216" s="1672"/>
      <c r="D216" s="1573"/>
      <c r="E216" s="1672"/>
      <c r="F216" s="1672"/>
      <c r="G216" s="1672"/>
      <c r="H216" s="1672"/>
      <c r="I216" s="1672"/>
      <c r="J216" s="1672"/>
      <c r="K216" s="1671">
        <f t="shared" ref="K216:K228" si="19">D216</f>
        <v>0</v>
      </c>
      <c r="L216" s="1572"/>
    </row>
    <row r="217" spans="1:14" x14ac:dyDescent="0.2">
      <c r="A217" s="1273" t="s">
        <v>163</v>
      </c>
      <c r="B217" s="502">
        <v>1200</v>
      </c>
      <c r="C217" s="1672"/>
      <c r="D217" s="1572">
        <v>921</v>
      </c>
      <c r="E217" s="1672"/>
      <c r="F217" s="1672"/>
      <c r="G217" s="1672"/>
      <c r="H217" s="1672"/>
      <c r="I217" s="1672"/>
      <c r="J217" s="1672"/>
      <c r="K217" s="1671">
        <f t="shared" si="19"/>
        <v>921</v>
      </c>
      <c r="L217" s="1572">
        <v>1802</v>
      </c>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c r="E219" s="1672"/>
      <c r="F219" s="1672"/>
      <c r="G219" s="1672"/>
      <c r="H219" s="1672"/>
      <c r="I219" s="1672"/>
      <c r="J219" s="1672"/>
      <c r="K219" s="1671">
        <f t="shared" si="19"/>
        <v>0</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c r="E223" s="1672"/>
      <c r="F223" s="1672"/>
      <c r="G223" s="1672"/>
      <c r="H223" s="1672"/>
      <c r="I223" s="1672"/>
      <c r="J223" s="1672"/>
      <c r="K223" s="1671">
        <f t="shared" si="19"/>
        <v>0</v>
      </c>
      <c r="L223" s="1572"/>
    </row>
    <row r="224" spans="1:14" x14ac:dyDescent="0.2">
      <c r="A224" s="1273" t="s">
        <v>958</v>
      </c>
      <c r="B224" s="502">
        <v>1600</v>
      </c>
      <c r="C224" s="1672"/>
      <c r="D224" s="1572">
        <v>228</v>
      </c>
      <c r="E224" s="1672"/>
      <c r="F224" s="1672"/>
      <c r="G224" s="1672"/>
      <c r="H224" s="1672"/>
      <c r="I224" s="1672"/>
      <c r="J224" s="1672"/>
      <c r="K224" s="1671">
        <f t="shared" si="19"/>
        <v>228</v>
      </c>
      <c r="L224" s="1572"/>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v>6508</v>
      </c>
      <c r="E227" s="1672"/>
      <c r="F227" s="1672"/>
      <c r="G227" s="1672"/>
      <c r="H227" s="1672"/>
      <c r="I227" s="1672"/>
      <c r="J227" s="1672"/>
      <c r="K227" s="1671">
        <f t="shared" si="19"/>
        <v>6508</v>
      </c>
      <c r="L227" s="1572">
        <v>5342</v>
      </c>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46570</v>
      </c>
      <c r="E229" s="1672"/>
      <c r="F229" s="1672"/>
      <c r="G229" s="1672"/>
      <c r="H229" s="1672"/>
      <c r="I229" s="1672"/>
      <c r="J229" s="1672"/>
      <c r="K229" s="1673">
        <f>SUM(K215:K228)</f>
        <v>46570</v>
      </c>
      <c r="L229" s="1673">
        <f>SUM(L215:L228)</f>
        <v>61899</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v>773</v>
      </c>
      <c r="E232" s="1672"/>
      <c r="F232" s="1672"/>
      <c r="G232" s="1672"/>
      <c r="H232" s="1672"/>
      <c r="I232" s="1672"/>
      <c r="J232" s="1672"/>
      <c r="K232" s="1671">
        <f t="shared" ref="K232:K237" si="20">D232</f>
        <v>773</v>
      </c>
      <c r="L232" s="1572"/>
    </row>
    <row r="233" spans="1:12" x14ac:dyDescent="0.2">
      <c r="A233" s="1273" t="s">
        <v>1081</v>
      </c>
      <c r="B233" s="502">
        <v>2120</v>
      </c>
      <c r="C233" s="1672"/>
      <c r="D233" s="1572"/>
      <c r="E233" s="1672"/>
      <c r="F233" s="1672"/>
      <c r="G233" s="1672"/>
      <c r="H233" s="1672"/>
      <c r="I233" s="1672"/>
      <c r="J233" s="1672"/>
      <c r="K233" s="1671">
        <f t="shared" si="20"/>
        <v>0</v>
      </c>
      <c r="L233" s="1572"/>
    </row>
    <row r="234" spans="1:12" x14ac:dyDescent="0.2">
      <c r="A234" s="1273" t="s">
        <v>196</v>
      </c>
      <c r="B234" s="502">
        <v>2130</v>
      </c>
      <c r="C234" s="1672"/>
      <c r="D234" s="1572">
        <v>9342</v>
      </c>
      <c r="E234" s="1672"/>
      <c r="F234" s="1672"/>
      <c r="G234" s="1672"/>
      <c r="H234" s="1672"/>
      <c r="I234" s="1672"/>
      <c r="J234" s="1672"/>
      <c r="K234" s="1671">
        <f t="shared" si="20"/>
        <v>9342</v>
      </c>
      <c r="L234" s="1572">
        <v>11609</v>
      </c>
    </row>
    <row r="235" spans="1:12" x14ac:dyDescent="0.2">
      <c r="A235" s="1273" t="s">
        <v>197</v>
      </c>
      <c r="B235" s="502">
        <v>2140</v>
      </c>
      <c r="C235" s="1672"/>
      <c r="D235" s="1572"/>
      <c r="E235" s="1672"/>
      <c r="F235" s="1672"/>
      <c r="G235" s="1672"/>
      <c r="H235" s="1672"/>
      <c r="I235" s="1672"/>
      <c r="J235" s="1672"/>
      <c r="K235" s="1671">
        <f t="shared" si="20"/>
        <v>0</v>
      </c>
      <c r="L235" s="1572"/>
    </row>
    <row r="236" spans="1:12" x14ac:dyDescent="0.2">
      <c r="A236" s="1273" t="s">
        <v>198</v>
      </c>
      <c r="B236" s="502">
        <v>2150</v>
      </c>
      <c r="C236" s="1672"/>
      <c r="D236" s="1572">
        <v>655</v>
      </c>
      <c r="E236" s="1672"/>
      <c r="F236" s="1672"/>
      <c r="G236" s="1672"/>
      <c r="H236" s="1672"/>
      <c r="I236" s="1672"/>
      <c r="J236" s="1672"/>
      <c r="K236" s="1671">
        <f t="shared" si="20"/>
        <v>655</v>
      </c>
      <c r="L236" s="1572"/>
    </row>
    <row r="237" spans="1:12" x14ac:dyDescent="0.2">
      <c r="A237" s="1273" t="s">
        <v>164</v>
      </c>
      <c r="B237" s="502">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10770</v>
      </c>
      <c r="E238" s="1672"/>
      <c r="F238" s="1672"/>
      <c r="G238" s="1672"/>
      <c r="H238" s="1672"/>
      <c r="I238" s="1672"/>
      <c r="J238" s="1672"/>
      <c r="K238" s="1673">
        <f>SUM(K232:K237)</f>
        <v>10770</v>
      </c>
      <c r="L238" s="1673">
        <f>SUM(L232:L237)</f>
        <v>11609</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c r="E240" s="1672"/>
      <c r="F240" s="1672"/>
      <c r="G240" s="1672"/>
      <c r="H240" s="1672"/>
      <c r="I240" s="1672"/>
      <c r="J240" s="1672"/>
      <c r="K240" s="1677">
        <f>D240</f>
        <v>0</v>
      </c>
      <c r="L240" s="1585"/>
    </row>
    <row r="241" spans="1:12" x14ac:dyDescent="0.2">
      <c r="A241" s="1273" t="s">
        <v>810</v>
      </c>
      <c r="B241" s="502">
        <v>2220</v>
      </c>
      <c r="C241" s="1672"/>
      <c r="D241" s="1572">
        <v>13700</v>
      </c>
      <c r="E241" s="1672"/>
      <c r="F241" s="1672"/>
      <c r="G241" s="1672"/>
      <c r="H241" s="1672"/>
      <c r="I241" s="1672"/>
      <c r="J241" s="1672"/>
      <c r="K241" s="1677">
        <f>D241</f>
        <v>13700</v>
      </c>
      <c r="L241" s="1572">
        <v>16275</v>
      </c>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13700</v>
      </c>
      <c r="E243" s="1672"/>
      <c r="F243" s="1672"/>
      <c r="G243" s="1672"/>
      <c r="H243" s="1672"/>
      <c r="I243" s="1672"/>
      <c r="J243" s="1672"/>
      <c r="K243" s="1673">
        <f>SUM(K240:K242)</f>
        <v>13700</v>
      </c>
      <c r="L243" s="1673">
        <f>SUM(L240:L242)</f>
        <v>16275</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v>280</v>
      </c>
      <c r="E245" s="1672"/>
      <c r="F245" s="1672"/>
      <c r="G245" s="1672"/>
      <c r="H245" s="1672"/>
      <c r="I245" s="1672"/>
      <c r="J245" s="1672"/>
      <c r="K245" s="1677">
        <f>D245</f>
        <v>280</v>
      </c>
      <c r="L245" s="1585"/>
    </row>
    <row r="246" spans="1:12" x14ac:dyDescent="0.2">
      <c r="A246" s="1273" t="s">
        <v>813</v>
      </c>
      <c r="B246" s="502">
        <v>2320</v>
      </c>
      <c r="C246" s="1672"/>
      <c r="D246" s="1572">
        <v>2077</v>
      </c>
      <c r="E246" s="1672"/>
      <c r="F246" s="1672"/>
      <c r="G246" s="1672"/>
      <c r="H246" s="1672"/>
      <c r="I246" s="1672"/>
      <c r="J246" s="1672"/>
      <c r="K246" s="1677">
        <f t="shared" ref="K246:K256" si="21">D246</f>
        <v>2077</v>
      </c>
      <c r="L246" s="1572">
        <v>2804</v>
      </c>
    </row>
    <row r="247" spans="1:12" x14ac:dyDescent="0.2">
      <c r="A247" s="1273" t="s">
        <v>814</v>
      </c>
      <c r="B247" s="502">
        <v>2330</v>
      </c>
      <c r="C247" s="1672"/>
      <c r="D247" s="1572">
        <v>2121</v>
      </c>
      <c r="E247" s="1672"/>
      <c r="F247" s="1672"/>
      <c r="G247" s="1672"/>
      <c r="H247" s="1672"/>
      <c r="I247" s="1672"/>
      <c r="J247" s="1672"/>
      <c r="K247" s="1677">
        <f t="shared" si="21"/>
        <v>2121</v>
      </c>
      <c r="L247" s="1572">
        <v>1420</v>
      </c>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4478</v>
      </c>
      <c r="E257" s="1672"/>
      <c r="F257" s="1672"/>
      <c r="G257" s="1672"/>
      <c r="H257" s="1672"/>
      <c r="I257" s="1672"/>
      <c r="J257" s="1672"/>
      <c r="K257" s="1673">
        <f>SUM(K245:K256)</f>
        <v>4478</v>
      </c>
      <c r="L257" s="1673">
        <f>SUM(L245:L256)</f>
        <v>4224</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22799</v>
      </c>
      <c r="E259" s="1672"/>
      <c r="F259" s="1672"/>
      <c r="G259" s="1672"/>
      <c r="H259" s="1672"/>
      <c r="I259" s="1672"/>
      <c r="J259" s="1672"/>
      <c r="K259" s="1677">
        <f>D259</f>
        <v>22799</v>
      </c>
      <c r="L259" s="1585">
        <v>27153</v>
      </c>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22799</v>
      </c>
      <c r="E261" s="1672"/>
      <c r="F261" s="1672"/>
      <c r="G261" s="1672"/>
      <c r="H261" s="1672"/>
      <c r="I261" s="1672"/>
      <c r="J261" s="1672"/>
      <c r="K261" s="1673">
        <f>SUM(K259:K260)</f>
        <v>22799</v>
      </c>
      <c r="L261" s="1673">
        <f>SUM(L259:L260)</f>
        <v>27153</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c r="E264" s="1672"/>
      <c r="F264" s="1672"/>
      <c r="G264" s="1672"/>
      <c r="H264" s="1672"/>
      <c r="I264" s="1672"/>
      <c r="J264" s="1672"/>
      <c r="K264" s="1677">
        <f t="shared" ref="K264:K269" si="22">D264</f>
        <v>0</v>
      </c>
      <c r="L264" s="1572"/>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47786</v>
      </c>
      <c r="E266" s="1672"/>
      <c r="F266" s="1672"/>
      <c r="G266" s="1672"/>
      <c r="H266" s="1672"/>
      <c r="I266" s="1672"/>
      <c r="J266" s="1672"/>
      <c r="K266" s="1677">
        <f t="shared" si="22"/>
        <v>47786</v>
      </c>
      <c r="L266" s="1572">
        <v>58748</v>
      </c>
    </row>
    <row r="267" spans="1:14" x14ac:dyDescent="0.2">
      <c r="A267" s="1273" t="s">
        <v>947</v>
      </c>
      <c r="B267" s="502">
        <v>2550</v>
      </c>
      <c r="C267" s="1672"/>
      <c r="D267" s="1572">
        <v>2989</v>
      </c>
      <c r="E267" s="1672"/>
      <c r="F267" s="1672"/>
      <c r="G267" s="1672"/>
      <c r="H267" s="1672"/>
      <c r="I267" s="1672"/>
      <c r="J267" s="1672"/>
      <c r="K267" s="1677">
        <f t="shared" si="22"/>
        <v>2989</v>
      </c>
      <c r="L267" s="1572">
        <v>3615</v>
      </c>
    </row>
    <row r="268" spans="1:14" x14ac:dyDescent="0.2">
      <c r="A268" s="1273" t="s">
        <v>100</v>
      </c>
      <c r="B268" s="502">
        <v>2560</v>
      </c>
      <c r="C268" s="1672"/>
      <c r="D268" s="1572">
        <v>1784</v>
      </c>
      <c r="E268" s="1672"/>
      <c r="F268" s="1672"/>
      <c r="G268" s="1672"/>
      <c r="H268" s="1672"/>
      <c r="I268" s="1672"/>
      <c r="J268" s="1672"/>
      <c r="K268" s="1677">
        <f t="shared" si="22"/>
        <v>1784</v>
      </c>
      <c r="L268" s="1572">
        <v>1733</v>
      </c>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52559</v>
      </c>
      <c r="E270" s="1672"/>
      <c r="F270" s="1672"/>
      <c r="G270" s="1672"/>
      <c r="H270" s="1672"/>
      <c r="I270" s="1672"/>
      <c r="J270" s="1672"/>
      <c r="K270" s="1673">
        <f>SUM(K263:K269)</f>
        <v>52559</v>
      </c>
      <c r="L270" s="1673">
        <f>SUM(L263:L269)</f>
        <v>64096</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104306</v>
      </c>
      <c r="E279" s="1672"/>
      <c r="F279" s="1672"/>
      <c r="G279" s="1672"/>
      <c r="H279" s="1672"/>
      <c r="I279" s="1672"/>
      <c r="J279" s="1672"/>
      <c r="K279" s="1680">
        <f>SUM(K238,K243,K257,K261,K270,K277,K278)</f>
        <v>104306</v>
      </c>
      <c r="L279" s="1680">
        <f>SUM(L238,L243,L257,L261,L270,L277,L278)</f>
        <v>123357</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150876</v>
      </c>
      <c r="E295" s="1672"/>
      <c r="F295" s="1672"/>
      <c r="G295" s="1672"/>
      <c r="H295" s="1673">
        <f>H293</f>
        <v>0</v>
      </c>
      <c r="I295" s="1672"/>
      <c r="J295" s="1672"/>
      <c r="K295" s="1673">
        <f>SUM(K229,K279,K280,K285,K293,K294)</f>
        <v>150876</v>
      </c>
      <c r="L295" s="1673">
        <f>SUM(L229,L279,L280,L285,L293,L294)</f>
        <v>185256</v>
      </c>
    </row>
    <row r="296" spans="1:14" ht="13.5" thickTop="1" x14ac:dyDescent="0.2">
      <c r="A296" s="2285" t="s">
        <v>989</v>
      </c>
      <c r="B296" s="2286"/>
      <c r="C296" s="1672"/>
      <c r="D296" s="1674"/>
      <c r="E296" s="1672"/>
      <c r="F296" s="1672"/>
      <c r="G296" s="1672"/>
      <c r="H296" s="1706"/>
      <c r="I296" s="1672"/>
      <c r="J296" s="1672"/>
      <c r="K296" s="1688">
        <f>'Revenues 9-14'!G268-'Expenditures 15-22'!K295</f>
        <v>16991</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c r="F301" s="1572"/>
      <c r="G301" s="1572"/>
      <c r="H301" s="1572"/>
      <c r="I301" s="1573"/>
      <c r="J301" s="1573"/>
      <c r="K301" s="1671">
        <f>SUM(C301:J301)</f>
        <v>0</v>
      </c>
      <c r="L301" s="1573"/>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3" t="s">
        <v>275</v>
      </c>
      <c r="B312" s="227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x14ac:dyDescent="0.2">
      <c r="A313" s="2269" t="s">
        <v>989</v>
      </c>
      <c r="B313" s="2270"/>
      <c r="C313" s="1676"/>
      <c r="D313" s="1676"/>
      <c r="E313" s="1676"/>
      <c r="F313" s="1676"/>
      <c r="G313" s="1676"/>
      <c r="H313" s="1676"/>
      <c r="I313" s="1676"/>
      <c r="J313" s="1676"/>
      <c r="K313" s="1695">
        <f>'Revenues 9-14'!H268-'Expenditures 15-22'!K312</f>
        <v>0</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2" t="s">
        <v>148</v>
      </c>
      <c r="B315" s="2283"/>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4" t="s">
        <v>892</v>
      </c>
      <c r="B317" s="2283"/>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c r="F322" s="1573"/>
      <c r="G322" s="1573"/>
      <c r="H322" s="1573"/>
      <c r="I322" s="1573"/>
      <c r="J322" s="1573"/>
      <c r="K322" s="1671">
        <f t="shared" si="24"/>
        <v>0</v>
      </c>
      <c r="L322" s="1573"/>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v>53651</v>
      </c>
      <c r="F328" s="1578"/>
      <c r="G328" s="1578"/>
      <c r="H328" s="1578"/>
      <c r="I328" s="1578"/>
      <c r="J328" s="1578"/>
      <c r="K328" s="1712">
        <f>SUM(C328:J328)</f>
        <v>53651</v>
      </c>
      <c r="L328" s="1578">
        <v>67000</v>
      </c>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53651</v>
      </c>
      <c r="F330" s="1673">
        <f t="shared" si="25"/>
        <v>0</v>
      </c>
      <c r="G330" s="1673">
        <f t="shared" si="25"/>
        <v>0</v>
      </c>
      <c r="H330" s="1673">
        <f t="shared" si="25"/>
        <v>0</v>
      </c>
      <c r="I330" s="1673">
        <f t="shared" si="25"/>
        <v>0</v>
      </c>
      <c r="J330" s="1673">
        <f t="shared" si="25"/>
        <v>0</v>
      </c>
      <c r="K330" s="1673">
        <f>SUM(K319:K329)</f>
        <v>53651</v>
      </c>
      <c r="L330" s="1673">
        <f>SUM(L319:L329)</f>
        <v>67000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53651</v>
      </c>
      <c r="F342" s="1673">
        <f>SUM(F330)</f>
        <v>0</v>
      </c>
      <c r="G342" s="1673">
        <f>SUM(G330)</f>
        <v>0</v>
      </c>
      <c r="H342" s="1673">
        <f>SUM(H330,H334,H340)</f>
        <v>0</v>
      </c>
      <c r="I342" s="1673">
        <f>SUM(I330)</f>
        <v>0</v>
      </c>
      <c r="J342" s="1673">
        <f>SUM(J330)</f>
        <v>0</v>
      </c>
      <c r="K342" s="1673">
        <f>SUM(K330,K334,K340)</f>
        <v>53651</v>
      </c>
      <c r="L342" s="1680">
        <f>SUM(L330,L334,L340,L341)</f>
        <v>67000</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14576</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1" t="s">
        <v>960</v>
      </c>
      <c r="B345" s="2262"/>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v>8748</v>
      </c>
      <c r="H348" s="1572"/>
      <c r="I348" s="1573"/>
      <c r="J348" s="1573"/>
      <c r="K348" s="1671">
        <f>SUM(C348:J348)</f>
        <v>8748</v>
      </c>
      <c r="L348" s="1572">
        <v>35000</v>
      </c>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8748</v>
      </c>
      <c r="H350" s="1673">
        <f t="shared" si="26"/>
        <v>0</v>
      </c>
      <c r="I350" s="1673">
        <f t="shared" si="26"/>
        <v>0</v>
      </c>
      <c r="J350" s="1673">
        <f t="shared" si="26"/>
        <v>0</v>
      </c>
      <c r="K350" s="1673">
        <f t="shared" si="26"/>
        <v>8748</v>
      </c>
      <c r="L350" s="1673">
        <f t="shared" si="26"/>
        <v>35000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8748</v>
      </c>
      <c r="H352" s="1673">
        <f t="shared" si="27"/>
        <v>0</v>
      </c>
      <c r="I352" s="1673">
        <f t="shared" si="27"/>
        <v>0</v>
      </c>
      <c r="J352" s="1673">
        <f t="shared" si="27"/>
        <v>0</v>
      </c>
      <c r="K352" s="1673">
        <f t="shared" si="27"/>
        <v>8748</v>
      </c>
      <c r="L352" s="1673">
        <f t="shared" si="27"/>
        <v>35000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8748</v>
      </c>
      <c r="H367" s="1673">
        <f t="shared" si="28"/>
        <v>0</v>
      </c>
      <c r="I367" s="1673">
        <f t="shared" si="28"/>
        <v>0</v>
      </c>
      <c r="J367" s="1673">
        <f t="shared" si="28"/>
        <v>0</v>
      </c>
      <c r="K367" s="1673">
        <f t="shared" si="28"/>
        <v>8748</v>
      </c>
      <c r="L367" s="1673">
        <f t="shared" si="28"/>
        <v>35000</v>
      </c>
    </row>
    <row r="368" spans="1:14" ht="13.5" thickTop="1" x14ac:dyDescent="0.2">
      <c r="A368" s="2285" t="s">
        <v>989</v>
      </c>
      <c r="B368" s="2286"/>
      <c r="C368" s="1693"/>
      <c r="D368" s="1693"/>
      <c r="E368" s="1676"/>
      <c r="F368" s="1676"/>
      <c r="G368" s="1676"/>
      <c r="H368" s="1676"/>
      <c r="I368" s="1676"/>
      <c r="J368" s="1675"/>
      <c r="K368" s="1671">
        <f>'Revenues 9-14'!K268-'Expenditures 15-22'!K367</f>
        <v>-7773</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www.w3.org/XML/1998/namespace"/>
    <ds:schemaRef ds:uri="4d435f69-8686-490b-bd6d-b153bf22ab50"/>
    <ds:schemaRef ds:uri="6ce3111e-7420-4802-b50a-75d4e9a0b980"/>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2020-10-09T02:25:31Z</cp:lastPrinted>
  <dcterms:created xsi:type="dcterms:W3CDTF">2003-10-29T19:06:34Z</dcterms:created>
  <dcterms:modified xsi:type="dcterms:W3CDTF">2020-10-15T18:57:39Z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