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FC5B8A4-72DC-4989-88B5-FBF6F40F3C07}"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SEFA NOTES" sheetId="173" r:id="rId31"/>
    <sheet name="SF&amp;QC Sec-1" sheetId="174" r:id="rId32"/>
    <sheet name="SF&amp;QC Sec-2" sheetId="175" r:id="rId33"/>
    <sheet name="SF&amp;QC Sec-3" sheetId="176" r:id="rId34"/>
    <sheet name="SF&amp;QC Sec-3 (2)" sheetId="185" r:id="rId35"/>
    <sheet name="SSPAF" sheetId="177" r:id="rId36"/>
  </sheets>
  <definedNames>
    <definedName name="_xlnm._FilterDatabase" localSheetId="23" hidden="1">'AFR20'!$A$1:$F$7884</definedName>
    <definedName name="_xlnm.Print_Area" localSheetId="27">' SEFA'!$B$1:$M$50</definedName>
    <definedName name="_xlnm.Print_Area" localSheetId="28">' SEFA (2)'!$B$1:$M$51</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2" i="187" l="1"/>
  <c r="L25" i="179" l="1"/>
  <c r="L28" i="179"/>
  <c r="L27" i="179"/>
  <c r="L26" i="179"/>
  <c r="L24" i="179"/>
  <c r="L23" i="179"/>
  <c r="L22" i="179"/>
  <c r="L21" i="179"/>
  <c r="L30" i="186" l="1"/>
  <c r="L31" i="186" s="1"/>
  <c r="L29" i="186"/>
  <c r="L28" i="186"/>
  <c r="L19" i="186"/>
  <c r="L24" i="186"/>
  <c r="G27" i="187"/>
  <c r="K22" i="187"/>
  <c r="J22" i="187"/>
  <c r="I22" i="187"/>
  <c r="G22" i="187"/>
  <c r="F22" i="187"/>
  <c r="E22" i="187"/>
  <c r="K31" i="186"/>
  <c r="J31" i="186"/>
  <c r="I31" i="186"/>
  <c r="H31" i="186"/>
  <c r="G31" i="186"/>
  <c r="F31" i="186"/>
  <c r="E31" i="186"/>
  <c r="K24" i="186"/>
  <c r="J24" i="186"/>
  <c r="I24" i="186"/>
  <c r="H24" i="186"/>
  <c r="G24" i="186"/>
  <c r="F24" i="186"/>
  <c r="E24" i="186"/>
  <c r="L20" i="186"/>
  <c r="L18" i="186"/>
  <c r="L17" i="186"/>
  <c r="G30" i="179"/>
  <c r="K28" i="179"/>
  <c r="J28" i="179"/>
  <c r="I28" i="179"/>
  <c r="I30" i="179" s="1"/>
  <c r="H28" i="179"/>
  <c r="G28" i="179"/>
  <c r="F28" i="179"/>
  <c r="E28" i="179"/>
  <c r="E30" i="179" s="1"/>
  <c r="E27" i="187" s="1"/>
  <c r="K18" i="179"/>
  <c r="K30" i="179" s="1"/>
  <c r="K27" i="187" s="1"/>
  <c r="J18" i="179"/>
  <c r="J30" i="179" s="1"/>
  <c r="J27" i="187" s="1"/>
  <c r="I18" i="179"/>
  <c r="H18" i="179"/>
  <c r="H30" i="179" s="1"/>
  <c r="G18" i="179"/>
  <c r="F18" i="179"/>
  <c r="E18" i="179"/>
  <c r="L26" i="187"/>
  <c r="L25" i="187"/>
  <c r="L24" i="187"/>
  <c r="L23" i="187"/>
  <c r="L21" i="187"/>
  <c r="L20" i="187"/>
  <c r="L19" i="187"/>
  <c r="L18" i="187"/>
  <c r="L17" i="187"/>
  <c r="L16" i="187"/>
  <c r="L15" i="187"/>
  <c r="L14" i="187"/>
  <c r="L13" i="187"/>
  <c r="L12" i="187"/>
  <c r="L11" i="187"/>
  <c r="I9" i="187"/>
  <c r="G9" i="187"/>
  <c r="F9" i="187"/>
  <c r="E9" i="187"/>
  <c r="J8" i="187"/>
  <c r="H8" i="187"/>
  <c r="B4" i="187"/>
  <c r="L32" i="186"/>
  <c r="L27" i="186"/>
  <c r="L26" i="186"/>
  <c r="L25" i="186"/>
  <c r="L23" i="186"/>
  <c r="L22" i="186"/>
  <c r="L21" i="186"/>
  <c r="L16" i="186"/>
  <c r="L15" i="186"/>
  <c r="L14" i="186"/>
  <c r="L13" i="186"/>
  <c r="L12" i="186"/>
  <c r="L11" i="186"/>
  <c r="I9" i="186"/>
  <c r="G9" i="186"/>
  <c r="F9" i="186"/>
  <c r="E9" i="186"/>
  <c r="J8" i="186"/>
  <c r="H8" i="186"/>
  <c r="B4" i="186"/>
  <c r="F30" i="179" l="1"/>
  <c r="F27" i="187" s="1"/>
  <c r="L22" i="187"/>
  <c r="I27" i="187"/>
  <c r="C8" i="185" l="1"/>
  <c r="B4" i="185"/>
  <c r="J41" i="8" l="1"/>
  <c r="H171" i="29"/>
  <c r="G47" i="8" l="1"/>
  <c r="L70" i="29" l="1"/>
  <c r="L59" i="29"/>
  <c r="E26" i="183" l="1"/>
  <c r="C107" i="5" l="1"/>
  <c r="E182" i="29" l="1"/>
  <c r="D75" i="29"/>
  <c r="F10" i="37"/>
  <c r="L10" i="3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26"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F27" i="183" s="1"/>
  <c r="E25" i="183"/>
  <c r="F25" i="183" s="1"/>
  <c r="E24" i="183"/>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31" i="179" l="1"/>
  <c r="L20" i="179"/>
  <c r="L19" i="179"/>
  <c r="L17" i="179"/>
  <c r="L16" i="179"/>
  <c r="L15" i="179"/>
  <c r="L14" i="179"/>
  <c r="L13" i="179"/>
  <c r="L12" i="179"/>
  <c r="L11" i="179"/>
  <c r="L18"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5"/>
  <c r="B2" i="179"/>
  <c r="B2" i="187"/>
  <c r="B2" i="186"/>
  <c r="B2" i="185"/>
  <c r="L30" i="179"/>
  <c r="L27" i="187" s="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G39" i="108" l="1"/>
  <c r="B7189" i="106"/>
  <c r="D7189" i="106" s="1"/>
  <c r="E64" i="184"/>
  <c r="N64" i="184" s="1"/>
  <c r="C352" i="29"/>
  <c r="H76" i="4"/>
  <c r="B3298" i="106" s="1"/>
  <c r="D3298" i="106" s="1"/>
  <c r="D31" i="108"/>
  <c r="E16" i="184"/>
  <c r="H16" i="184" s="1"/>
  <c r="F71" i="34"/>
  <c r="D69" i="36"/>
  <c r="B7153" i="106"/>
  <c r="D7153" i="106" s="1"/>
  <c r="E60" i="184"/>
  <c r="N60" i="184" s="1"/>
  <c r="F68" i="34"/>
  <c r="D36" i="108"/>
  <c r="C342" i="29"/>
  <c r="B7216" i="106" s="1"/>
  <c r="D7216" i="106" s="1"/>
  <c r="B7705" i="106"/>
  <c r="D7705" i="106" s="1"/>
  <c r="E67" i="184"/>
  <c r="N67" i="184" s="1"/>
  <c r="J210" i="29"/>
  <c r="B7072" i="106" s="1"/>
  <c r="D7072" i="106" s="1"/>
  <c r="F77" i="4"/>
  <c r="B3255" i="106" s="1"/>
  <c r="D3255" i="106" s="1"/>
  <c r="B2836" i="106"/>
  <c r="D2836" i="106" s="1"/>
  <c r="G33" i="108"/>
  <c r="E17" i="184"/>
  <c r="H17" i="184" s="1"/>
  <c r="B7198" i="106"/>
  <c r="D7198" i="106" s="1"/>
  <c r="E65" i="184"/>
  <c r="N65" i="184" s="1"/>
  <c r="B7162" i="106"/>
  <c r="D7162" i="106" s="1"/>
  <c r="E61" i="184"/>
  <c r="N61" i="184" s="1"/>
  <c r="H33" i="118"/>
  <c r="B7696" i="106"/>
  <c r="D7696" i="106" s="1"/>
  <c r="E66" i="184"/>
  <c r="N66" i="184" s="1"/>
  <c r="B7171" i="106"/>
  <c r="D7171" i="106" s="1"/>
  <c r="E62" i="184"/>
  <c r="N62" i="184" s="1"/>
  <c r="B7135" i="106"/>
  <c r="D7135" i="106" s="1"/>
  <c r="E58" i="184"/>
  <c r="N58" i="184" s="1"/>
  <c r="I210" i="29"/>
  <c r="B7071" i="106" s="1"/>
  <c r="D7071" i="106" s="1"/>
  <c r="D68" i="36"/>
  <c r="B7180" i="106"/>
  <c r="D7180" i="106" s="1"/>
  <c r="E63" i="184"/>
  <c r="N63" i="184" s="1"/>
  <c r="B7126" i="106"/>
  <c r="D7126" i="106" s="1"/>
  <c r="E57" i="184"/>
  <c r="G14" i="4"/>
  <c r="B2609" i="106" s="1"/>
  <c r="D2609" i="106" s="1"/>
  <c r="F72" i="34"/>
  <c r="G30" i="108"/>
  <c r="H12" i="184"/>
  <c r="H19" i="184" s="1"/>
  <c r="L20" i="184" s="1"/>
  <c r="E19"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B6216" i="106"/>
  <c r="D6216" i="106" s="1"/>
  <c r="L16" i="11"/>
  <c r="B2061" i="106" s="1"/>
  <c r="D2061" i="106" s="1"/>
  <c r="N23" i="3"/>
  <c r="B284" i="106" s="1"/>
  <c r="D284" i="106" s="1"/>
  <c r="B2031" i="106"/>
  <c r="D2031" i="106" s="1"/>
  <c r="L114" i="29"/>
  <c r="K342" i="29"/>
  <c r="F13" i="34" s="1"/>
  <c r="N57" i="184"/>
  <c r="N68" i="184" s="1"/>
  <c r="E68" i="184"/>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H27" i="1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<sst xmlns="http://schemas.openxmlformats.org/spreadsheetml/2006/main" count="5505" uniqueCount="2198">
  <si>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</si>
  <si>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</si>
  <si>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</si>
  <si>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</si>
  <si>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</si>
  <si>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</si>
  <si>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</si>
  <si>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</si>
  <si>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</si>
  <si>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</si>
  <si>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</si>
  <si>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</si>
  <si>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</si>
  <si>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</si>
  <si>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</si>
  <si>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</si>
  <si>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</si>
  <si>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</si>
  <si>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</si>
  <si>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</si>
  <si>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</si>
  <si>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</si>
  <si>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</si>
  <si>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</si>
  <si>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</si>
  <si>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</si>
  <si>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</si>
  <si>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</si>
  <si>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</si>
  <si>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</si>
  <si>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</si>
  <si>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</si>
  <si>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</si>
  <si>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</si>
  <si>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</si>
  <si>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</si>
  <si>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</si>
  <si>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</si>
  <si>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</si>
  <si>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</si>
  <si>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</si>
  <si>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</si>
  <si>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</si>
  <si>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</si>
  <si>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</si>
  <si>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</si>
  <si>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</si>
  <si>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</si>
  <si>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</si>
  <si>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</si>
  <si>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</si>
  <si>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</si>
  <si>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</si>
  <si>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</si>
  <si>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</si>
  <si>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</si>
  <si>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</si>
  <si>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</si>
  <si>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</si>
  <si>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</si>
  <si>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</si>
  <si>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</si>
  <si>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</si>
  <si>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</si>
  <si>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</si>
  <si>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</si>
  <si>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</si>
  <si>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</si>
  <si>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</si>
  <si>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</si>
  <si>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</si>
  <si>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</si>
  <si>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</si>
  <si>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</si>
  <si>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</si>
  <si>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</si>
  <si>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</si>
  <si>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</si>
  <si>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</si>
  <si>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</si>
  <si>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</si>
  <si>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</si>
  <si>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</si>
  <si>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</si>
  <si>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</si>
  <si>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</si>
  <si>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</si>
  <si>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</si>
  <si>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</si>
  <si>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</si>
  <si>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</si>
  <si>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</si>
  <si>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</si>
  <si>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</si>
  <si>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</si>
  <si>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</si>
  <si>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</si>
  <si>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</si>
  <si>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</si>
  <si>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</si>
  <si>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</si>
  <si>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</si>
  <si>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</si>
  <si>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</si>
  <si>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</si>
  <si>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</si>
  <si>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</si>
  <si>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</si>
  <si>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</si>
  <si>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</si>
  <si>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</si>
  <si>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</si>
  <si>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</si>
  <si>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</si>
  <si>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</si>
  <si>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</si>
  <si>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</si>
  <si>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</si>
  <si>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</si>
  <si>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</si>
  <si>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</si>
  <si>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</si>
  <si>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</si>
  <si>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</si>
  <si>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</si>
  <si>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</si>
  <si>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</si>
  <si>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</si>
  <si>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</si>
  <si>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</si>
  <si>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</si>
  <si>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</si>
  <si>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</si>
  <si>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</si>
  <si>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</si>
  <si>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</si>
  <si>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</si>
  <si>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</si>
  <si>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</si>
  <si>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</si>
  <si>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</si>
  <si>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</si>
  <si>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</si>
  <si>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</si>
  <si>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</si>
  <si>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</si>
  <si>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</si>
  <si>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</si>
  <si>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</si>
  <si>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</si>
  <si>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</si>
  <si>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</si>
  <si>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</si>
  <si>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</si>
  <si>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</si>
  <si>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</si>
  <si>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</si>
  <si>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</si>
  <si>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</si>
  <si>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</si>
  <si>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</si>
  <si>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</si>
  <si>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</si>
  <si>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</si>
  <si>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</si>
  <si>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</si>
  <si>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</si>
  <si>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</si>
  <si>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</si>
  <si>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</si>
  <si>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</si>
  <si>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</si>
  <si>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</si>
  <si>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</si>
  <si>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</si>
  <si>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</si>
  <si>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</si>
  <si>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</si>
  <si>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</si>
  <si>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</si>
  <si>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</si>
  <si>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</si>
  <si>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</si>
  <si>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</si>
  <si>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</si>
  <si>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</si>
  <si>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</si>
  <si>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</si>
  <si>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</si>
  <si>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</si>
  <si>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</si>
  <si>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</si>
  <si>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</si>
  <si>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</si>
  <si>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</si>
  <si>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</si>
  <si>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</si>
  <si>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</si>
  <si>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</si>
  <si>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</si>
  <si>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</si>
  <si>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</si>
  <si>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</si>
  <si>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</si>
  <si>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</si>
  <si>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</si>
  <si>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</si>
  <si>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</si>
  <si>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</si>
  <si>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</si>
  <si>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</si>
  <si>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</si>
  <si>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</si>
  <si>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</si>
  <si>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</si>
  <si>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</si>
  <si>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</si>
  <si>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</si>
  <si>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</si>
  <si>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</si>
  <si>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</si>
  <si>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</si>
  <si>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</si>
  <si>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</si>
  <si>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</si>
  <si>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</si>
  <si>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</si>
  <si>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</si>
  <si>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</si>
  <si>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</si>
  <si>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</si>
  <si>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</si>
  <si>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</si>
  <si>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</si>
  <si>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</si>
  <si>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</si>
  <si>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</si>
  <si>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</si>
  <si>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</si>
  <si>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</si>
  <si>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</si>
  <si>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</si>
  <si>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</si>
  <si>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</si>
  <si>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</si>
  <si>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</si>
  <si>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</si>
  <si>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</si>
  <si>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</si>
  <si>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</si>
  <si>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</si>
  <si>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</si>
  <si>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</si>
  <si>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</si>
  <si>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</si>
  <si>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</si>
  <si>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</si>
  <si>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</si>
  <si>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</si>
  <si>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</si>
  <si>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</si>
  <si>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</si>
  <si>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</si>
  <si>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</si>
  <si>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</si>
  <si>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</si>
  <si>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</si>
  <si>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</si>
  <si>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</si>
  <si>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</si>
  <si>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</si>
  <si>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</si>
  <si>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</si>
  <si>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</si>
  <si>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</si>
  <si>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</si>
  <si>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</si>
  <si>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</si>
  <si>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</si>
  <si>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</si>
  <si>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</si>
  <si>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</si>
  <si>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</si>
  <si>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</si>
  <si>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</si>
  <si>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</si>
  <si>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</si>
  <si>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</si>
  <si>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</si>
  <si>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</si>
  <si>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</si>
  <si>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</si>
  <si>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</si>
  <si>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</si>
  <si>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</si>
  <si>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</si>
  <si>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</si>
  <si>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</si>
  <si>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</si>
  <si>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</si>
  <si>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</si>
  <si>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</si>
  <si>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</si>
  <si>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</si>
  <si>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</si>
  <si>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</si>
  <si>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</si>
  <si>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</si>
  <si>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</si>
  <si>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</si>
  <si>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</si>
  <si>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</si>
  <si>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</si>
  <si>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</si>
  <si>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</si>
  <si>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</si>
  <si>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</si>
  <si>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</si>
  <si>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</si>
  <si>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</si>
  <si>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</si>
  <si>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</si>
  <si>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</si>
  <si>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</si>
  <si>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</si>
  <si>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</si>
  <si>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</si>
  <si>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</si>
  <si>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</si>
  <si>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</si>
  <si>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</si>
  <si>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</si>
  <si>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</si>
  <si>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</si>
  <si>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</si>
  <si>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</si>
  <si>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</si>
  <si>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</si>
  <si>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</si>
  <si>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</si>
  <si>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</si>
  <si>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</si>
  <si>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</si>
  <si>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</si>
  <si>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</si>
  <si>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</si>
  <si>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</si>
  <si>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</si>
  <si>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</si>
  <si>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</si>
  <si>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</si>
  <si>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</si>
  <si>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</si>
  <si>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</si>
  <si>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</si>
  <si>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</si>
  <si>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</si>
  <si>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</si>
  <si>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</si>
  <si>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</si>
  <si>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</si>
  <si>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</si>
  <si>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</si>
  <si>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</si>
  <si>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</si>
  <si>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</si>
  <si>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</si>
  <si>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</si>
  <si>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</si>
  <si>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</si>
  <si>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</si>
  <si>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</si>
  <si>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</si>
  <si>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</si>
  <si>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</si>
  <si>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</si>
  <si>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</si>
  <si>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</si>
  <si>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</si>
  <si>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</si>
  <si>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</si>
  <si>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</si>
  <si>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</si>
  <si>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</si>
  <si>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</si>
  <si>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</si>
  <si>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</si>
  <si>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</si>
  <si>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</si>
  <si>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</si>
  <si>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</si>
  <si>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</si>
  <si>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</si>
  <si>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</si>
  <si>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</si>
  <si>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</si>
  <si>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</si>
  <si>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</si>
  <si>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</si>
  <si>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</si>
  <si>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</si>
  <si>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</si>
  <si>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</si>
  <si>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</si>
  <si>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</si>
  <si>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</si>
  <si>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</si>
  <si>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</si>
  <si>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</si>
  <si>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</si>
  <si>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</si>
  <si>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</si>
  <si>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</si>
  <si>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</si>
  <si>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</si>
  <si>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</si>
  <si>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</si>
  <si>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</si>
  <si>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</si>
  <si>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</si>
  <si>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</si>
  <si>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</si>
  <si>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</si>
  <si>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</si>
  <si>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</si>
  <si>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</si>
  <si>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</si>
  <si>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</si>
  <si>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</si>
  <si>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</si>
  <si>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</si>
  <si>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</si>
  <si>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</si>
  <si>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</si>
  <si>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</si>
  <si>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</si>
  <si>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</si>
  <si>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</si>
  <si>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</si>
  <si>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</si>
  <si>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</si>
  <si>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</si>
  <si>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</si>
  <si>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</si>
  <si>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</si>
  <si>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</si>
  <si>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</si>
  <si>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</si>
  <si>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</si>
  <si>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</si>
  <si>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</si>
  <si>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</si>
  <si>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</si>
  <si>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</si>
  <si>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</si>
  <si>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</si>
  <si>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</si>
  <si>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</si>
  <si>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</si>
  <si>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</si>
  <si>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</si>
  <si>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</si>
  <si>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</si>
  <si>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</si>
  <si>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</si>
  <si>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</si>
  <si>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</si>
  <si>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</si>
  <si>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</si>
  <si>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</si>
  <si>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</si>
  <si>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</si>
  <si>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</si>
  <si>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</si>
  <si>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</si>
  <si>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</si>
  <si>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</si>
  <si>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</si>
  <si>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</si>
  <si>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</si>
  <si>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</si>
  <si>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</si>
  <si>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</si>
  <si>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</si>
  <si>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</si>
  <si>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</si>
  <si>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</si>
  <si>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</si>
  <si>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</si>
  <si>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</si>
  <si>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</si>
  <si>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</si>
  <si>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</si>
  <si>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</si>
  <si>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</si>
  <si>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</si>
  <si>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</si>
  <si>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</si>
  <si>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</si>
  <si>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</si>
  <si>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</si>
  <si>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</si>
  <si>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</si>
  <si>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</si>
  <si>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</si>
  <si>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</si>
  <si>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</si>
  <si>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</si>
  <si>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</si>
  <si>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</si>
  <si>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</si>
  <si>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</si>
  <si>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</si>
  <si>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</si>
  <si>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</si>
  <si>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</si>
  <si>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</si>
  <si>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</si>
  <si>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</si>
  <si>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</si>
  <si>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</si>
  <si>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</si>
  <si>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</si>
  <si>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</si>
  <si>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</si>
  <si>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</si>
  <si>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</si>
  <si>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</si>
  <si>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</si>
  <si>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</si>
  <si>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</si>
  <si>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</si>
  <si>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</si>
  <si>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</si>
  <si>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</si>
  <si>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</si>
  <si>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</si>
  <si>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</si>
  <si>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</si>
  <si>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</si>
  <si>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</si>
  <si>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</si>
  <si>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</si>
  <si>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</si>
  <si>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</si>
  <si>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</si>
  <si>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</si>
  <si>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</si>
  <si>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</si>
  <si>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</si>
  <si>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</si>
  <si>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</si>
  <si>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</si>
  <si>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</si>
  <si>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</si>
  <si>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</si>
  <si>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</si>
  <si>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</si>
  <si>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</si>
  <si>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</si>
  <si>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</si>
  <si>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</si>
  <si>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</si>
  <si>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</si>
  <si>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</si>
  <si>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</si>
  <si>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</si>
  <si>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</si>
  <si>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</si>
  <si>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</si>
  <si>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</si>
  <si>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</si>
  <si>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</si>
  <si>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</si>
  <si>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</si>
  <si>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</si>
  <si>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</si>
  <si>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</si>
  <si>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</si>
  <si>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</si>
  <si>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</si>
  <si>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</si>
  <si>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</si>
  <si>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</si>
  <si>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</si>
  <si>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</si>
  <si>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</si>
  <si>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</si>
  <si>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</si>
  <si>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</si>
  <si>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</si>
  <si>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</si>
  <si>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</si>
  <si>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</si>
  <si>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</si>
  <si>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</si>
  <si>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</si>
  <si>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</si>
  <si>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</si>
  <si>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</si>
  <si>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</si>
  <si>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</si>
  <si>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</si>
  <si>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</si>
  <si>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</si>
  <si>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</si>
  <si>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</si>
  <si>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</si>
  <si>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</si>
  <si>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</si>
  <si>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</si>
  <si>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</si>
  <si>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</si>
  <si>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</si>
  <si>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</si>
  <si>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</si>
  <si>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</si>
  <si>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</si>
  <si>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</si>
  <si>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</si>
  <si>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</si>
  <si>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</si>
  <si>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</si>
  <si>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</si>
  <si>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</si>
  <si>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</si>
  <si>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</si>
  <si>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</si>
  <si>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</si>
  <si>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</si>
  <si>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</si>
  <si>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</si>
  <si>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</si>
  <si>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</si>
  <si>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</si>
  <si>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</si>
  <si>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</si>
  <si>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</si>
  <si>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</si>
  <si>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</si>
  <si>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</si>
  <si>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</si>
  <si>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</si>
  <si>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</si>
  <si>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</si>
  <si>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</si>
  <si>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</si>
  <si>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</si>
  <si>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</si>
  <si>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</si>
  <si>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</si>
  <si>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</si>
  <si>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</si>
  <si>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</si>
  <si>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</si>
  <si>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</si>
  <si>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</si>
  <si>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</si>
  <si>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</si>
  <si>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</si>
  <si>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</si>
  <si>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</si>
  <si>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</si>
  <si>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</si>
  <si>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</si>
  <si>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</si>
  <si>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</si>
  <si>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</si>
  <si>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</si>
  <si>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</si>
  <si>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</si>
  <si>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</si>
  <si>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</si>
  <si>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</si>
  <si>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</si>
  <si>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</si>
  <si>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</si>
  <si>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</si>
  <si>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</si>
  <si>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</si>
  <si>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</si>
  <si>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</si>
  <si>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</si>
  <si>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</si>
  <si>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</si>
  <si>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</si>
  <si>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</si>
  <si>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</si>
  <si>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</si>
  <si>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</si>
  <si>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</si>
  <si>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</si>
  <si>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</si>
  <si>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</si>
  <si>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</si>
  <si>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</si>
  <si>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</si>
  <si>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</si>
  <si>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</si>
  <si>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</si>
  <si>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</si>
  <si>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</si>
  <si>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</si>
  <si>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</si>
  <si>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</si>
  <si>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</si>
  <si>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</si>
  <si>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</si>
  <si>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</si>
  <si>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</si>
  <si>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</si>
  <si>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</si>
  <si>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</si>
  <si>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</si>
  <si>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</si>
  <si>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</si>
  <si>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</si>
  <si>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</si>
  <si>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</si>
  <si>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</si>
  <si>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</si>
  <si>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</si>
  <si>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</si>
  <si>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</si>
  <si>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</si>
  <si>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</si>
  <si>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</si>
  <si>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</si>
  <si>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</si>
  <si>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</si>
  <si>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</si>
  <si>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</si>
  <si>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</si>
  <si>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</si>
  <si>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</si>
  <si>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</si>
  <si>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</si>
  <si>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</si>
  <si>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</si>
  <si>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</si>
  <si>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</si>
  <si>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</si>
  <si>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</si>
  <si>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</si>
  <si>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</si>
  <si>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</si>
  <si>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</si>
  <si>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</si>
  <si>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</si>
  <si>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</si>
  <si>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</si>
  <si>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</si>
  <si>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</si>
  <si>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</si>
  <si>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</si>
  <si>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</si>
  <si>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</si>
  <si>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</si>
  <si>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</si>
  <si>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</si>
  <si>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</si>
  <si>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</si>
  <si>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</si>
  <si>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</si>
  <si>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</si>
  <si>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</si>
  <si>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</si>
  <si>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</si>
  <si>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</si>
  <si>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</si>
  <si>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</si>
  <si>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</si>
  <si>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</si>
  <si>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</si>
  <si>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</si>
  <si>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</si>
  <si>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</si>
  <si>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</si>
  <si>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</si>
  <si>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</si>
  <si>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</si>
  <si>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</si>
  <si>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</si>
  <si>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</si>
  <si>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</si>
  <si>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</si>
  <si>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</si>
  <si>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</si>
  <si>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</si>
  <si>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</si>
  <si>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</si>
  <si>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</si>
  <si>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</si>
  <si>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</si>
  <si>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</si>
  <si>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</si>
  <si>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</si>
  <si>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</si>
  <si>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</si>
  <si>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</si>
  <si>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</si>
  <si>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</si>
  <si>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</si>
  <si>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</si>
  <si>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</si>
  <si>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</si>
  <si>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</si>
  <si>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</si>
  <si>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</si>
  <si>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</si>
  <si>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</si>
  <si>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</si>
  <si>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</si>
  <si>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</si>
  <si>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</si>
  <si>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</si>
  <si>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</si>
  <si>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</si>
  <si>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</si>
  <si>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</si>
  <si>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</si>
  <si>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</si>
  <si>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</si>
  <si>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</si>
  <si>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</si>
  <si>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</si>
  <si>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</si>
  <si>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</si>
  <si>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</si>
  <si>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</si>
  <si>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</si>
  <si>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</si>
  <si>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</si>
  <si>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</si>
  <si>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</si>
  <si>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</si>
  <si>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</si>
  <si>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</si>
  <si>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</si>
  <si>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</si>
  <si>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</si>
  <si>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</si>
  <si>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</si>
  <si>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</si>
  <si>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</si>
  <si>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</si>
  <si>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</si>
  <si>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</si>
  <si>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</si>
  <si>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</si>
  <si>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</si>
  <si>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</si>
  <si>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</si>
  <si>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</si>
  <si>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</si>
  <si>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</si>
  <si>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</si>
  <si>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</si>
  <si>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</si>
  <si>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</si>
  <si>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</si>
  <si>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</si>
  <si>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</si>
  <si>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</si>
  <si>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</si>
  <si>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</si>
  <si>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</si>
  <si>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</si>
  <si>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</si>
  <si>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</si>
  <si>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</si>
  <si>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</si>
  <si>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</si>
  <si>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</si>
  <si>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</si>
  <si>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</si>
  <si>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</si>
  <si>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</si>
  <si>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</si>
  <si>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</si>
  <si>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</si>
  <si>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</si>
  <si>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</si>
  <si>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</si>
  <si>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</si>
  <si>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</si>
  <si>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</si>
  <si>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</si>
  <si>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</si>
  <si>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</si>
  <si>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</si>
  <si>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</si>
  <si>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</si>
  <si>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</si>
  <si>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</si>
  <si>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</si>
  <si>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</si>
  <si>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</si>
  <si>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</si>
  <si>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</si>
  <si>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</si>
  <si>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</si>
  <si>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</si>
  <si>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</si>
  <si>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</si>
  <si>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</si>
  <si>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</si>
  <si>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</si>
  <si>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</si>
  <si>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</si>
  <si>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</si>
  <si>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</si>
  <si>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</si>
  <si>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</si>
  <si>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</si>
  <si>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</si>
  <si>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</si>
  <si>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</si>
  <si>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</si>
  <si>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</si>
  <si>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</si>
  <si>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</si>
  <si>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</si>
  <si>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</si>
  <si>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</si>
  <si>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</si>
  <si>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</si>
  <si>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</si>
  <si>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</si>
  <si>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</si>
  <si>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</si>
  <si>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</si>
  <si>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</si>
  <si>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</si>
  <si>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</si>
  <si>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</si>
  <si>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</si>
  <si>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</si>
  <si>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</si>
  <si>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</si>
  <si>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</si>
  <si>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</si>
  <si>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</si>
  <si>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</si>
  <si>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</si>
  <si>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</si>
  <si>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</si>
  <si>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</si>
  <si>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</si>
  <si>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</si>
  <si>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</si>
  <si>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</si>
  <si>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</si>
  <si>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</si>
  <si>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</si>
  <si>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</si>
  <si>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</si>
  <si>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</si>
  <si>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</si>
  <si>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</si>
  <si>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</si>
  <si>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</si>
  <si>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</si>
  <si>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</si>
  <si>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</si>
  <si>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</si>
  <si>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</si>
  <si>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</si>
  <si>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</si>
  <si>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</si>
  <si>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</si>
  <si>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</si>
  <si>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</si>
  <si>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</si>
  <si>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</si>
  <si>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</si>
  <si>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</si>
  <si>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</si>
  <si>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</si>
  <si>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</si>
  <si>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</si>
  <si>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</si>
  <si>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</si>
  <si>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</si>
  <si>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</si>
  <si>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</si>
  <si>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</si>
  <si>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</si>
  <si>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</si>
  <si>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</si>
  <si>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</si>
  <si>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</si>
  <si>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</si>
  <si>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</si>
  <si>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</si>
  <si>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</si>
  <si>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</si>
  <si>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</si>
  <si>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</si>
  <si>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</si>
  <si>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</si>
  <si>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</si>
  <si>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</si>
  <si>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</si>
  <si>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</si>
  <si>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</si>
  <si>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</si>
  <si>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</si>
  <si>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</si>
  <si>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</si>
  <si>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</si>
  <si>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</si>
  <si>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</si>
  <si>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</si>
  <si>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</si>
  <si>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</si>
  <si>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</si>
  <si>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</si>
  <si>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</si>
  <si>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</si>
  <si>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</si>
  <si>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</si>
  <si>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</si>
  <si>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</si>
  <si>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</si>
  <si>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</si>
  <si>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</si>
  <si>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</si>
  <si>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</si>
  <si>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</si>
  <si>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</si>
  <si>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</si>
  <si>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</si>
  <si>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</si>
  <si>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</si>
  <si>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</si>
  <si>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</si>
  <si>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</si>
  <si>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</si>
  <si>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</si>
  <si>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</si>
  <si>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</si>
  <si>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</si>
  <si>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</si>
  <si>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</si>
  <si>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</si>
  <si>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</si>
  <si>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</si>
  <si>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</si>
  <si>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</si>
  <si>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</si>
  <si>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</si>
  <si>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</si>
  <si>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</si>
  <si>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</si>
  <si>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</si>
  <si>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</si>
  <si>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</si>
  <si>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</si>
  <si>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</si>
  <si>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</si>
  <si>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</si>
  <si>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</si>
  <si>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</si>
  <si>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</si>
  <si>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</si>
  <si>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</si>
  <si>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</si>
  <si>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</si>
  <si>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</si>
  <si>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</si>
  <si>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</si>
  <si>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</si>
  <si>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</si>
  <si>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</si>
  <si>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</si>
  <si>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</si>
  <si>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</si>
  <si>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</si>
  <si>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</si>
  <si>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</si>
  <si>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</si>
  <si>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</si>
  <si>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</si>
  <si>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</si>
  <si>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</si>
  <si>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</si>
  <si>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</si>
  <si>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</si>
  <si>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</si>
  <si>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</si>
  <si>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</si>
  <si>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</si>
  <si>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</si>
  <si>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</si>
  <si>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</si>
  <si>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</si>
  <si>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</si>
  <si>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</si>
  <si>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</si>
  <si>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</si>
  <si>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</si>
  <si>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</si>
  <si>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</si>
  <si>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</si>
  <si>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</si>
  <si>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</si>
  <si>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</si>
  <si>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</si>
  <si>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</si>
  <si>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</si>
  <si>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</si>
  <si>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</si>
  <si>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</si>
  <si>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</si>
  <si>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</si>
  <si>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</si>
  <si>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</si>
  <si>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</si>
  <si>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</si>
  <si>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</si>
  <si>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</si>
  <si>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</si>
  <si>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</si>
  <si>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</si>
  <si>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</si>
  <si>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</si>
  <si>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</si>
  <si>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</si>
  <si>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</si>
  <si>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</si>
  <si>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</si>
  <si>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</si>
  <si>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</si>
  <si>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</si>
  <si>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</si>
  <si>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</si>
  <si>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</si>
  <si>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</si>
  <si>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</si>
  <si>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</si>
  <si>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</si>
  <si>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</si>
  <si>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</si>
  <si>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</si>
  <si>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</si>
  <si>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</si>
  <si>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</si>
  <si>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</si>
  <si>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</si>
  <si>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</si>
  <si>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</si>
  <si>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</si>
  <si>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</si>
  <si>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</si>
  <si>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</si>
  <si>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</si>
  <si>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</si>
  <si>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</si>
  <si>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</si>
  <si>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</si>
  <si>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</si>
  <si>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</si>
  <si>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</si>
  <si>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</si>
  <si>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</si>
  <si>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</si>
  <si>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</si>
  <si>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</si>
  <si>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</si>
  <si>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</si>
  <si>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</si>
  <si>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</si>
  <si>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</si>
  <si>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</si>
  <si>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</si>
  <si>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</si>
  <si>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</si>
  <si>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</si>
  <si>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</si>
  <si>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</si>
  <si>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</si>
  <si>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</si>
  <si>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</si>
  <si>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</si>
  <si>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</si>
  <si>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</si>
  <si>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</si>
  <si>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</si>
  <si>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</si>
  <si>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</si>
  <si>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</si>
  <si>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</si>
  <si>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</si>
  <si>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</si>
  <si>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</si>
  <si>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</si>
  <si>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</si>
  <si>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</si>
  <si>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</si>
  <si>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</si>
  <si>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</si>
  <si>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</si>
  <si>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</si>
  <si>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</si>
  <si>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</si>
  <si>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</si>
  <si>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</si>
  <si>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</si>
  <si>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</si>
  <si>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</si>
  <si>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</si>
  <si>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</si>
  <si>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</si>
  <si>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</si>
  <si>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</si>
  <si>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</si>
  <si>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</si>
  <si>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</si>
  <si>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</si>
  <si>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</si>
  <si>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</si>
  <si>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</si>
  <si>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</si>
  <si>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</si>
  <si>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</si>
  <si>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</si>
  <si>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</si>
  <si>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</si>
  <si>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</si>
  <si>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</si>
  <si>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</si>
  <si>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</si>
  <si>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</si>
  <si>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</si>
  <si>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</si>
  <si>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</si>
  <si>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</si>
  <si>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</si>
  <si>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</si>
  <si>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</si>
  <si>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</si>
  <si>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</si>
  <si>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</si>
  <si>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</si>
  <si>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</si>
  <si>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</si>
  <si>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</si>
  <si>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</si>
  <si>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</si>
  <si>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</si>
  <si>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</si>
  <si>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</si>
  <si>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</si>
  <si>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</si>
  <si>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</si>
  <si>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</si>
  <si>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</si>
  <si>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</si>
  <si>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</si>
  <si>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</si>
  <si>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</si>
  <si>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</si>
  <si>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</si>
  <si>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</si>
  <si>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</si>
  <si>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</si>
  <si>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</si>
  <si>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</si>
  <si>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</si>
  <si>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</si>
  <si>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</si>
  <si>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</si>
  <si>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</si>
  <si>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</si>
  <si>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</si>
  <si>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</si>
  <si>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</si>
  <si>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</si>
  <si>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</si>
  <si>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</si>
  <si>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</si>
  <si>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</si>
  <si>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</si>
  <si>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</si>
  <si>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</si>
  <si>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</si>
  <si>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</si>
  <si>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</si>
  <si>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</si>
  <si>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</si>
  <si>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</si>
  <si>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</si>
  <si>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</si>
  <si>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</si>
  <si>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</si>
  <si>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</si>
  <si>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</si>
  <si>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</si>
  <si>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</si>
  <si>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</si>
  <si>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</si>
  <si>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</si>
  <si>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</si>
  <si>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</si>
  <si>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</si>
  <si>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</si>
  <si>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</si>
  <si>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</si>
  <si>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</si>
  <si>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</si>
  <si>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</si>
  <si>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</si>
  <si>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</si>
  <si>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</si>
  <si>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</si>
  <si>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</si>
  <si>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</si>
  <si>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</si>
  <si>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</si>
  <si>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</si>
  <si>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</si>
  <si>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</si>
  <si>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</si>
  <si>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</si>
  <si>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</si>
  <si>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</si>
  <si>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</si>
  <si>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</si>
  <si>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</si>
  <si>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</si>
  <si>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</si>
  <si>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</si>
  <si>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</si>
  <si>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</si>
  <si>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</si>
  <si>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</si>
  <si>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</si>
  <si>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</si>
  <si>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</si>
  <si>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</si>
  <si>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</si>
  <si>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</si>
  <si>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</si>
  <si>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</si>
  <si>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</si>
  <si>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</si>
  <si>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</si>
  <si>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</si>
  <si>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</si>
  <si>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</si>
  <si>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</si>
  <si>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</si>
  <si>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</si>
  <si>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</si>
  <si>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</si>
  <si>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</si>
  <si>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</si>
  <si>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</si>
  <si>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</si>
  <si>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</si>
  <si>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</si>
  <si>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</si>
  <si>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</si>
  <si>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</si>
  <si>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</si>
  <si>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</si>
  <si>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</si>
  <si>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</si>
  <si>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</si>
  <si>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</si>
  <si>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</si>
  <si>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</si>
  <si>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</si>
  <si>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</si>
  <si>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</si>
  <si>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</si>
  <si>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</si>
  <si>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</si>
  <si>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</si>
  <si>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</si>
  <si>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</si>
  <si>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</si>
  <si>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</si>
  <si>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</si>
  <si>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</si>
  <si>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</si>
  <si>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</si>
  <si>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</si>
  <si>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</si>
  <si>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</si>
  <si>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</si>
  <si>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</si>
  <si>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</si>
  <si>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</si>
  <si>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</si>
  <si>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</si>
  <si>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</si>
  <si>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</si>
  <si>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</si>
  <si>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</si>
  <si>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</si>
  <si>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</si>
  <si>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</si>
  <si>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</si>
  <si>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</si>
  <si>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</si>
  <si>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</si>
  <si>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</si>
  <si>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</si>
  <si>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</si>
  <si>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</si>
  <si>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</si>
  <si>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</si>
  <si>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</si>
  <si>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</si>
  <si>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</si>
  <si>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</si>
  <si>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</si>
  <si>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</si>
  <si>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</si>
  <si>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</si>
  <si>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</si>
  <si>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</si>
  <si>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</si>
  <si>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</si>
  <si>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</si>
  <si>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</si>
  <si>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</si>
  <si>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</si>
  <si>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</si>
  <si>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</si>
  <si>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</si>
  <si>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</si>
  <si>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</si>
  <si>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</si>
  <si>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</si>
  <si>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</si>
  <si>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</si>
  <si>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</si>
  <si>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</si>
  <si>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</si>
  <si>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</si>
  <si>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</si>
  <si>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</si>
  <si>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</si>
  <si>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</si>
  <si>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</si>
  <si>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</si>
  <si>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</si>
  <si>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</si>
  <si>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</si>
  <si>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</si>
  <si>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</si>
  <si>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</si>
  <si>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</si>
  <si>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</si>
  <si>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</si>
  <si>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</si>
  <si>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</si>
  <si>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</si>
  <si>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</si>
  <si>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</si>
  <si>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</si>
  <si>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</si>
  <si>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</si>
  <si>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</si>
  <si>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</si>
  <si>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</si>
  <si>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</si>
  <si>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</si>
  <si>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</si>
  <si>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</si>
  <si>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</si>
  <si>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</si>
  <si>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</si>
  <si>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</si>
  <si>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</si>
  <si>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</si>
  <si>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</si>
  <si>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</si>
  <si>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</si>
  <si>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</si>
  <si>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</si>
  <si>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</si>
  <si>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</si>
  <si>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</si>
  <si>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</si>
  <si>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</si>
  <si>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</si>
  <si>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</si>
  <si>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</si>
  <si>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</si>
  <si>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</si>
  <si>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</si>
  <si>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</si>
  <si>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</si>
  <si>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</si>
  <si>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</si>
  <si>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</si>
  <si>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</si>
  <si>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</si>
  <si>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</si>
  <si>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</si>
  <si>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</si>
  <si>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</si>
  <si>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</si>
  <si>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</si>
  <si>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</si>
  <si>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</si>
  <si>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</si>
  <si>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</si>
  <si>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</si>
  <si>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</si>
  <si>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</si>
  <si>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</si>
  <si>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</si>
  <si>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</si>
  <si>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</si>
  <si>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</si>
  <si>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</si>
  <si>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</si>
  <si>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</si>
  <si>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</si>
  <si>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</si>
  <si>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</si>
  <si>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</si>
  <si>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</si>
  <si>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</si>
  <si>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</si>
  <si>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</si>
  <si>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</si>
  <si>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</si>
  <si>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</si>
  <si>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</si>
  <si>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</si>
  <si>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</si>
  <si>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</si>
  <si>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</si>
  <si>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</si>
  <si>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</si>
  <si>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</si>
  <si>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</si>
  <si>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</si>
  <si>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</si>
  <si>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</si>
  <si>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</si>
  <si>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</si>
  <si>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</si>
  <si>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</si>
  <si>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</si>
  <si>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</si>
  <si>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</si>
  <si>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</si>
  <si>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</si>
  <si>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</si>
  <si>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</si>
  <si>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</si>
  <si>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</si>
  <si>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</si>
  <si>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</si>
  <si>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</si>
  <si>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</si>
  <si>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</si>
  <si>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</si>
  <si>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</si>
  <si>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</si>
  <si>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</si>
  <si>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</si>
  <si>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</si>
  <si>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</si>
  <si>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</si>
  <si>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</si>
  <si>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</si>
  <si>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</si>
  <si>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</si>
  <si>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</si>
  <si>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</si>
  <si>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</si>
  <si>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</si>
  <si>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</si>
  <si>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</si>
  <si>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</si>
  <si>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</si>
  <si>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</si>
  <si>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</si>
  <si>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</si>
  <si>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</si>
  <si>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</si>
  <si>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</si>
  <si>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</si>
  <si>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</si>
  <si>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</si>
  <si>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</si>
  <si>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</si>
  <si>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</si>
  <si>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</si>
  <si>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</si>
  <si>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</si>
  <si>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</si>
  <si>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</si>
  <si>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</si>
  <si>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</si>
  <si>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</si>
  <si>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</si>
  <si>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</si>
  <si>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</si>
  <si>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</si>
  <si>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</si>
  <si>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</si>
  <si>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</si>
  <si>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</si>
  <si>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</si>
  <si>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</si>
  <si>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</si>
  <si>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</si>
  <si>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</si>
  <si>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</si>
  <si>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</si>
  <si>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</si>
  <si>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</si>
  <si>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</si>
  <si>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</si>
  <si>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</si>
  <si>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</si>
  <si>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</si>
  <si>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</si>
  <si>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</si>
  <si>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</si>
  <si>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</si>
  <si>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</si>
  <si>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</si>
  <si>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</si>
  <si>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</si>
  <si>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</si>
  <si>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</si>
  <si>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</si>
  <si>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</si>
  <si>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</si>
  <si>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</si>
  <si>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</si>
  <si>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</si>
  <si>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</si>
  <si>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</si>
  <si>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</si>
  <si>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</si>
  <si>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</si>
  <si>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</si>
  <si>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</si>
  <si>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</si>
  <si>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</si>
  <si>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</si>
  <si>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</si>
  <si>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</si>
  <si>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</si>
  <si>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</si>
  <si>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</si>
  <si>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</si>
  <si>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</si>
  <si>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</si>
  <si>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</si>
  <si>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</si>
  <si>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</si>
  <si>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</si>
  <si>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</si>
  <si>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</si>
  <si>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</si>
  <si>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</si>
  <si>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</si>
  <si>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</si>
  <si>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</si>
  <si>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</si>
  <si>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</si>
  <si>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</si>
  <si>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</si>
  <si>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</si>
  <si>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</si>
  <si>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</si>
  <si>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</si>
  <si>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</si>
  <si>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</si>
  <si>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</si>
  <si>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</si>
  <si>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</si>
  <si>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</si>
  <si>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</si>
  <si>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</si>
  <si>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</si>
  <si>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</si>
  <si>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</si>
  <si>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</si>
  <si>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</si>
  <si>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</si>
  <si>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</si>
  <si>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</si>
  <si>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</si>
  <si>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</si>
  <si>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</si>
  <si>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</si>
  <si>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</si>
  <si>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</si>
  <si>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</si>
  <si>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</si>
  <si>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</si>
  <si>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</si>
  <si>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</si>
  <si>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</si>
  <si>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</si>
  <si>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</si>
  <si>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</si>
  <si>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</si>
  <si>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</si>
  <si>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</si>
  <si>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</si>
  <si>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</si>
  <si>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</si>
  <si>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</si>
  <si>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</si>
  <si>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</si>
  <si>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</si>
  <si>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</si>
  <si>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</si>
  <si>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</si>
  <si>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</si>
  <si>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</si>
  <si>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</si>
  <si>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</si>
  <si>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</si>
  <si>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</si>
  <si>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</si>
  <si>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</si>
  <si>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</si>
  <si>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</si>
  <si>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</si>
  <si>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</si>
  <si>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</si>
  <si>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</si>
  <si>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</si>
  <si>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</si>
  <si>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</si>
  <si>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</si>
  <si>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</si>
  <si>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</si>
  <si>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</si>
  <si>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</si>
  <si>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</si>
  <si>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</si>
  <si>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</si>
  <si>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</si>
  <si>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</si>
  <si>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</si>
  <si>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</si>
  <si>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</si>
  <si>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</si>
  <si>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</si>
  <si>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</si>
  <si>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</si>
  <si>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</si>
  <si>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</si>
  <si>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</si>
  <si>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</si>
  <si>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</si>
  <si>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</si>
  <si>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</si>
  <si>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</si>
  <si>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</si>
  <si>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</si>
  <si>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</si>
  <si>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</si>
  <si>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</si>
  <si>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</si>
  <si>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</si>
  <si>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</si>
  <si>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</si>
  <si>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</si>
  <si>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</si>
  <si>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</si>
  <si>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</si>
  <si>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</si>
  <si>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</si>
  <si>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</si>
  <si>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</si>
  <si>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</si>
  <si>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</si>
  <si>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</si>
  <si>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</si>
  <si>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</si>
  <si>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</si>
  <si>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</si>
  <si>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</si>
  <si>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</si>
  <si>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</si>
  <si>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</si>
  <si>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</si>
  <si>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</si>
  <si>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</si>
  <si>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</si>
  <si>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</si>
  <si>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</si>
  <si>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</si>
  <si>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</si>
  <si>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</si>
  <si>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</si>
  <si>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</si>
  <si>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</si>
  <si>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</si>
  <si>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</si>
  <si>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</si>
  <si>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</si>
  <si>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</si>
  <si>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</si>
  <si>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</si>
  <si>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</si>
  <si>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</si>
  <si>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</si>
  <si>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</si>
  <si>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</si>
  <si>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</si>
  <si>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</si>
  <si>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</si>
  <si>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</si>
  <si>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</si>
  <si>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</si>
  <si>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</si>
  <si>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</si>
  <si>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</si>
  <si>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</si>
  <si>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</si>
  <si>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</si>
  <si>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</si>
  <si>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</si>
  <si>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</si>
  <si>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</si>
  <si>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</si>
  <si>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</si>
  <si>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</si>
  <si>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</si>
  <si>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</si>
  <si>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</si>
  <si>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</si>
  <si>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</si>
  <si>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</si>
  <si>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</si>
  <si>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</si>
  <si>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</si>
  <si>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</si>
  <si>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</si>
  <si>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</si>
  <si>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</si>
  <si>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</si>
  <si>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</si>
  <si>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</si>
  <si>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</si>
  <si>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</si>
  <si>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</si>
  <si>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</si>
  <si>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</si>
  <si>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</si>
  <si>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</si>
  <si>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</si>
  <si>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</si>
  <si>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</si>
  <si>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</si>
  <si>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</si>
  <si>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</si>
  <si>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</si>
  <si>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</si>
  <si>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</si>
  <si>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</si>
  <si>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</si>
  <si>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</si>
  <si>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</si>
  <si>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</si>
  <si>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</si>
  <si>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</si>
  <si>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</si>
  <si>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</si>
  <si>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</si>
  <si>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</si>
  <si>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</si>
  <si>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</si>
  <si>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</si>
  <si>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</si>
  <si>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</si>
  <si>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</si>
  <si>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</si>
  <si>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</si>
  <si>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</si>
  <si>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</si>
  <si>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</si>
  <si>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</si>
  <si>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</si>
  <si>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</si>
  <si>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</si>
  <si>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</si>
  <si>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</si>
  <si>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</si>
  <si>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</si>
  <si>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</si>
  <si>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</si>
  <si>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</si>
  <si>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</si>
  <si>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</si>
  <si>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</si>
  <si>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</si>
  <si>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</si>
  <si>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</si>
  <si>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</si>
  <si>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</si>
  <si>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</si>
  <si>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</si>
  <si>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</si>
  <si>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</si>
  <si>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</si>
  <si>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</si>
  <si>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</si>
  <si>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</si>
  <si>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</si>
  <si>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</si>
  <si>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</si>
  <si>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</si>
  <si>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</si>
  <si>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</si>
  <si>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</si>
  <si>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</si>
  <si>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</si>
  <si>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</si>
  <si>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</si>
  <si>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</si>
  <si>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</si>
  <si>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</si>
  <si>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</si>
  <si>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</si>
  <si>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</si>
  <si>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</si>
  <si>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</si>
  <si>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</si>
  <si>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</si>
  <si>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</si>
  <si>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</si>
  <si>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</si>
  <si>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</si>
  <si>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</si>
  <si>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</si>
  <si>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</si>
  <si>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</si>
  <si>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</si>
  <si>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</si>
  <si>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</si>
  <si>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</si>
  <si>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</si>
  <si>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</si>
  <si>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</si>
  <si>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</si>
  <si>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</si>
  <si>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</si>
  <si>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</si>
  <si>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</si>
  <si>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</si>
  <si>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</si>
  <si>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</si>
  <si>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</si>
  <si>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</si>
  <si>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</si>
  <si>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</si>
  <si>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</si>
  <si>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</si>
  <si>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</si>
  <si>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</si>
  <si>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</si>
  <si>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</si>
  <si>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</si>
  <si>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</si>
  <si>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</si>
  <si>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</si>
  <si>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</si>
  <si>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</si>
  <si>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</si>
  <si>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</si>
  <si>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</si>
  <si>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</si>
  <si>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</si>
  <si>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</si>
  <si>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</si>
  <si>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</si>
  <si>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</si>
  <si>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</si>
  <si>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</si>
  <si>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</si>
  <si>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</si>
  <si>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</si>
  <si>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</si>
  <si>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</si>
  <si>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</si>
  <si>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</si>
  <si>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</si>
  <si>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</si>
  <si>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</si>
  <si>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</si>
  <si>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</si>
  <si>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</si>
  <si>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</si>
  <si>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</si>
  <si>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</si>
  <si>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</si>
  <si>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</si>
  <si>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</si>
  <si>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</si>
  <si>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</si>
  <si>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</si>
  <si>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</si>
  <si>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</si>
  <si>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</si>
  <si>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</si>
  <si>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</si>
  <si>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</si>
  <si>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</si>
  <si>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</si>
  <si>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</si>
  <si>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</si>
  <si>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</si>
  <si>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</si>
  <si>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</si>
  <si>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</si>
  <si>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</si>
  <si>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</si>
  <si>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</si>
  <si>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</si>
  <si>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</si>
  <si>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</si>
  <si>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</si>
  <si>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</si>
  <si>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</si>
  <si>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</si>
  <si>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</si>
  <si>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</si>
  <si>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</si>
  <si>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</si>
  <si>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</si>
  <si>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</si>
  <si>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</si>
  <si>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</si>
  <si>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</si>
  <si>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</si>
  <si>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COOK</t>
  </si>
  <si>
    <t>333 N. PARK RD</t>
  </si>
  <si>
    <t>LAGRANGE PARK</t>
  </si>
  <si>
    <t>X</t>
  </si>
  <si>
    <t>DR. KYLE SCHUMACHER</t>
  </si>
  <si>
    <t>SCHUMACHER@DIST102.K12.IL.US</t>
  </si>
  <si>
    <t>708-482-2400</t>
  </si>
  <si>
    <t>708-482-2402</t>
  </si>
  <si>
    <t>MUELLER &amp; CO., LLP</t>
  </si>
  <si>
    <t>14300 RAVINIA AVE. SUITE 200</t>
  </si>
  <si>
    <t>ORLAND PARK</t>
  </si>
  <si>
    <t>IL</t>
  </si>
  <si>
    <t>708-428-5305</t>
  </si>
  <si>
    <t>708-349-6639</t>
  </si>
  <si>
    <t>066-003328</t>
  </si>
  <si>
    <t>#20 - See findings 2020-001 and 2020-002</t>
  </si>
  <si>
    <t>Collective Liability Insurance Cooperative</t>
  </si>
  <si>
    <t>Lyons Area District Special Education Cooperative</t>
  </si>
  <si>
    <t>Lyons Paper Cooperative</t>
  </si>
  <si>
    <t>Fund                                     Account                                              Description                                                      Amount</t>
  </si>
  <si>
    <t>Educational Fund                 1790                                          Pupil Fees, Band/Orchestra fees, R&amp;M                 122,334</t>
  </si>
  <si>
    <t>Capital Appreciation Bonds</t>
  </si>
  <si>
    <t>Build America Bonds</t>
  </si>
  <si>
    <t>Refunding Bonds</t>
  </si>
  <si>
    <t>GO School Debt Services</t>
  </si>
  <si>
    <t>GO Limited School Bonds</t>
  </si>
  <si>
    <t>GO Bonds</t>
  </si>
  <si>
    <t>Installment Agreement</t>
  </si>
  <si>
    <t>Copier Lease Agreement</t>
  </si>
  <si>
    <t>Toshiba Lease Agreement</t>
  </si>
  <si>
    <t>GO Limited Tax Refunding Bonds</t>
  </si>
  <si>
    <t>Mac Book Lease</t>
  </si>
  <si>
    <t>PMA Leasing - Imagetec</t>
  </si>
  <si>
    <t xml:space="preserve">PMA Leasing </t>
  </si>
  <si>
    <t>Capital Lease</t>
  </si>
  <si>
    <t>Debt Certificate</t>
  </si>
  <si>
    <t>Arbor Management Inc</t>
  </si>
  <si>
    <t>Mueller &amp; Co.</t>
  </si>
  <si>
    <t>Franczek Radelet</t>
  </si>
  <si>
    <t>Kriha Law, LLC</t>
  </si>
  <si>
    <t>Perfect Cleaning</t>
  </si>
  <si>
    <t>A&amp;B Landscaping</t>
  </si>
  <si>
    <t>Anchor Mechanical</t>
  </si>
  <si>
    <t>Warren F Thomas Plumbing Co</t>
  </si>
  <si>
    <t>Call One, Inc</t>
  </si>
  <si>
    <t>Village of LaGrange Park</t>
  </si>
  <si>
    <t>Waste Management Illinois-Metro</t>
  </si>
  <si>
    <t>First Student</t>
  </si>
  <si>
    <t>Grand Prairie</t>
  </si>
  <si>
    <t>ED - Food Services-Other</t>
  </si>
  <si>
    <t>ED-Board of Education-Audit &amp; Financial Services</t>
  </si>
  <si>
    <t>ED-Board of Education-Legal Services</t>
  </si>
  <si>
    <t>OM-Oper &amp; Maint of Plant Services - Property Services</t>
  </si>
  <si>
    <t>OM-Oper &amp; Maint of Plant Services - Communications</t>
  </si>
  <si>
    <t>OM-Oper &amp; Maint of Plant Services - Sanitation/Waste</t>
  </si>
  <si>
    <t>Transport-Pupil Transportation Services- Reg Ed</t>
  </si>
  <si>
    <t>Transport-Pupil Transportation Services- Spec Ed</t>
  </si>
  <si>
    <t>OM-Oper &amp; Maint of Plant Services - Water/Sewer Service</t>
  </si>
  <si>
    <t>SIBLEYTO@DIST102.K12.IL.US</t>
  </si>
  <si>
    <t xml:space="preserve">O &amp; M                                     1990                                          Other local revenue                                                           23,662 </t>
  </si>
  <si>
    <t>Educational Fund                 1999                                          Salt Creek Art fees, other local revenue                 13,099</t>
  </si>
  <si>
    <t>Educational Fund                 4009                                          E-Rate                                                                                  166,647</t>
  </si>
  <si>
    <t>Educational Fund                 2900                                          General Supplies                                                                    289</t>
  </si>
  <si>
    <t>Debt Service Fund                1999                                          Bond issuance costs, fees                                         148,918</t>
  </si>
  <si>
    <t>Debt Service Fund                8990                                          Payment to refunding agent                                7,914,600</t>
  </si>
  <si>
    <t>Debt Service Fund                5400                                       Bond issuance costand other                                     148,918</t>
  </si>
  <si>
    <t>The accompanying Schedule of Expenditures of Federal Awards includes the federal grant activity of LaGrange School District 102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</si>
  <si>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</si>
  <si>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Of the federal expenditures presented in the schedule, the District provided federal awards to subrecipients as follows:</t>
  </si>
  <si>
    <t>The following amounts were expended in the form of non-cash assistance by the District and should be included in the Schedule of Expenditures of Federal Awards:</t>
  </si>
  <si>
    <t>Unmodified</t>
  </si>
  <si>
    <t>Special Education Cluster - IDEA Flow-Through</t>
  </si>
  <si>
    <t>Special Education Cluster - IDEA Room and Board</t>
  </si>
  <si>
    <t>Special Education Cluster - Pre-School Flow-Through</t>
  </si>
  <si>
    <t>Special Education Cluster</t>
  </si>
  <si>
    <t>20-4600, 20-4620, 19-4625, 20-4625</t>
  </si>
  <si>
    <t>Illinois State Board of Education</t>
  </si>
  <si>
    <t>U.S. Department of Education</t>
  </si>
  <si>
    <t>84.027, 84.173</t>
  </si>
  <si>
    <t>As required by 2 CFR section 200.313(d)(2) a physical inventory of the property must be taken and the results reconciled with the property records at least once every two years.</t>
  </si>
  <si>
    <t>We noted that the District did not perform a physical inventory of equipment and real property acquired under Federal awards during the last two years. The District's most recent physical inventory was performed at June 30, 2017.</t>
  </si>
  <si>
    <t>None.</t>
  </si>
  <si>
    <t>Uniform Guidance requires that a physical inventory of equipment and real property be taken at least once every two years and reconciled to the District's records.</t>
  </si>
  <si>
    <t>The District did not comply with the Federal Equipment and Real Property management control requirement.</t>
  </si>
  <si>
    <t>We recommend that the District perform a physical inventory of equipment and real property acquired under Federal awards at least every two years and reconcile the results to the District's records.</t>
  </si>
  <si>
    <t>The District will perform a physical inventory of equipment and real property purchased with Federal funds at least every two years and reconcile the results to the District's records.</t>
  </si>
  <si>
    <t>2019-001</t>
  </si>
  <si>
    <t>2019-002</t>
  </si>
  <si>
    <t>Management does not prepare government-wide financial statements in accordance with GASB Statement No. 34.</t>
  </si>
  <si>
    <t>DEPARTMENT OF EDUCATION PROGRAMS:</t>
  </si>
  <si>
    <t>IDEA FLOW-THROUGH (M)</t>
  </si>
  <si>
    <t>PRESCHOOL FLOW-THROUGH (M)</t>
  </si>
  <si>
    <t>TOTAL LADSEC</t>
  </si>
  <si>
    <t>18-4620</t>
  </si>
  <si>
    <t>19-4620</t>
  </si>
  <si>
    <t>20-4620</t>
  </si>
  <si>
    <t>18-4600</t>
  </si>
  <si>
    <t>19-4600</t>
  </si>
  <si>
    <t>20-4600</t>
  </si>
  <si>
    <t>IDEA ROOM &amp; BOARD (M)</t>
  </si>
  <si>
    <t>IDEA ROOM &amp; BOARD - XC (M)</t>
  </si>
  <si>
    <t>TOTAL ISBE</t>
  </si>
  <si>
    <t>18-4625</t>
  </si>
  <si>
    <t>19-4625</t>
  </si>
  <si>
    <t>18-4625-XC</t>
  </si>
  <si>
    <t>TOTAL SPECIAL EDUCATION CLUSTER (IDEA)</t>
  </si>
  <si>
    <t>SPECIAL EDUCATION CLUSTER (IDEA)</t>
  </si>
  <si>
    <t>20-4625</t>
  </si>
  <si>
    <t>CHILD NUTRITION CLUSTER</t>
  </si>
  <si>
    <t>DEPARTMENT OF AGRICULTURE PROGRAMS:</t>
  </si>
  <si>
    <t>NATIONAL SCHOOL LUNCH</t>
  </si>
  <si>
    <t>SCHOOL BREAKFAST</t>
  </si>
  <si>
    <t>18-4210</t>
  </si>
  <si>
    <t>19-4210</t>
  </si>
  <si>
    <t>20-4210</t>
  </si>
  <si>
    <t>18-4220</t>
  </si>
  <si>
    <t>19-4220</t>
  </si>
  <si>
    <t>20-4220</t>
  </si>
  <si>
    <t>COMMODITIES (NON-CASH)</t>
  </si>
  <si>
    <t>DEPT OF DEFENSE COMMODITIES (NON-CASH)</t>
  </si>
  <si>
    <t>TOTAL CHILD NUTRITION CLUSTER</t>
  </si>
  <si>
    <t>DEPARTMENT OF HEALTH &amp; HUMAN SERVICES</t>
  </si>
  <si>
    <t>PASSED THROUGH ILLINOIS STATE BOARD OF EDUCATION (ISBE)</t>
  </si>
  <si>
    <t>PASSED THROUGH LAGRANGE AREA DEPARTMENT OF SPECIAL EDUCATION (LADSEC)</t>
  </si>
  <si>
    <t>PASSED THROUGH ILLINOIS DEPARTMENT OF HEALTHCARE AND FAMILY SERVICES</t>
  </si>
  <si>
    <t>M</t>
  </si>
  <si>
    <t>MEDICAID ADMINISTRATIVE OUTREACH</t>
  </si>
  <si>
    <t>TOTAL DEPARTMENT OF HEALTH &amp; HUMAN SERVICES</t>
  </si>
  <si>
    <t>PASSED THROUGH ILLINOIS STATE BOARD OF EDUDCATION (ISBE)</t>
  </si>
  <si>
    <t>TITLE I - LOW INCOME</t>
  </si>
  <si>
    <t>TITLE II - TEACHER QUALITY</t>
  </si>
  <si>
    <t>TITLE III - LANGUAGE</t>
  </si>
  <si>
    <t>TOTAL DEPARTMENT OF EDUCATION</t>
  </si>
  <si>
    <t>18-4300</t>
  </si>
  <si>
    <t>19-4300</t>
  </si>
  <si>
    <t>20-4300</t>
  </si>
  <si>
    <t>18-4932</t>
  </si>
  <si>
    <t>19-4932</t>
  </si>
  <si>
    <t>20-4932</t>
  </si>
  <si>
    <t>18-4909</t>
  </si>
  <si>
    <t>19-4909</t>
  </si>
  <si>
    <t>20-4909</t>
  </si>
  <si>
    <t>19-4625-XC</t>
  </si>
  <si>
    <t>II</t>
  </si>
  <si>
    <t>N/A</t>
  </si>
  <si>
    <t>The District's internal controls around equipment and real property management did not detect that an inventory and reconciliation had not been performed at least once every two years.</t>
  </si>
  <si>
    <t>We recommend that the District  train all relevant staff on the equipment and real property management requirements and establish a rigid set of internal controls that requires a physical inventory of equipment and real property acquired under Federal awards be performed at least every two years and reconcile the results to the District's records.</t>
  </si>
  <si>
    <t>The District has strengthened its internal control over equipment and real property management in order to prevent this form happening again. The strethenged controls include training for staff on equipment and real property management requirements and monitoring procedures to ensure that a physical inventory of equipment and real property purchased with Federal funds will be performed at least every two years and reconciled to the District's records.</t>
  </si>
  <si>
    <t>Not considered a financial statement finding in 2020 because the adjustments provided by management are sufficient to present the government-wide statements in accordance with an other comprehensive basis of accounting.</t>
  </si>
  <si>
    <t>Not considered a federal award finding in 2020
because the financial statements and schedule of expenditures of federal award are presented in accordance with an other comprehensive basis of accounting.</t>
  </si>
  <si>
    <t>A formal physical inventory process had not been established.</t>
  </si>
  <si>
    <t>KEVIN BISSELL</t>
  </si>
  <si>
    <t>KBISSELL@MUELLERCPA.COM</t>
  </si>
  <si>
    <t>LaGrange SD 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</si>
</sst>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54" fillId="0" borderId="0" xfId="3" applyFont="1" applyAlignment="1" applyProtection="1">
      <alignment horizontal="center" vertical="center"/>
    </xf>
    <xf numFmtId="0" fontId="57" fillId="0" borderId="0" xfId="3" applyFont="1" applyBorder="1" applyAlignment="1" applyProtection="1">
      <alignment horizontal="left" vertical="top" wrapText="1"/>
      <protection locked="0"/>
    </xf>
    <xf numFmtId="179" fontId="57" fillId="0" borderId="0" xfId="3" applyNumberFormat="1" applyFont="1" applyBorder="1" applyAlignment="1" applyProtection="1">
      <alignment horizontal="center" vertical="top"/>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3" fontId="62" fillId="0" borderId="196" xfId="3" applyNumberFormat="1" applyFont="1" applyBorder="1" applyAlignment="1" applyProtection="1">
      <alignment horizontal="center" shrinkToFit="1"/>
      <protection locked="0"/>
    </xf>
    <xf numFmtId="0" fontId="57" fillId="0" borderId="0" xfId="3" applyFont="1" applyBorder="1" applyAlignment="1" applyProtection="1">
      <alignment horizontal="center"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911802</xdr:colOff>
          <xdr:row>7</xdr:row>
          <xdr:rowOff>56284</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401</v>
      </c>
      <c r="J1" s="2089"/>
      <c r="K1" s="2089"/>
      <c r="L1" s="2089"/>
      <c r="M1" s="2089"/>
      <c r="N1" s="2089"/>
      <c r="O1" s="2089"/>
      <c r="P1" s="2089"/>
      <c r="Q1" s="2089"/>
      <c r="R1" s="2089"/>
      <c r="S1" s="2089"/>
    </row>
    <row r="2" spans="1:32" ht="12" customHeight="1" x14ac:dyDescent="0.2">
      <c r="A2" s="1831" t="str">
        <f>"Due to ISBE on "</f>
        <v xml:space="preserve">Due to ISBE on </v>
      </c>
      <c r="B2" s="2131">
        <f>+'AFR20'!F4</f>
        <v>44151</v>
      </c>
      <c r="C2" s="2131"/>
      <c r="D2" s="2132"/>
      <c r="I2" s="2090" t="s">
        <v>1999</v>
      </c>
      <c r="J2" s="2089"/>
      <c r="K2" s="2089"/>
      <c r="L2" s="2089"/>
      <c r="M2" s="2089"/>
      <c r="N2" s="2089"/>
      <c r="O2" s="2089"/>
      <c r="P2" s="2089"/>
      <c r="Q2" s="2089"/>
      <c r="R2" s="2089"/>
      <c r="S2" s="2089"/>
    </row>
    <row r="3" spans="1:32" ht="12" customHeight="1" x14ac:dyDescent="0.2">
      <c r="A3" s="1834"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520</v>
      </c>
      <c r="J4" s="2089"/>
      <c r="K4" s="2089"/>
      <c r="L4" s="2089"/>
      <c r="M4" s="2089"/>
      <c r="N4" s="2089"/>
      <c r="O4" s="2089"/>
      <c r="P4" s="2089"/>
      <c r="Q4" s="2089"/>
      <c r="R4" s="2089"/>
      <c r="S4" s="2089"/>
    </row>
    <row r="5" spans="1:32" ht="14.1" customHeight="1" x14ac:dyDescent="0.2">
      <c r="B5" s="101" t="s">
        <v>2047</v>
      </c>
      <c r="C5" s="26" t="s">
        <v>903</v>
      </c>
      <c r="D5" s="81"/>
      <c r="E5" s="81"/>
      <c r="H5" s="38"/>
      <c r="I5" s="2098" t="s">
        <v>674</v>
      </c>
      <c r="J5" s="2097"/>
      <c r="K5" s="2097"/>
      <c r="L5" s="2097"/>
      <c r="M5" s="2097"/>
      <c r="N5" s="2097"/>
      <c r="O5" s="2097"/>
      <c r="P5" s="2097"/>
      <c r="Q5" s="2097"/>
      <c r="R5" s="2097"/>
      <c r="S5" s="2097"/>
      <c r="AF5" s="1827"/>
    </row>
    <row r="6" spans="1:32" ht="14.1" customHeight="1" x14ac:dyDescent="0.2">
      <c r="B6" s="101"/>
      <c r="C6" s="26" t="s">
        <v>904</v>
      </c>
      <c r="D6" s="81"/>
      <c r="E6" s="81"/>
      <c r="I6" s="2096" t="s">
        <v>876</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668</v>
      </c>
      <c r="J9" s="2094"/>
      <c r="K9" s="2094"/>
      <c r="L9" s="2094"/>
      <c r="M9" s="2094"/>
      <c r="N9" s="2094"/>
      <c r="O9" s="2094"/>
      <c r="P9" s="2094"/>
      <c r="Q9" s="2094"/>
      <c r="R9" s="2094"/>
      <c r="S9" s="2095"/>
      <c r="T9" s="2146" t="s">
        <v>529</v>
      </c>
      <c r="U9" s="2147"/>
      <c r="V9" s="2147"/>
      <c r="W9" s="2147"/>
      <c r="X9" s="2147"/>
      <c r="Y9" s="2147"/>
      <c r="Z9" s="2147"/>
      <c r="AA9" s="2148"/>
    </row>
    <row r="10" spans="1:32" ht="13.5" customHeight="1" x14ac:dyDescent="0.2">
      <c r="A10" s="2153" t="s">
        <v>669</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948</v>
      </c>
      <c r="B11" s="2157"/>
      <c r="C11" s="2157"/>
      <c r="D11" s="2157"/>
      <c r="E11" s="2157"/>
      <c r="F11" s="2157"/>
      <c r="G11" s="2157"/>
      <c r="H11" s="2158"/>
      <c r="I11" s="27"/>
      <c r="J11" s="71"/>
      <c r="K11" s="27"/>
      <c r="O11" s="144" t="s">
        <v>2047</v>
      </c>
      <c r="P11" s="97" t="s">
        <v>199</v>
      </c>
      <c r="Q11" s="30"/>
      <c r="R11" s="28"/>
      <c r="S11" s="27"/>
      <c r="T11" s="2150"/>
      <c r="U11" s="2151"/>
      <c r="V11" s="2151"/>
      <c r="W11" s="2151"/>
      <c r="X11" s="2151"/>
      <c r="Y11" s="2151"/>
      <c r="Z11" s="2151"/>
      <c r="AA11" s="215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9">
        <v>6016102002</v>
      </c>
      <c r="B13" s="2110"/>
      <c r="C13" s="2110"/>
      <c r="D13" s="2110"/>
      <c r="E13" s="2110"/>
      <c r="F13" s="2110"/>
      <c r="G13" s="2110"/>
      <c r="H13" s="2111"/>
      <c r="I13" s="31"/>
      <c r="J13" s="30"/>
      <c r="K13" s="28"/>
      <c r="L13" s="30"/>
      <c r="M13" s="30"/>
      <c r="N13" s="30"/>
      <c r="O13" s="30"/>
      <c r="P13" s="30"/>
      <c r="Q13" s="30"/>
      <c r="R13" s="30"/>
      <c r="S13" s="30"/>
      <c r="T13" s="2115" t="s">
        <v>2052</v>
      </c>
      <c r="U13" s="2116"/>
      <c r="V13" s="2116"/>
      <c r="W13" s="2116"/>
      <c r="X13" s="2116"/>
      <c r="Y13" s="2117"/>
      <c r="Z13" s="2117"/>
      <c r="AA13" s="211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2" t="s">
        <v>2044</v>
      </c>
      <c r="B15" s="2113"/>
      <c r="C15" s="2113"/>
      <c r="D15" s="2113"/>
      <c r="E15" s="2113"/>
      <c r="F15" s="2113"/>
      <c r="G15" s="2113"/>
      <c r="H15" s="2114"/>
      <c r="T15" s="2119" t="s">
        <v>2195</v>
      </c>
      <c r="U15" s="2076"/>
      <c r="V15" s="2076"/>
      <c r="W15" s="2076"/>
      <c r="X15" s="2076"/>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2" t="s">
        <v>2197</v>
      </c>
      <c r="B17" s="2083"/>
      <c r="C17" s="2083"/>
      <c r="D17" s="2083"/>
      <c r="E17" s="2083"/>
      <c r="F17" s="2083"/>
      <c r="G17" s="2083"/>
      <c r="H17" s="2108"/>
      <c r="T17" s="2126" t="s">
        <v>2053</v>
      </c>
      <c r="U17" s="2127"/>
      <c r="V17" s="2127"/>
      <c r="W17" s="2127"/>
      <c r="X17" s="2127"/>
      <c r="Y17" s="2127"/>
      <c r="Z17" s="2127"/>
      <c r="AA17" s="2128"/>
    </row>
    <row r="18" spans="1:27" ht="13.5" customHeight="1" x14ac:dyDescent="0.2">
      <c r="A18" s="82" t="s">
        <v>526</v>
      </c>
      <c r="B18" s="73"/>
      <c r="C18" s="69"/>
      <c r="D18" s="73"/>
      <c r="E18" s="73"/>
      <c r="F18" s="73"/>
      <c r="G18" s="73"/>
      <c r="H18" s="53"/>
      <c r="I18" s="2107" t="s">
        <v>670</v>
      </c>
      <c r="J18" s="2058"/>
      <c r="K18" s="2058"/>
      <c r="L18" s="2058"/>
      <c r="M18" s="2058"/>
      <c r="N18" s="2058"/>
      <c r="O18" s="2058"/>
      <c r="P18" s="2058"/>
      <c r="Q18" s="2058"/>
      <c r="R18" s="2058"/>
      <c r="S18" s="2059"/>
      <c r="T18" s="82" t="s">
        <v>705</v>
      </c>
      <c r="U18" s="48"/>
      <c r="V18" s="69"/>
      <c r="W18" s="47"/>
      <c r="X18" s="82" t="s">
        <v>263</v>
      </c>
      <c r="Y18" s="78"/>
      <c r="Z18" s="154" t="s">
        <v>671</v>
      </c>
      <c r="AA18" s="44"/>
    </row>
    <row r="19" spans="1:27" ht="13.5" customHeight="1" x14ac:dyDescent="0.2">
      <c r="A19" s="2112" t="s">
        <v>2045</v>
      </c>
      <c r="B19" s="2068"/>
      <c r="C19" s="2068"/>
      <c r="D19" s="2068"/>
      <c r="E19" s="2068"/>
      <c r="F19" s="2068"/>
      <c r="G19" s="2068"/>
      <c r="H19" s="2048"/>
      <c r="I19" s="30"/>
      <c r="J19" s="96"/>
      <c r="K19" s="40"/>
      <c r="L19" s="38"/>
      <c r="M19" s="109" t="s">
        <v>311</v>
      </c>
      <c r="P19" s="27"/>
      <c r="Q19" s="27"/>
      <c r="R19" s="27"/>
      <c r="S19" s="31"/>
      <c r="T19" s="2112" t="s">
        <v>2054</v>
      </c>
      <c r="U19" s="2047"/>
      <c r="V19" s="2047"/>
      <c r="W19" s="2048"/>
      <c r="X19" s="2124" t="s">
        <v>2055</v>
      </c>
      <c r="Y19" s="2125"/>
      <c r="Z19" s="2122">
        <v>60462</v>
      </c>
      <c r="AA19" s="212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6" t="s">
        <v>2046</v>
      </c>
      <c r="B21" s="2047"/>
      <c r="C21" s="2047"/>
      <c r="D21" s="2047"/>
      <c r="E21" s="2047"/>
      <c r="F21" s="2047"/>
      <c r="G21" s="2047"/>
      <c r="H21" s="2048"/>
      <c r="I21" s="2102" t="s">
        <v>672</v>
      </c>
      <c r="J21" s="2097"/>
      <c r="K21" s="2097"/>
      <c r="L21" s="2097"/>
      <c r="M21" s="2097"/>
      <c r="N21" s="2097"/>
      <c r="O21" s="2097"/>
      <c r="P21" s="2097"/>
      <c r="Q21" s="2097"/>
      <c r="R21" s="2097"/>
      <c r="S21" s="2103"/>
      <c r="T21" s="2137" t="s">
        <v>2056</v>
      </c>
      <c r="U21" s="2138"/>
      <c r="V21" s="2138"/>
      <c r="W21" s="2138"/>
      <c r="X21" s="2143" t="s">
        <v>2057</v>
      </c>
      <c r="Y21" s="2144"/>
      <c r="Z21" s="2144"/>
      <c r="AA21" s="2145"/>
    </row>
    <row r="22" spans="1:27" ht="13.5" customHeight="1" x14ac:dyDescent="0.2">
      <c r="A22" s="84" t="s">
        <v>527</v>
      </c>
      <c r="B22" s="56"/>
      <c r="C22" s="56"/>
      <c r="D22" s="56"/>
      <c r="E22" s="56"/>
      <c r="F22" s="56"/>
      <c r="G22" s="56"/>
      <c r="H22" s="57"/>
      <c r="I22" s="2104" t="s">
        <v>1414</v>
      </c>
      <c r="J22" s="2105"/>
      <c r="K22" s="2105"/>
      <c r="L22" s="2105"/>
      <c r="M22" s="2105"/>
      <c r="N22" s="2105"/>
      <c r="O22" s="2105"/>
      <c r="P22" s="2105"/>
      <c r="Q22" s="2105"/>
      <c r="R22" s="2105"/>
      <c r="S22" s="2106"/>
      <c r="T22" s="82" t="s">
        <v>1501</v>
      </c>
      <c r="U22" s="48"/>
      <c r="V22" s="69"/>
      <c r="W22" s="48"/>
      <c r="X22" s="155" t="s">
        <v>1308</v>
      </c>
      <c r="Z22" s="43"/>
      <c r="AA22" s="44"/>
    </row>
    <row r="23" spans="1:27" ht="13.5" customHeight="1" x14ac:dyDescent="0.2">
      <c r="A23" s="2099" t="s">
        <v>2102</v>
      </c>
      <c r="B23" s="2100"/>
      <c r="C23" s="2100"/>
      <c r="D23" s="2100"/>
      <c r="E23" s="2100"/>
      <c r="F23" s="2100"/>
      <c r="G23" s="2100"/>
      <c r="H23" s="2101"/>
      <c r="T23" s="2082" t="s">
        <v>2058</v>
      </c>
      <c r="U23" s="2136"/>
      <c r="V23" s="2136"/>
      <c r="W23" s="2136"/>
      <c r="X23" s="2140">
        <v>44530</v>
      </c>
      <c r="Y23" s="2141"/>
      <c r="Z23" s="2141"/>
      <c r="AA23" s="2142"/>
    </row>
    <row r="24" spans="1:27" ht="14.1" customHeight="1" x14ac:dyDescent="0.2">
      <c r="A24" s="85" t="s">
        <v>671</v>
      </c>
      <c r="B24" s="46"/>
      <c r="C24" s="46"/>
      <c r="D24" s="46"/>
      <c r="E24" s="46"/>
      <c r="F24" s="46"/>
      <c r="G24" s="46"/>
      <c r="H24" s="58"/>
      <c r="J24" s="2069">
        <f>IF(B5="x",IF(AUDITCHECK!D29="AFR form Incomplete.","",IF(AUDITCHECK!D29="Deficit reduction plan is required.","School District must complete a deficit reduction plan in the 2019-2020 Budget",)),"")</f>
        <v>0</v>
      </c>
      <c r="K24" s="2069"/>
      <c r="L24" s="2069"/>
      <c r="M24" s="2069"/>
      <c r="N24" s="2069"/>
      <c r="O24" s="2069"/>
      <c r="P24" s="2069"/>
      <c r="Q24" s="2069"/>
      <c r="R24" s="2069"/>
      <c r="S24" s="2070"/>
      <c r="T24" s="102" t="s">
        <v>527</v>
      </c>
      <c r="U24" s="103"/>
      <c r="V24" s="103"/>
      <c r="W24" s="103"/>
      <c r="X24" s="104"/>
      <c r="Y24" s="104"/>
      <c r="Z24" s="104"/>
      <c r="AA24" s="105"/>
    </row>
    <row r="25" spans="1:27" ht="14.1" customHeight="1" x14ac:dyDescent="0.2">
      <c r="A25" s="2046">
        <v>60526</v>
      </c>
      <c r="B25" s="2047"/>
      <c r="C25" s="2047"/>
      <c r="D25" s="2047"/>
      <c r="E25" s="2047"/>
      <c r="F25" s="2047"/>
      <c r="G25" s="2047"/>
      <c r="H25" s="2048"/>
      <c r="I25" s="110"/>
      <c r="J25" s="2071"/>
      <c r="K25" s="2071"/>
      <c r="L25" s="2071"/>
      <c r="M25" s="2071"/>
      <c r="N25" s="2071"/>
      <c r="O25" s="2071"/>
      <c r="P25" s="2071"/>
      <c r="Q25" s="2071"/>
      <c r="R25" s="2071"/>
      <c r="S25" s="2072"/>
      <c r="T25" s="2133" t="s">
        <v>2196</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7" t="s">
        <v>1496</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2047</v>
      </c>
      <c r="F29" s="137" t="s">
        <v>1306</v>
      </c>
      <c r="G29" s="111"/>
      <c r="I29" s="51"/>
      <c r="J29" s="144" t="s">
        <v>2047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2047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2047</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2" t="s">
        <v>2048</v>
      </c>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527</v>
      </c>
      <c r="B39" s="2053"/>
      <c r="C39" s="69"/>
      <c r="D39" s="66"/>
      <c r="E39" s="66"/>
      <c r="F39" s="76"/>
      <c r="G39" s="66"/>
      <c r="H39" s="53"/>
      <c r="I39" s="2052" t="s">
        <v>527</v>
      </c>
      <c r="J39" s="2053"/>
      <c r="K39" s="2053"/>
      <c r="L39" s="2053"/>
      <c r="M39" s="2053"/>
      <c r="N39" s="64"/>
      <c r="O39" s="69"/>
      <c r="P39" s="69"/>
      <c r="Q39" s="75"/>
      <c r="R39" s="69"/>
      <c r="S39" s="53"/>
      <c r="T39" s="69" t="s">
        <v>527</v>
      </c>
      <c r="U39" s="48"/>
      <c r="V39" s="69"/>
      <c r="W39" s="47"/>
      <c r="X39" s="75"/>
      <c r="Y39" s="43"/>
      <c r="Z39" s="43"/>
      <c r="AA39" s="44"/>
    </row>
    <row r="40" spans="1:27" ht="13.5" customHeight="1" x14ac:dyDescent="0.2">
      <c r="A40" s="2060" t="s">
        <v>2049</v>
      </c>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4" t="s">
        <v>2050</v>
      </c>
      <c r="B42" s="2066"/>
      <c r="C42" s="2067"/>
      <c r="D42" s="2065" t="s">
        <v>2051</v>
      </c>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1405</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7"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1146</v>
      </c>
      <c r="B4" s="1721">
        <f>'Revenues 9-14'!C5</f>
        <v>26681460</v>
      </c>
      <c r="C4" s="1722">
        <v>14523286</v>
      </c>
      <c r="D4" s="1723">
        <f>B4-C4</f>
        <v>12158174</v>
      </c>
      <c r="E4" s="1722">
        <v>28144365</v>
      </c>
      <c r="F4" s="1723">
        <f>E4-C4</f>
        <v>13621079</v>
      </c>
    </row>
    <row r="5" spans="1:8" ht="13.7" customHeight="1" x14ac:dyDescent="0.2">
      <c r="A5" s="579" t="s">
        <v>864</v>
      </c>
      <c r="B5" s="1724">
        <f>'Revenues 9-14'!D5</f>
        <v>3964893</v>
      </c>
      <c r="C5" s="1664">
        <v>2151098</v>
      </c>
      <c r="D5" s="1725">
        <f t="shared" ref="D5:D18" si="0">B5-C5</f>
        <v>1813795</v>
      </c>
      <c r="E5" s="1664">
        <v>4168566</v>
      </c>
      <c r="F5" s="1725">
        <f>E5-C5</f>
        <v>2017468</v>
      </c>
    </row>
    <row r="6" spans="1:8" ht="13.7" customHeight="1" x14ac:dyDescent="0.2">
      <c r="A6" s="579" t="s">
        <v>407</v>
      </c>
      <c r="B6" s="1724">
        <f>'Revenues 9-14'!E5</f>
        <v>2578999</v>
      </c>
      <c r="C6" s="1664">
        <v>1358983</v>
      </c>
      <c r="D6" s="1725">
        <f t="shared" si="0"/>
        <v>1220016</v>
      </c>
      <c r="E6" s="1664">
        <v>2633544</v>
      </c>
      <c r="F6" s="1725">
        <f t="shared" ref="F6:F18" si="1">E6-C6</f>
        <v>1274561</v>
      </c>
    </row>
    <row r="7" spans="1:8" ht="13.7" customHeight="1" x14ac:dyDescent="0.2">
      <c r="A7" s="579" t="s">
        <v>154</v>
      </c>
      <c r="B7" s="1724">
        <f>'Revenues 9-14'!F5</f>
        <v>760391</v>
      </c>
      <c r="C7" s="1664">
        <v>412540</v>
      </c>
      <c r="D7" s="1725">
        <f t="shared" si="0"/>
        <v>347851</v>
      </c>
      <c r="E7" s="1664">
        <v>799452</v>
      </c>
      <c r="F7" s="1725">
        <f t="shared" si="1"/>
        <v>386912</v>
      </c>
    </row>
    <row r="8" spans="1:8" ht="13.7" customHeight="1" x14ac:dyDescent="0.2">
      <c r="A8" s="579" t="s">
        <v>1170</v>
      </c>
      <c r="B8" s="1724">
        <f>'Revenues 9-14'!G5</f>
        <v>593701</v>
      </c>
      <c r="C8" s="1664">
        <v>221003</v>
      </c>
      <c r="D8" s="1725">
        <f t="shared" si="0"/>
        <v>372698</v>
      </c>
      <c r="E8" s="1664">
        <v>428277</v>
      </c>
      <c r="F8" s="1725">
        <f t="shared" si="1"/>
        <v>207274</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380195</v>
      </c>
      <c r="C10" s="1664">
        <v>206269</v>
      </c>
      <c r="D10" s="1725">
        <f t="shared" si="0"/>
        <v>173926</v>
      </c>
      <c r="E10" s="1664">
        <v>399725</v>
      </c>
      <c r="F10" s="1725">
        <f t="shared" si="1"/>
        <v>193456</v>
      </c>
    </row>
    <row r="11" spans="1:8" x14ac:dyDescent="0.2">
      <c r="A11" s="579" t="s">
        <v>405</v>
      </c>
      <c r="B11" s="1724">
        <f>'Revenues 9-14'!J5</f>
        <v>147</v>
      </c>
      <c r="C11" s="1664">
        <v>100</v>
      </c>
      <c r="D11" s="1725">
        <f t="shared" si="0"/>
        <v>47</v>
      </c>
      <c r="E11" s="1664">
        <v>193</v>
      </c>
      <c r="F11" s="1725">
        <f t="shared" si="1"/>
        <v>93</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0</v>
      </c>
      <c r="C13" s="1664"/>
      <c r="D13" s="1725">
        <f t="shared" si="0"/>
        <v>0</v>
      </c>
      <c r="E13" s="1664"/>
      <c r="F13" s="1725">
        <f t="shared" si="1"/>
        <v>0</v>
      </c>
    </row>
    <row r="14" spans="1:8" ht="13.7" customHeight="1" x14ac:dyDescent="0.2">
      <c r="A14" s="579" t="s">
        <v>406</v>
      </c>
      <c r="B14" s="1724">
        <f>SUM('Revenues 9-14'!C7:D7,'Revenues 9-14'!F7:H7)</f>
        <v>1020493</v>
      </c>
      <c r="C14" s="1664">
        <v>399330</v>
      </c>
      <c r="D14" s="1725">
        <f t="shared" si="0"/>
        <v>621163</v>
      </c>
      <c r="E14" s="1664">
        <v>773854</v>
      </c>
      <c r="F14" s="1725">
        <f t="shared" si="1"/>
        <v>374524</v>
      </c>
    </row>
    <row r="15" spans="1:8" ht="13.7" customHeight="1" x14ac:dyDescent="0.2">
      <c r="A15" s="579" t="s">
        <v>1149</v>
      </c>
      <c r="B15" s="1724">
        <f>SUM('Revenues 9-14'!D9:E9,'Revenues 9-14'!H9)</f>
        <v>0</v>
      </c>
      <c r="C15" s="1664"/>
      <c r="D15" s="1725">
        <f t="shared" si="0"/>
        <v>0</v>
      </c>
      <c r="E15" s="1664"/>
      <c r="F15" s="1725">
        <f t="shared" si="1"/>
        <v>0</v>
      </c>
    </row>
    <row r="16" spans="1:8" ht="13.7" customHeight="1" x14ac:dyDescent="0.2">
      <c r="A16" s="579" t="s">
        <v>1150</v>
      </c>
      <c r="B16" s="1724">
        <f>'Revenues 9-14'!G8</f>
        <v>593701</v>
      </c>
      <c r="C16" s="1664">
        <v>221003</v>
      </c>
      <c r="D16" s="1725">
        <f t="shared" si="0"/>
        <v>372698</v>
      </c>
      <c r="E16" s="1664">
        <v>428277</v>
      </c>
      <c r="F16" s="1725">
        <f t="shared" si="1"/>
        <v>207274</v>
      </c>
    </row>
    <row r="17" spans="1:6" ht="13.7" customHeight="1" x14ac:dyDescent="0.2">
      <c r="A17" s="579" t="s">
        <v>1151</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1152</v>
      </c>
      <c r="B19" s="1726">
        <f>SUM(B4:B18)</f>
        <v>36573980</v>
      </c>
      <c r="C19" s="1726">
        <f>SUM(C4:C18)</f>
        <v>19493612</v>
      </c>
      <c r="D19" s="1726">
        <f>SUM(D4:D18)</f>
        <v>17080368</v>
      </c>
      <c r="E19" s="1726">
        <f>SUM(E4:E18)</f>
        <v>37776253</v>
      </c>
      <c r="F19" s="1726">
        <f>SUM(F4:F18)</f>
        <v>18282641</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28" colorId="8" zoomScale="110" zoomScaleNormal="110" workbookViewId="0">
      <selection activeCell="J42" sqref="J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624</v>
      </c>
      <c r="B1" s="2317"/>
      <c r="C1" s="585"/>
    </row>
    <row r="2" spans="1:7" ht="33.75" x14ac:dyDescent="0.2">
      <c r="A2" s="2324" t="s">
        <v>1778</v>
      </c>
      <c r="B2" s="232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6" t="s">
        <v>1105</v>
      </c>
      <c r="B3" s="2327"/>
      <c r="C3" s="2320"/>
      <c r="D3" s="2321"/>
      <c r="E3" s="2321"/>
      <c r="F3" s="2322"/>
    </row>
    <row r="4" spans="1:7" ht="12.75" customHeight="1" thickBot="1" x14ac:dyDescent="0.25">
      <c r="A4" s="2314" t="s">
        <v>625</v>
      </c>
      <c r="B4" s="2315"/>
      <c r="C4" s="1656"/>
      <c r="D4" s="1656"/>
      <c r="E4" s="1656"/>
      <c r="F4" s="1732">
        <f>SUM(C4+D4)-E4</f>
        <v>0</v>
      </c>
    </row>
    <row r="5" spans="1:7" ht="15.75" customHeight="1" thickTop="1" x14ac:dyDescent="0.2">
      <c r="A5" s="2318" t="s">
        <v>1102</v>
      </c>
      <c r="B5" s="2313"/>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1148</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10" t="s">
        <v>626</v>
      </c>
      <c r="B15" s="2311"/>
      <c r="C15" s="1732">
        <f>SUM(C6:C14)</f>
        <v>0</v>
      </c>
      <c r="D15" s="1732">
        <f>SUM(D6:D14)</f>
        <v>0</v>
      </c>
      <c r="E15" s="1732">
        <f>SUM(E6:E14)</f>
        <v>0</v>
      </c>
      <c r="F15" s="1732">
        <f>SUM(F6:F14)</f>
        <v>0</v>
      </c>
      <c r="G15" s="473"/>
    </row>
    <row r="16" spans="1:7" s="197" customFormat="1" ht="15.75" customHeight="1" thickTop="1" x14ac:dyDescent="0.2">
      <c r="A16" s="2323" t="s">
        <v>1103</v>
      </c>
      <c r="B16" s="2313"/>
      <c r="C16" s="2307"/>
      <c r="D16" s="2308"/>
      <c r="E16" s="2308"/>
      <c r="F16" s="2309"/>
    </row>
    <row r="17" spans="1:11" ht="12.75" customHeight="1" thickBot="1" x14ac:dyDescent="0.25">
      <c r="A17" s="2305" t="s">
        <v>64</v>
      </c>
      <c r="B17" s="2306"/>
      <c r="C17" s="1733"/>
      <c r="D17" s="1664"/>
      <c r="E17" s="1733"/>
      <c r="F17" s="1732">
        <f>SUM(C17+D17)-E17</f>
        <v>0</v>
      </c>
    </row>
    <row r="18" spans="1:11" ht="12.75" customHeight="1" thickTop="1" thickBot="1" x14ac:dyDescent="0.25">
      <c r="A18" s="2305" t="s">
        <v>6</v>
      </c>
      <c r="B18" s="2306"/>
      <c r="C18" s="1733"/>
      <c r="D18" s="1664"/>
      <c r="E18" s="1733"/>
      <c r="F18" s="1732">
        <f>SUM(C18+D18)-E18</f>
        <v>0</v>
      </c>
    </row>
    <row r="19" spans="1:11" ht="12.75" customHeight="1" thickTop="1" thickBot="1" x14ac:dyDescent="0.25">
      <c r="A19" s="2305" t="s">
        <v>384</v>
      </c>
      <c r="B19" s="2306"/>
      <c r="C19" s="1733"/>
      <c r="D19" s="1664"/>
      <c r="E19" s="1733"/>
      <c r="F19" s="1732">
        <f>SUM(C19+D19)-E19</f>
        <v>0</v>
      </c>
    </row>
    <row r="20" spans="1:11" ht="12.75" customHeight="1" thickTop="1" thickBot="1" x14ac:dyDescent="0.25">
      <c r="A20" s="2305" t="s">
        <v>444</v>
      </c>
      <c r="B20" s="2306"/>
      <c r="C20" s="1733"/>
      <c r="D20" s="1664"/>
      <c r="E20" s="1733"/>
      <c r="F20" s="1732">
        <f>SUM(C20+D20)-E20</f>
        <v>0</v>
      </c>
    </row>
    <row r="21" spans="1:11" ht="14.25" thickTop="1" thickBot="1" x14ac:dyDescent="0.25">
      <c r="A21" s="2310" t="s">
        <v>627</v>
      </c>
      <c r="B21" s="2311"/>
      <c r="C21" s="1732">
        <f>SUM(C17:C20)</f>
        <v>0</v>
      </c>
      <c r="D21" s="1732">
        <f>SUM(D17:D20)</f>
        <v>0</v>
      </c>
      <c r="E21" s="1732">
        <f>SUM(E17:E20)</f>
        <v>0</v>
      </c>
      <c r="F21" s="1732">
        <f>SUM(F17:F20)</f>
        <v>0</v>
      </c>
      <c r="G21" s="473"/>
    </row>
    <row r="22" spans="1:11" ht="15.75" customHeight="1" thickTop="1" x14ac:dyDescent="0.2">
      <c r="A22" s="2312" t="s">
        <v>1104</v>
      </c>
      <c r="B22" s="2313"/>
      <c r="C22" s="2307"/>
      <c r="D22" s="2308"/>
      <c r="E22" s="2308"/>
      <c r="F22" s="2309"/>
    </row>
    <row r="23" spans="1:11" ht="13.5" thickBot="1" x14ac:dyDescent="0.25">
      <c r="A23" s="2314" t="s">
        <v>628</v>
      </c>
      <c r="B23" s="2315"/>
      <c r="C23" s="1656"/>
      <c r="D23" s="1656"/>
      <c r="E23" s="1656"/>
      <c r="F23" s="1732">
        <f>SUM(C23+D23)-E23</f>
        <v>0</v>
      </c>
      <c r="G23" s="473"/>
    </row>
    <row r="24" spans="1:11" ht="15.75" customHeight="1" thickTop="1" x14ac:dyDescent="0.2">
      <c r="A24" s="2312" t="s">
        <v>2002</v>
      </c>
      <c r="B24" s="2313"/>
      <c r="C24" s="2307"/>
      <c r="D24" s="2308"/>
      <c r="E24" s="2308"/>
      <c r="F24" s="2309"/>
    </row>
    <row r="25" spans="1:11" ht="13.5" thickBot="1" x14ac:dyDescent="0.25">
      <c r="A25" s="2314" t="s">
        <v>2003</v>
      </c>
      <c r="B25" s="2315"/>
      <c r="C25" s="1656"/>
      <c r="D25" s="1656"/>
      <c r="E25" s="1656"/>
      <c r="F25" s="1732">
        <f>SUM(C25+D25)-E25</f>
        <v>0</v>
      </c>
      <c r="G25" s="473"/>
    </row>
    <row r="26" spans="1:11" ht="15.75" customHeight="1" thickTop="1" x14ac:dyDescent="0.2">
      <c r="A26" s="2318" t="s">
        <v>651</v>
      </c>
      <c r="B26" s="2313"/>
      <c r="C26" s="589"/>
      <c r="D26" s="589"/>
      <c r="E26" s="589"/>
      <c r="F26" s="590"/>
    </row>
    <row r="27" spans="1:11" ht="13.5" thickBot="1" x14ac:dyDescent="0.25">
      <c r="A27" s="2310" t="s">
        <v>1062</v>
      </c>
      <c r="B27" s="2311"/>
      <c r="C27" s="1664"/>
      <c r="D27" s="1664"/>
      <c r="E27" s="1664"/>
      <c r="F27" s="1732">
        <f>SUM(C27+D27)-E27</f>
        <v>0</v>
      </c>
      <c r="G27" s="473"/>
    </row>
    <row r="28" spans="1:11" ht="7.5" customHeight="1" thickTop="1" x14ac:dyDescent="0.2">
      <c r="A28" s="489"/>
    </row>
    <row r="29" spans="1:11" ht="23.25" customHeight="1" x14ac:dyDescent="0.2">
      <c r="A29" s="2316" t="s">
        <v>577</v>
      </c>
      <c r="B29" s="2317"/>
      <c r="C29" s="591"/>
      <c r="D29" s="591"/>
      <c r="E29" s="591"/>
      <c r="F29" s="591"/>
      <c r="G29" s="591"/>
      <c r="H29" s="591"/>
      <c r="I29" s="591"/>
      <c r="J29" s="591"/>
    </row>
    <row r="30" spans="1:11" ht="33.75" x14ac:dyDescent="0.2">
      <c r="A30" s="1297" t="s">
        <v>1063</v>
      </c>
      <c r="B30" s="592" t="s">
        <v>1115</v>
      </c>
      <c r="C30" s="592" t="s">
        <v>578</v>
      </c>
      <c r="D30" s="592" t="s">
        <v>1656</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37070</v>
      </c>
      <c r="C31" s="1734">
        <v>13959975</v>
      </c>
      <c r="D31" s="1735">
        <v>7</v>
      </c>
      <c r="E31" s="1734">
        <v>2186448</v>
      </c>
      <c r="F31" s="1734"/>
      <c r="G31" s="1734"/>
      <c r="H31" s="1734">
        <v>1118416</v>
      </c>
      <c r="I31" s="1736">
        <f>((E31+F31)-H31)+G31</f>
        <v>1068032</v>
      </c>
      <c r="J31" s="1734">
        <v>1068032</v>
      </c>
      <c r="K31" s="596"/>
    </row>
    <row r="32" spans="1:11" ht="12" customHeight="1" x14ac:dyDescent="0.2">
      <c r="A32" s="594" t="s">
        <v>2074</v>
      </c>
      <c r="B32" s="595">
        <v>43909</v>
      </c>
      <c r="C32" s="1734">
        <v>7205000</v>
      </c>
      <c r="D32" s="1735">
        <v>3</v>
      </c>
      <c r="E32" s="1734"/>
      <c r="F32" s="1734">
        <v>7205000</v>
      </c>
      <c r="G32" s="1734"/>
      <c r="H32" s="1734"/>
      <c r="I32" s="1736">
        <f>((E32+F32)-H32)+G32</f>
        <v>7205000</v>
      </c>
      <c r="J32" s="1734">
        <v>7205000</v>
      </c>
      <c r="K32" s="596"/>
    </row>
    <row r="33" spans="1:11" ht="12" customHeight="1" x14ac:dyDescent="0.2">
      <c r="A33" s="594" t="s">
        <v>2066</v>
      </c>
      <c r="B33" s="595">
        <v>40235</v>
      </c>
      <c r="C33" s="1734">
        <v>5500000</v>
      </c>
      <c r="D33" s="1735">
        <v>1</v>
      </c>
      <c r="E33" s="1734">
        <v>5210000</v>
      </c>
      <c r="F33" s="1734"/>
      <c r="G33" s="1734">
        <v>-5210000</v>
      </c>
      <c r="H33" s="1734"/>
      <c r="I33" s="1736">
        <f t="shared" ref="I33:I48" si="1">((E33+F33)-H33)+G33</f>
        <v>0</v>
      </c>
      <c r="J33" s="1734"/>
      <c r="K33" s="596"/>
    </row>
    <row r="34" spans="1:11" ht="12" customHeight="1" x14ac:dyDescent="0.2">
      <c r="A34" s="594" t="s">
        <v>2067</v>
      </c>
      <c r="B34" s="595">
        <v>42792</v>
      </c>
      <c r="C34" s="1734">
        <v>6700000</v>
      </c>
      <c r="D34" s="1735">
        <v>3</v>
      </c>
      <c r="E34" s="1734">
        <v>3285000</v>
      </c>
      <c r="F34" s="1734"/>
      <c r="G34" s="1734">
        <v>-2525000</v>
      </c>
      <c r="H34" s="1734">
        <v>760000</v>
      </c>
      <c r="I34" s="1736">
        <f t="shared" si="1"/>
        <v>0</v>
      </c>
      <c r="J34" s="1734"/>
      <c r="K34" s="597"/>
    </row>
    <row r="35" spans="1:11" ht="12" customHeight="1" x14ac:dyDescent="0.2">
      <c r="A35" s="594" t="s">
        <v>2068</v>
      </c>
      <c r="B35" s="595">
        <v>40836</v>
      </c>
      <c r="C35" s="1737">
        <v>1990000</v>
      </c>
      <c r="D35" s="1735">
        <v>8</v>
      </c>
      <c r="E35" s="1737">
        <v>650000</v>
      </c>
      <c r="F35" s="1737"/>
      <c r="G35" s="1737"/>
      <c r="H35" s="1737">
        <v>210000</v>
      </c>
      <c r="I35" s="1736">
        <f t="shared" si="1"/>
        <v>440000</v>
      </c>
      <c r="J35" s="1737">
        <v>440000</v>
      </c>
      <c r="K35" s="597"/>
    </row>
    <row r="36" spans="1:11" ht="12" customHeight="1" x14ac:dyDescent="0.2">
      <c r="A36" s="594" t="s">
        <v>2067</v>
      </c>
      <c r="B36" s="595">
        <v>41263</v>
      </c>
      <c r="C36" s="1734">
        <v>7735000</v>
      </c>
      <c r="D36" s="1735">
        <v>3</v>
      </c>
      <c r="E36" s="1734">
        <v>7735000</v>
      </c>
      <c r="F36" s="1734"/>
      <c r="G36" s="1734"/>
      <c r="H36" s="1734"/>
      <c r="I36" s="1736">
        <f t="shared" si="1"/>
        <v>7735000</v>
      </c>
      <c r="J36" s="1734">
        <v>7735000</v>
      </c>
      <c r="K36" s="598"/>
    </row>
    <row r="37" spans="1:11" ht="12" customHeight="1" x14ac:dyDescent="0.2">
      <c r="A37" s="594" t="s">
        <v>2069</v>
      </c>
      <c r="B37" s="595">
        <v>41263</v>
      </c>
      <c r="C37" s="1574">
        <v>1520000</v>
      </c>
      <c r="D37" s="1738">
        <v>1</v>
      </c>
      <c r="E37" s="1574">
        <v>1335000</v>
      </c>
      <c r="F37" s="1574"/>
      <c r="G37" s="1574"/>
      <c r="H37" s="1574"/>
      <c r="I37" s="1736">
        <f t="shared" si="1"/>
        <v>1335000</v>
      </c>
      <c r="J37" s="1574">
        <v>1335000</v>
      </c>
      <c r="K37" s="597"/>
    </row>
    <row r="38" spans="1:11" ht="12" customHeight="1" x14ac:dyDescent="0.2">
      <c r="A38" s="594" t="s">
        <v>2067</v>
      </c>
      <c r="B38" s="595">
        <v>41361</v>
      </c>
      <c r="C38" s="1734">
        <v>5865000</v>
      </c>
      <c r="D38" s="1739">
        <v>3</v>
      </c>
      <c r="E38" s="1740">
        <v>5865000</v>
      </c>
      <c r="F38" s="1740"/>
      <c r="G38" s="1740"/>
      <c r="H38" s="1740"/>
      <c r="I38" s="1736">
        <f t="shared" si="1"/>
        <v>5865000</v>
      </c>
      <c r="J38" s="1741">
        <v>5865000</v>
      </c>
      <c r="K38" s="599"/>
    </row>
    <row r="39" spans="1:11" ht="12" customHeight="1" x14ac:dyDescent="0.2">
      <c r="A39" s="594" t="s">
        <v>2069</v>
      </c>
      <c r="B39" s="595">
        <v>41361</v>
      </c>
      <c r="C39" s="1734">
        <v>245000</v>
      </c>
      <c r="D39" s="1739">
        <v>1</v>
      </c>
      <c r="E39" s="1740">
        <v>245000</v>
      </c>
      <c r="F39" s="1740"/>
      <c r="G39" s="1740"/>
      <c r="H39" s="1740"/>
      <c r="I39" s="1736">
        <f t="shared" si="1"/>
        <v>245000</v>
      </c>
      <c r="J39" s="1741"/>
      <c r="K39" s="599"/>
    </row>
    <row r="40" spans="1:11" ht="12" customHeight="1" x14ac:dyDescent="0.2">
      <c r="A40" s="594" t="s">
        <v>2070</v>
      </c>
      <c r="B40" s="595">
        <v>42138</v>
      </c>
      <c r="C40" s="1734">
        <v>2925000</v>
      </c>
      <c r="D40" s="1739">
        <v>1</v>
      </c>
      <c r="E40" s="1740">
        <v>2925000</v>
      </c>
      <c r="F40" s="1740"/>
      <c r="G40" s="1740"/>
      <c r="H40" s="1740"/>
      <c r="I40" s="1736">
        <f t="shared" si="1"/>
        <v>2925000</v>
      </c>
      <c r="J40" s="1741">
        <v>2925000</v>
      </c>
      <c r="K40" s="599"/>
    </row>
    <row r="41" spans="1:11" ht="12" customHeight="1" x14ac:dyDescent="0.2">
      <c r="A41" s="594" t="s">
        <v>2070</v>
      </c>
      <c r="B41" s="595">
        <v>42138</v>
      </c>
      <c r="C41" s="1734">
        <v>1190000</v>
      </c>
      <c r="D41" s="1739">
        <v>6</v>
      </c>
      <c r="E41" s="1740">
        <v>1190000</v>
      </c>
      <c r="F41" s="1740"/>
      <c r="G41" s="1740"/>
      <c r="H41" s="1740"/>
      <c r="I41" s="1736">
        <f t="shared" si="1"/>
        <v>1190000</v>
      </c>
      <c r="J41" s="1741">
        <f>2+183572</f>
        <v>183574</v>
      </c>
      <c r="K41" s="599"/>
    </row>
    <row r="42" spans="1:11" ht="12" customHeight="1" x14ac:dyDescent="0.2">
      <c r="A42" s="594" t="s">
        <v>2071</v>
      </c>
      <c r="B42" s="595">
        <v>42109</v>
      </c>
      <c r="C42" s="1734">
        <v>1533349</v>
      </c>
      <c r="D42" s="1739">
        <v>9</v>
      </c>
      <c r="E42" s="1740">
        <v>950696</v>
      </c>
      <c r="F42" s="1740"/>
      <c r="G42" s="1740"/>
      <c r="H42" s="1740">
        <v>147601</v>
      </c>
      <c r="I42" s="1736">
        <f t="shared" si="1"/>
        <v>803095</v>
      </c>
      <c r="J42" s="1741"/>
      <c r="K42" s="599"/>
    </row>
    <row r="43" spans="1:11" ht="12" customHeight="1" x14ac:dyDescent="0.2">
      <c r="A43" s="594" t="s">
        <v>2072</v>
      </c>
      <c r="B43" s="595">
        <v>42873</v>
      </c>
      <c r="C43" s="1734">
        <v>106532</v>
      </c>
      <c r="D43" s="1739">
        <v>7</v>
      </c>
      <c r="E43" s="1740">
        <v>44922</v>
      </c>
      <c r="F43" s="1740"/>
      <c r="G43" s="1740">
        <v>-31973</v>
      </c>
      <c r="H43" s="1740">
        <v>12949</v>
      </c>
      <c r="I43" s="1736">
        <f t="shared" si="1"/>
        <v>0</v>
      </c>
      <c r="J43" s="1741"/>
      <c r="K43" s="599"/>
    </row>
    <row r="44" spans="1:11" ht="12" customHeight="1" x14ac:dyDescent="0.2">
      <c r="A44" s="594" t="s">
        <v>2075</v>
      </c>
      <c r="B44" s="595">
        <v>43808</v>
      </c>
      <c r="C44" s="1734">
        <v>176950</v>
      </c>
      <c r="D44" s="1735">
        <v>7</v>
      </c>
      <c r="E44" s="1734"/>
      <c r="F44" s="1734"/>
      <c r="G44" s="1734">
        <v>176950</v>
      </c>
      <c r="H44" s="1734"/>
      <c r="I44" s="1736">
        <f t="shared" si="1"/>
        <v>176950</v>
      </c>
      <c r="J44" s="1734"/>
      <c r="K44" s="597"/>
    </row>
    <row r="45" spans="1:11" ht="12" customHeight="1" x14ac:dyDescent="0.2">
      <c r="A45" s="594" t="s">
        <v>2073</v>
      </c>
      <c r="B45" s="595">
        <v>42551</v>
      </c>
      <c r="C45" s="1734">
        <v>565118</v>
      </c>
      <c r="D45" s="1735">
        <v>7</v>
      </c>
      <c r="E45" s="1734">
        <v>154210</v>
      </c>
      <c r="F45" s="1734"/>
      <c r="G45" s="1734">
        <v>-154210</v>
      </c>
      <c r="H45" s="1734"/>
      <c r="I45" s="1736">
        <f t="shared" si="1"/>
        <v>0</v>
      </c>
      <c r="J45" s="1734"/>
      <c r="K45" s="597"/>
    </row>
    <row r="46" spans="1:11" ht="12" customHeight="1" x14ac:dyDescent="0.2">
      <c r="A46" s="594" t="s">
        <v>2076</v>
      </c>
      <c r="B46" s="595">
        <v>43647</v>
      </c>
      <c r="C46" s="1734">
        <v>590133</v>
      </c>
      <c r="D46" s="1735">
        <v>7</v>
      </c>
      <c r="E46" s="1734"/>
      <c r="F46" s="1734"/>
      <c r="G46" s="1734">
        <v>590133</v>
      </c>
      <c r="H46" s="1734">
        <v>109357</v>
      </c>
      <c r="I46" s="1736">
        <f t="shared" si="1"/>
        <v>480776</v>
      </c>
      <c r="J46" s="1734"/>
      <c r="K46" s="597"/>
    </row>
    <row r="47" spans="1:11" ht="12" customHeight="1" x14ac:dyDescent="0.2">
      <c r="A47" s="594" t="s">
        <v>2077</v>
      </c>
      <c r="B47" s="595">
        <v>43796</v>
      </c>
      <c r="C47" s="1737">
        <v>134732</v>
      </c>
      <c r="D47" s="1735">
        <v>7</v>
      </c>
      <c r="E47" s="1737"/>
      <c r="F47" s="1737"/>
      <c r="G47" s="1737">
        <f>2+134732</f>
        <v>134734</v>
      </c>
      <c r="H47" s="1737">
        <v>14368</v>
      </c>
      <c r="I47" s="1736">
        <f t="shared" si="1"/>
        <v>120366</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57941789</v>
      </c>
      <c r="D49" s="1742"/>
      <c r="E49" s="1736">
        <f t="shared" ref="E49:J49" si="2">SUM(E31:E48)</f>
        <v>31776276</v>
      </c>
      <c r="F49" s="1736">
        <f t="shared" si="2"/>
        <v>7205000</v>
      </c>
      <c r="G49" s="1736">
        <f t="shared" si="2"/>
        <v>-7019366</v>
      </c>
      <c r="H49" s="1736">
        <f t="shared" si="2"/>
        <v>2372691</v>
      </c>
      <c r="I49" s="1736">
        <f t="shared" si="2"/>
        <v>29589219</v>
      </c>
      <c r="J49" s="1736">
        <f t="shared" si="2"/>
        <v>26756606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9" t="s">
        <v>579</v>
      </c>
      <c r="C52" s="2300"/>
      <c r="D52" s="2300"/>
      <c r="E52" s="603" t="s">
        <v>839</v>
      </c>
      <c r="F52" s="2301" t="s">
        <v>2078</v>
      </c>
      <c r="G52" s="2302"/>
      <c r="H52" s="596"/>
      <c r="I52" s="596"/>
      <c r="J52" s="600"/>
    </row>
    <row r="53" spans="1:11" ht="11.25" customHeight="1" x14ac:dyDescent="0.2">
      <c r="A53" s="604" t="s">
        <v>906</v>
      </c>
      <c r="B53" s="605" t="s">
        <v>944</v>
      </c>
      <c r="C53" s="600"/>
      <c r="D53" s="597"/>
      <c r="E53" s="603" t="s">
        <v>493</v>
      </c>
      <c r="F53" s="2303" t="s">
        <v>2079</v>
      </c>
      <c r="G53" s="2304"/>
      <c r="H53" s="596"/>
      <c r="I53" s="596"/>
      <c r="J53" s="600"/>
    </row>
    <row r="54" spans="1:11" ht="11.25" customHeight="1" x14ac:dyDescent="0.2">
      <c r="A54" s="606" t="s">
        <v>907</v>
      </c>
      <c r="B54" s="601" t="s">
        <v>945</v>
      </c>
      <c r="C54" s="600"/>
      <c r="D54" s="597"/>
      <c r="E54" s="603" t="s">
        <v>494</v>
      </c>
      <c r="F54" s="2303" t="s">
        <v>2071</v>
      </c>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31"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8"/>
      <c r="I1" s="614"/>
      <c r="J1" s="400"/>
    </row>
    <row r="2" spans="1:11" ht="26.25" x14ac:dyDescent="0.2">
      <c r="A2" s="2347" t="s">
        <v>1660</v>
      </c>
      <c r="B2" s="2348"/>
      <c r="C2" s="2348"/>
      <c r="D2" s="2348"/>
      <c r="E2" s="2349"/>
      <c r="F2" s="615" t="s">
        <v>897</v>
      </c>
      <c r="G2" s="616" t="s">
        <v>1657</v>
      </c>
      <c r="H2" s="616" t="s">
        <v>406</v>
      </c>
      <c r="I2" s="616" t="s">
        <v>1149</v>
      </c>
      <c r="J2" s="616" t="s">
        <v>1788</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c r="K3" s="1745"/>
    </row>
    <row r="4" spans="1:11" x14ac:dyDescent="0.2">
      <c r="A4" s="2353" t="s">
        <v>365</v>
      </c>
      <c r="B4" s="2354"/>
      <c r="C4" s="2354"/>
      <c r="D4" s="2354"/>
      <c r="E4" s="2300"/>
      <c r="F4" s="620"/>
      <c r="G4" s="1746"/>
      <c r="H4" s="1747"/>
      <c r="I4" s="1746"/>
      <c r="J4" s="1748"/>
      <c r="K4" s="1748"/>
    </row>
    <row r="5" spans="1:11" x14ac:dyDescent="0.2">
      <c r="A5" s="2331" t="s">
        <v>1061</v>
      </c>
      <c r="B5" s="2332"/>
      <c r="C5" s="2332"/>
      <c r="D5" s="2332"/>
      <c r="E5" s="2333"/>
      <c r="F5" s="622" t="s">
        <v>842</v>
      </c>
      <c r="G5" s="1749"/>
      <c r="H5" s="1744">
        <v>1020493</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31" t="s">
        <v>1789</v>
      </c>
      <c r="B10" s="2332"/>
      <c r="C10" s="2332"/>
      <c r="D10" s="2332"/>
      <c r="E10" s="2334"/>
      <c r="F10" s="633" t="s">
        <v>856</v>
      </c>
      <c r="G10" s="1753"/>
      <c r="H10" s="1754"/>
      <c r="I10" s="1744"/>
      <c r="J10" s="1745"/>
      <c r="K10" s="1745"/>
    </row>
    <row r="11" spans="1:11" x14ac:dyDescent="0.2">
      <c r="A11" s="2331" t="s">
        <v>159</v>
      </c>
      <c r="B11" s="2332"/>
      <c r="C11" s="2332"/>
      <c r="D11" s="2332"/>
      <c r="E11" s="2333"/>
      <c r="F11" s="622" t="s">
        <v>846</v>
      </c>
      <c r="G11" s="1749"/>
      <c r="H11" s="1744"/>
      <c r="I11" s="1744"/>
      <c r="J11" s="1745"/>
      <c r="K11" s="1751"/>
    </row>
    <row r="12" spans="1:11" ht="13.5" thickBot="1" x14ac:dyDescent="0.25">
      <c r="A12" s="2358" t="s">
        <v>898</v>
      </c>
      <c r="B12" s="2359"/>
      <c r="C12" s="2359"/>
      <c r="D12" s="2359"/>
      <c r="E12" s="2360"/>
      <c r="F12" s="1433"/>
      <c r="G12" s="1755">
        <f>SUM(G5:G11)</f>
        <v>0</v>
      </c>
      <c r="H12" s="1755">
        <f>SUM(H5:H11)</f>
        <v>1020493</v>
      </c>
      <c r="I12" s="1755">
        <f>SUM(I5:I11)</f>
        <v>0</v>
      </c>
      <c r="J12" s="1755">
        <f>SUM(J5:J11)</f>
        <v>0</v>
      </c>
      <c r="K12" s="1755">
        <f>SUM(K5:K11)</f>
        <v>0</v>
      </c>
    </row>
    <row r="13" spans="1:11" ht="13.5" thickTop="1" x14ac:dyDescent="0.2">
      <c r="A13" s="2355" t="s">
        <v>366</v>
      </c>
      <c r="B13" s="2356"/>
      <c r="C13" s="2356"/>
      <c r="D13" s="2356"/>
      <c r="E13" s="2357"/>
      <c r="F13" s="634"/>
      <c r="G13" s="1756"/>
      <c r="H13" s="1757"/>
      <c r="I13" s="1758"/>
      <c r="J13" s="1758"/>
      <c r="K13" s="1758"/>
    </row>
    <row r="14" spans="1:11" x14ac:dyDescent="0.2">
      <c r="A14" s="2338" t="s">
        <v>452</v>
      </c>
      <c r="B14" s="2338"/>
      <c r="C14" s="2338"/>
      <c r="D14" s="2338"/>
      <c r="E14" s="2339"/>
      <c r="F14" s="635" t="s">
        <v>848</v>
      </c>
      <c r="G14" s="1753"/>
      <c r="H14" s="1744">
        <v>1020493</v>
      </c>
      <c r="I14" s="1749"/>
      <c r="J14" s="1751"/>
      <c r="K14" s="1745"/>
    </row>
    <row r="15" spans="1:11" x14ac:dyDescent="0.2">
      <c r="A15" s="2332" t="s">
        <v>4</v>
      </c>
      <c r="B15" s="2332"/>
      <c r="C15" s="2332"/>
      <c r="D15" s="2332"/>
      <c r="E15" s="2333"/>
      <c r="F15" s="635" t="s">
        <v>849</v>
      </c>
      <c r="G15" s="1749"/>
      <c r="H15" s="1744"/>
      <c r="I15" s="1744"/>
      <c r="J15" s="1745"/>
      <c r="K15" s="1745"/>
    </row>
    <row r="16" spans="1:11" x14ac:dyDescent="0.2">
      <c r="A16" s="2332" t="s">
        <v>294</v>
      </c>
      <c r="B16" s="2332"/>
      <c r="C16" s="2332"/>
      <c r="D16" s="2332"/>
      <c r="E16" s="2333"/>
      <c r="F16" s="635" t="s">
        <v>916</v>
      </c>
      <c r="G16" s="1750"/>
      <c r="H16" s="1746"/>
      <c r="I16" s="1746"/>
      <c r="J16" s="1748"/>
      <c r="K16" s="1748"/>
    </row>
    <row r="17" spans="1:15" x14ac:dyDescent="0.2">
      <c r="A17" s="2365" t="s">
        <v>928</v>
      </c>
      <c r="B17" s="2365"/>
      <c r="C17" s="2365"/>
      <c r="D17" s="2365"/>
      <c r="E17" s="2366"/>
      <c r="F17" s="636"/>
      <c r="G17" s="1759"/>
      <c r="H17" s="1760"/>
      <c r="I17" s="1760"/>
      <c r="J17" s="1761"/>
      <c r="K17" s="1762"/>
    </row>
    <row r="18" spans="1:15" x14ac:dyDescent="0.2">
      <c r="A18" s="2342" t="s">
        <v>364</v>
      </c>
      <c r="B18" s="2343"/>
      <c r="C18" s="2343"/>
      <c r="D18" s="2343"/>
      <c r="E18" s="2344"/>
      <c r="F18" s="635" t="s">
        <v>925</v>
      </c>
      <c r="G18" s="1753"/>
      <c r="H18" s="1753"/>
      <c r="I18" s="1753"/>
      <c r="J18" s="1745"/>
      <c r="K18" s="1763"/>
    </row>
    <row r="19" spans="1:15" ht="21.75" customHeight="1" x14ac:dyDescent="0.2">
      <c r="A19" s="2340" t="s">
        <v>1785</v>
      </c>
      <c r="B19" s="2340"/>
      <c r="C19" s="2340"/>
      <c r="D19" s="2340"/>
      <c r="E19" s="2341"/>
      <c r="F19" s="635" t="s">
        <v>926</v>
      </c>
      <c r="G19" s="1753"/>
      <c r="H19" s="1753"/>
      <c r="I19" s="1753"/>
      <c r="J19" s="1745"/>
      <c r="K19" s="1763"/>
    </row>
    <row r="20" spans="1:15" x14ac:dyDescent="0.2">
      <c r="A20" s="2342" t="s">
        <v>1790</v>
      </c>
      <c r="B20" s="2343"/>
      <c r="C20" s="2343"/>
      <c r="D20" s="2343"/>
      <c r="E20" s="2344"/>
      <c r="F20" s="635" t="s">
        <v>927</v>
      </c>
      <c r="G20" s="1753"/>
      <c r="H20" s="1753"/>
      <c r="I20" s="1753"/>
      <c r="J20" s="1745"/>
      <c r="K20" s="1763"/>
    </row>
    <row r="21" spans="1:15" ht="13.5" thickBot="1" x14ac:dyDescent="0.25">
      <c r="A21" s="2361" t="s">
        <v>632</v>
      </c>
      <c r="B21" s="2361"/>
      <c r="C21" s="2361"/>
      <c r="D21" s="2361"/>
      <c r="E21" s="2361"/>
      <c r="F21" s="1434"/>
      <c r="G21" s="1760"/>
      <c r="H21" s="1764"/>
      <c r="I21" s="1764"/>
      <c r="J21" s="1765">
        <f>SUM(J18:J20)</f>
        <v>0</v>
      </c>
      <c r="K21" s="1761"/>
    </row>
    <row r="22" spans="1:15" ht="13.5" thickTop="1" x14ac:dyDescent="0.2">
      <c r="A22" s="2332" t="s">
        <v>1791</v>
      </c>
      <c r="B22" s="2332"/>
      <c r="C22" s="2332"/>
      <c r="D22" s="2332"/>
      <c r="E22" s="2333"/>
      <c r="F22" s="635" t="s">
        <v>856</v>
      </c>
      <c r="G22" s="1753"/>
      <c r="H22" s="1744"/>
      <c r="I22" s="1744"/>
      <c r="J22" s="1766"/>
      <c r="K22" s="1745"/>
    </row>
    <row r="23" spans="1:15" ht="13.5" thickBot="1" x14ac:dyDescent="0.25">
      <c r="A23" s="2362" t="s">
        <v>899</v>
      </c>
      <c r="B23" s="2361"/>
      <c r="C23" s="2361"/>
      <c r="D23" s="2361"/>
      <c r="E23" s="2361"/>
      <c r="F23" s="1436"/>
      <c r="G23" s="1755">
        <f>SUM(G14:G16,G21,G22)</f>
        <v>0</v>
      </c>
      <c r="H23" s="1755">
        <f>SUM(H14:H16,H21,H22)</f>
        <v>1020493</v>
      </c>
      <c r="I23" s="1755">
        <f>SUM(I14:I16,I21,I22)</f>
        <v>0</v>
      </c>
      <c r="J23" s="1755">
        <f>SUM(J14:J16,J21,J22)</f>
        <v>0</v>
      </c>
      <c r="K23" s="1755">
        <f>SUM(K14:K16,K21,K22)</f>
        <v>0</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5"/>
      <c r="I31" s="2336"/>
      <c r="J31" s="2336"/>
      <c r="K31" s="2336"/>
    </row>
    <row r="32" spans="1:15" x14ac:dyDescent="0.2">
      <c r="A32" s="649"/>
      <c r="B32" s="232"/>
      <c r="C32" s="232"/>
      <c r="D32" s="232"/>
      <c r="E32" s="645"/>
      <c r="F32" s="651" t="s">
        <v>536</v>
      </c>
      <c r="G32" s="618"/>
      <c r="H32" s="2337"/>
      <c r="I32" s="2336"/>
      <c r="J32" s="2336"/>
      <c r="K32" s="2336"/>
    </row>
    <row r="33" spans="1:11" ht="1.5" customHeight="1" x14ac:dyDescent="0.2">
      <c r="A33" s="652" t="s">
        <v>1160</v>
      </c>
      <c r="B33" s="341"/>
      <c r="C33" s="341"/>
      <c r="D33" s="341"/>
      <c r="E33" s="341"/>
      <c r="F33" s="341"/>
      <c r="G33" s="653"/>
      <c r="H33" s="2337"/>
      <c r="I33" s="2336"/>
      <c r="J33" s="2336"/>
      <c r="K33" s="233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2" t="s">
        <v>537</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1658</v>
      </c>
    </row>
    <row r="47" spans="1:11" s="663" customFormat="1" ht="12.75" customHeight="1" x14ac:dyDescent="0.2">
      <c r="A47" s="661"/>
      <c r="B47" s="662" t="s">
        <v>1659</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1871</v>
      </c>
      <c r="B1" s="2370"/>
      <c r="C1" s="2371"/>
      <c r="D1" s="666"/>
      <c r="E1" s="667"/>
      <c r="F1" s="667"/>
      <c r="G1" s="668"/>
      <c r="H1" s="669"/>
      <c r="I1" s="670"/>
      <c r="J1" s="2367"/>
      <c r="K1" s="2368"/>
      <c r="L1" s="2368"/>
    </row>
    <row r="2" spans="1:14" ht="69.75" customHeight="1" x14ac:dyDescent="0.2">
      <c r="A2" s="671" t="s">
        <v>1661</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767294</v>
      </c>
      <c r="D5" s="1770"/>
      <c r="E5" s="1770"/>
      <c r="F5" s="1765">
        <f>(C5+D5)-E5</f>
        <v>767294</v>
      </c>
      <c r="G5" s="676"/>
      <c r="H5" s="680"/>
      <c r="I5" s="680"/>
      <c r="J5" s="680"/>
      <c r="K5" s="637"/>
      <c r="L5" s="1442">
        <f>F5-K5</f>
        <v>767294</v>
      </c>
    </row>
    <row r="6" spans="1:14" ht="14.25" thickTop="1" thickBot="1" x14ac:dyDescent="0.25">
      <c r="A6" s="629" t="s">
        <v>1108</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1109</v>
      </c>
      <c r="B8" s="679">
        <v>231</v>
      </c>
      <c r="C8" s="1771">
        <v>58606022</v>
      </c>
      <c r="D8" s="1771"/>
      <c r="E8" s="1771"/>
      <c r="F8" s="1765">
        <f>(C8+D8)-E8</f>
        <v>58606022</v>
      </c>
      <c r="G8" s="681">
        <v>50</v>
      </c>
      <c r="H8" s="619">
        <v>20860640</v>
      </c>
      <c r="I8" s="619">
        <v>1179693</v>
      </c>
      <c r="J8" s="619"/>
      <c r="K8" s="1442">
        <f>(H8+I8)-J8</f>
        <v>22040333</v>
      </c>
      <c r="L8" s="1442">
        <f>F8-K8</f>
        <v>36565689</v>
      </c>
    </row>
    <row r="9" spans="1:14" ht="14.25" thickTop="1" thickBot="1" x14ac:dyDescent="0.25">
      <c r="A9" s="629" t="s">
        <v>1110</v>
      </c>
      <c r="B9" s="679">
        <v>232</v>
      </c>
      <c r="C9" s="1745"/>
      <c r="D9" s="1745"/>
      <c r="E9" s="1745"/>
      <c r="F9" s="1765">
        <f>(C9+D9)-E9</f>
        <v>0</v>
      </c>
      <c r="G9" s="681">
        <v>20</v>
      </c>
      <c r="H9" s="619"/>
      <c r="I9" s="619"/>
      <c r="J9" s="619"/>
      <c r="K9" s="1442">
        <f>(H9+I9)-J9</f>
        <v>0</v>
      </c>
      <c r="L9" s="1442">
        <f>F9-K9</f>
        <v>0</v>
      </c>
    </row>
    <row r="10" spans="1:14" ht="24" thickTop="1" thickBot="1" x14ac:dyDescent="0.25">
      <c r="A10" s="682" t="s">
        <v>1111</v>
      </c>
      <c r="B10" s="679">
        <v>240</v>
      </c>
      <c r="C10" s="1772">
        <v>1981511</v>
      </c>
      <c r="D10" s="1772">
        <v>174968</v>
      </c>
      <c r="E10" s="1772"/>
      <c r="F10" s="1773">
        <f>(C10+D10)-E10</f>
        <v>2156479</v>
      </c>
      <c r="G10" s="681">
        <v>20</v>
      </c>
      <c r="H10" s="683">
        <v>1690380</v>
      </c>
      <c r="I10" s="683"/>
      <c r="J10" s="683"/>
      <c r="K10" s="1442">
        <f>(H10+I10)-J10</f>
        <v>1690380</v>
      </c>
      <c r="L10" s="1442">
        <f>F10-K10</f>
        <v>466099</v>
      </c>
    </row>
    <row r="11" spans="1:14" ht="13.5" thickTop="1" x14ac:dyDescent="0.2">
      <c r="A11" s="1367" t="s">
        <v>1127</v>
      </c>
      <c r="B11" s="1365">
        <v>250</v>
      </c>
      <c r="C11" s="1752"/>
      <c r="D11" s="1752"/>
      <c r="E11" s="1752"/>
      <c r="F11" s="1751"/>
      <c r="G11" s="681"/>
      <c r="H11" s="632"/>
      <c r="I11" s="632"/>
      <c r="J11" s="632"/>
      <c r="K11" s="624"/>
      <c r="L11" s="624"/>
    </row>
    <row r="12" spans="1:14" ht="13.5" thickBot="1" x14ac:dyDescent="0.25">
      <c r="A12" s="684" t="s">
        <v>1112</v>
      </c>
      <c r="B12" s="679">
        <v>251</v>
      </c>
      <c r="C12" s="1771">
        <v>3134794</v>
      </c>
      <c r="D12" s="1771">
        <v>242444</v>
      </c>
      <c r="E12" s="1771"/>
      <c r="F12" s="1765">
        <f>(C12+D12)-E12</f>
        <v>3377238</v>
      </c>
      <c r="G12" s="681">
        <v>10</v>
      </c>
      <c r="H12" s="619">
        <v>1989685</v>
      </c>
      <c r="I12" s="619">
        <v>187554</v>
      </c>
      <c r="J12" s="619"/>
      <c r="K12" s="1442">
        <f>(H12+I12)-J12</f>
        <v>2177239</v>
      </c>
      <c r="L12" s="1442">
        <f>F12-K12</f>
        <v>1199999</v>
      </c>
    </row>
    <row r="13" spans="1:14" ht="14.25" thickTop="1" thickBot="1" x14ac:dyDescent="0.25">
      <c r="A13" s="684" t="s">
        <v>1113</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1114</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64489621</v>
      </c>
      <c r="D16" s="1765">
        <f>SUM(D3,D5:D6,D8:D10,D12:D15)</f>
        <v>417412</v>
      </c>
      <c r="E16" s="1765">
        <f>SUM(E3,E5:E6,E8:E10,E12:E15)</f>
        <v>0</v>
      </c>
      <c r="F16" s="1765">
        <f>SUM(F3,F5:F6,F8:F10,F12:F15)</f>
        <v>64907033</v>
      </c>
      <c r="G16" s="681"/>
      <c r="H16" s="1435">
        <f>SUM(H3,H6,H8:H10,H12:H14,)</f>
        <v>24540705</v>
      </c>
      <c r="I16" s="1435">
        <f>SUM(I3,I6,I8:I10,I12:I14,)</f>
        <v>1367247</v>
      </c>
      <c r="J16" s="1435">
        <f>SUM(J3,J6,J8:J10,J12:J14,)</f>
        <v>0</v>
      </c>
      <c r="K16" s="1435">
        <f>(H16+I16)-J16</f>
        <v>25907952</v>
      </c>
      <c r="L16" s="1435">
        <f>F16-K16</f>
        <v>38999081</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768101</v>
      </c>
      <c r="G17" s="676">
        <v>10</v>
      </c>
      <c r="H17" s="621"/>
      <c r="I17" s="1442">
        <f>F17/G17</f>
        <v>76810.100000000006</v>
      </c>
      <c r="J17" s="621"/>
      <c r="K17" s="638"/>
      <c r="L17" s="638"/>
    </row>
    <row r="18" spans="1:12" ht="14.25" thickTop="1" thickBot="1" x14ac:dyDescent="0.25">
      <c r="A18" s="1440" t="s">
        <v>679</v>
      </c>
      <c r="B18" s="1441"/>
      <c r="C18" s="623"/>
      <c r="D18" s="623"/>
      <c r="E18" s="623"/>
      <c r="F18" s="686"/>
      <c r="G18" s="687"/>
      <c r="H18" s="624"/>
      <c r="I18" s="1435">
        <f>SUM(I16,I17)</f>
        <v>1444057.1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0" sqref="F1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473</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1"/>
      <c r="B5" s="2382"/>
      <c r="C5" s="2382"/>
      <c r="D5" s="2382"/>
      <c r="E5" s="2382"/>
      <c r="F5" s="2382"/>
    </row>
    <row r="6" spans="1:9" ht="13.5" customHeight="1" thickBot="1" x14ac:dyDescent="0.25">
      <c r="A6" s="2372" t="s">
        <v>1096</v>
      </c>
      <c r="B6" s="2373"/>
      <c r="C6" s="2373"/>
      <c r="D6" s="2373"/>
      <c r="E6" s="2373"/>
      <c r="F6" s="237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4">
        <f>'Expenditures 15-22'!K114</f>
        <v>34549699</v>
      </c>
      <c r="G8" s="701"/>
    </row>
    <row r="9" spans="1:9" x14ac:dyDescent="0.2">
      <c r="A9" s="705" t="s">
        <v>456</v>
      </c>
      <c r="B9" s="706" t="s">
        <v>1844</v>
      </c>
      <c r="C9" s="707"/>
      <c r="D9" s="705" t="s">
        <v>497</v>
      </c>
      <c r="E9" s="704"/>
      <c r="F9" s="1775">
        <f>'Expenditures 15-22'!K151</f>
        <v>3985771</v>
      </c>
      <c r="G9" s="708"/>
    </row>
    <row r="10" spans="1:9" x14ac:dyDescent="0.2">
      <c r="A10" s="705" t="s">
        <v>495</v>
      </c>
      <c r="B10" s="706" t="s">
        <v>1845</v>
      </c>
      <c r="C10" s="707"/>
      <c r="D10" s="705" t="s">
        <v>497</v>
      </c>
      <c r="E10" s="704"/>
      <c r="F10" s="1775">
        <f>'Expenditures 15-22'!K174</f>
        <v>5365062</v>
      </c>
      <c r="G10" s="708"/>
    </row>
    <row r="11" spans="1:9" x14ac:dyDescent="0.2">
      <c r="A11" s="705" t="s">
        <v>457</v>
      </c>
      <c r="B11" s="706" t="s">
        <v>1846</v>
      </c>
      <c r="C11" s="707"/>
      <c r="D11" s="705" t="s">
        <v>497</v>
      </c>
      <c r="E11" s="704"/>
      <c r="F11" s="1775">
        <f>'Expenditures 15-22'!K210</f>
        <v>1176977</v>
      </c>
      <c r="G11" s="708"/>
    </row>
    <row r="12" spans="1:9" x14ac:dyDescent="0.2">
      <c r="A12" s="705" t="s">
        <v>458</v>
      </c>
      <c r="B12" s="706" t="s">
        <v>1847</v>
      </c>
      <c r="C12" s="707"/>
      <c r="D12" s="705" t="s">
        <v>497</v>
      </c>
      <c r="E12" s="704"/>
      <c r="F12" s="1775">
        <f>'Expenditures 15-22'!K295</f>
        <v>1120324</v>
      </c>
      <c r="G12" s="708"/>
    </row>
    <row r="13" spans="1:9" x14ac:dyDescent="0.2">
      <c r="A13" s="705" t="s">
        <v>106</v>
      </c>
      <c r="B13" s="706" t="s">
        <v>1848</v>
      </c>
      <c r="C13" s="707"/>
      <c r="D13" s="705" t="s">
        <v>497</v>
      </c>
      <c r="E13" s="704"/>
      <c r="F13" s="1775">
        <f>'Expenditures 15-22'!K342</f>
        <v>251910</v>
      </c>
      <c r="G13" s="709"/>
    </row>
    <row r="14" spans="1:9" ht="12" customHeight="1" thickBot="1" x14ac:dyDescent="0.25">
      <c r="A14" s="1443"/>
      <c r="B14" s="1444"/>
      <c r="C14" s="1445"/>
      <c r="D14" s="1446" t="s">
        <v>497</v>
      </c>
      <c r="E14" s="1447" t="s">
        <v>951</v>
      </c>
      <c r="F14" s="1776">
        <f>SUM(F8:F13)</f>
        <v>46449743</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-20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1089</v>
      </c>
      <c r="B29" s="706" t="s">
        <v>804</v>
      </c>
      <c r="C29" s="716">
        <f>'Revenues 9-14'!B149</f>
        <v>3410</v>
      </c>
      <c r="D29" s="717" t="str">
        <f>'Revenues 9-14'!A149</f>
        <v>Adult Ed (from ICCB)</v>
      </c>
      <c r="E29" s="704"/>
      <c r="F29" s="1782">
        <f>SUM('Revenues 9-14'!D149,'Revenues 9-14'!F149)</f>
        <v>0</v>
      </c>
      <c r="G29" s="701"/>
    </row>
    <row r="30" spans="1:7" x14ac:dyDescent="0.2">
      <c r="A30" s="705" t="s">
        <v>1089</v>
      </c>
      <c r="B30" s="706" t="s">
        <v>1902</v>
      </c>
      <c r="C30" s="716">
        <f>'Revenues 9-14'!B150</f>
        <v>3499</v>
      </c>
      <c r="D30" s="717" t="str">
        <f>'Revenues 9-14'!A150</f>
        <v>Adult Ed - Other (Describe &amp; Itemize)</v>
      </c>
      <c r="E30" s="704"/>
      <c r="F30" s="1783">
        <f>('Revenues 9-14'!D150+'Revenues 9-14'!F150)</f>
        <v>0</v>
      </c>
      <c r="G30" s="701"/>
    </row>
    <row r="31" spans="1:7" x14ac:dyDescent="0.2">
      <c r="A31" s="705" t="s">
        <v>1089</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1089</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1454</v>
      </c>
      <c r="C34" s="721" t="str">
        <f>'Expenditures 15-22'!B7</f>
        <v>1125</v>
      </c>
      <c r="D34" s="722" t="str">
        <f>'Expenditures 15-22'!A7</f>
        <v>Pre-K Programs</v>
      </c>
      <c r="E34" s="704"/>
      <c r="F34" s="1782">
        <f>'Expenditures 15-22'!K7-SUM('Expenditures 15-22'!G7,'Expenditures 15-22'!I7)</f>
        <v>326917</v>
      </c>
      <c r="G34" s="701"/>
    </row>
    <row r="35" spans="1:7" x14ac:dyDescent="0.2">
      <c r="A35" s="705" t="s">
        <v>455</v>
      </c>
      <c r="B35" s="705" t="s">
        <v>1455</v>
      </c>
      <c r="C35" s="721" t="str">
        <f>'Expenditures 15-22'!B9</f>
        <v>1225</v>
      </c>
      <c r="D35" s="722" t="str">
        <f>'Expenditures 15-22'!A9</f>
        <v>Special Education Programs Pre-K</v>
      </c>
      <c r="E35" s="704"/>
      <c r="F35" s="1782">
        <f>'Expenditures 15-22'!K9-SUM('Expenditures 15-22'!G9+'Expenditures 15-22'!I9)</f>
        <v>69853</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2">
        <f>'Expenditures 15-22'!K15-SUM('Expenditures 15-22'!G15,'Expenditures 15-22'!I15)</f>
        <v>78943</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1459</v>
      </c>
      <c r="C52" s="724" t="str">
        <f>'Expenditures 15-22'!B75</f>
        <v>3000</v>
      </c>
      <c r="D52" s="723" t="s">
        <v>445</v>
      </c>
      <c r="E52" s="704"/>
      <c r="F52" s="1782">
        <f>'Expenditures 15-22'!K75-SUM('Expenditures 15-22'!G75,'Expenditures 15-22'!I75)</f>
        <v>117103</v>
      </c>
      <c r="G52" s="701"/>
    </row>
    <row r="53" spans="1:7" x14ac:dyDescent="0.2">
      <c r="A53" s="705" t="s">
        <v>455</v>
      </c>
      <c r="B53" s="705" t="s">
        <v>1460</v>
      </c>
      <c r="C53" s="724">
        <f>'Expenditures 15-22'!B102</f>
        <v>4000</v>
      </c>
      <c r="D53" s="723" t="str">
        <f>'Expenditures 15-22'!A102</f>
        <v>Total Payments to Other Govt Units</v>
      </c>
      <c r="E53" s="704"/>
      <c r="F53" s="1782">
        <f>'Expenditures 15-22'!K102</f>
        <v>1383871</v>
      </c>
      <c r="G53" s="701"/>
    </row>
    <row r="54" spans="1:7" x14ac:dyDescent="0.2">
      <c r="A54" s="705" t="s">
        <v>455</v>
      </c>
      <c r="B54" s="705" t="s">
        <v>1461</v>
      </c>
      <c r="C54" s="724" t="s">
        <v>974</v>
      </c>
      <c r="D54" s="720" t="s">
        <v>1087</v>
      </c>
      <c r="E54" s="704"/>
      <c r="F54" s="1782">
        <f>'Expenditures 15-22'!G114</f>
        <v>176950</v>
      </c>
      <c r="G54" s="701"/>
    </row>
    <row r="55" spans="1:7" x14ac:dyDescent="0.2">
      <c r="A55" s="705" t="s">
        <v>455</v>
      </c>
      <c r="B55" s="705" t="s">
        <v>1462</v>
      </c>
      <c r="C55" s="724" t="s">
        <v>974</v>
      </c>
      <c r="D55" s="720" t="s">
        <v>287</v>
      </c>
      <c r="E55" s="704"/>
      <c r="F55" s="1782">
        <f>'Expenditures 15-22'!I114</f>
        <v>715912</v>
      </c>
      <c r="G55" s="701"/>
    </row>
    <row r="56" spans="1:7" x14ac:dyDescent="0.2">
      <c r="A56" s="705" t="s">
        <v>456</v>
      </c>
      <c r="B56" s="705" t="s">
        <v>1463</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1087</v>
      </c>
      <c r="E58" s="704"/>
      <c r="F58" s="1784">
        <f>'Expenditures 15-22'!G151</f>
        <v>1142277</v>
      </c>
      <c r="G58" s="701"/>
    </row>
    <row r="59" spans="1:7" x14ac:dyDescent="0.2">
      <c r="A59" s="728" t="s">
        <v>456</v>
      </c>
      <c r="B59" s="692" t="s">
        <v>1851</v>
      </c>
      <c r="C59" s="729" t="s">
        <v>974</v>
      </c>
      <c r="D59" s="692" t="s">
        <v>287</v>
      </c>
      <c r="F59" s="1785">
        <f>'Expenditures 15-22'!I151</f>
        <v>52189</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2372691</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0</v>
      </c>
      <c r="G64" s="701"/>
    </row>
    <row r="65" spans="1:9" x14ac:dyDescent="0.2">
      <c r="A65" s="705" t="s">
        <v>457</v>
      </c>
      <c r="B65" s="705" t="s">
        <v>1857</v>
      </c>
      <c r="C65" s="721" t="s">
        <v>974</v>
      </c>
      <c r="D65" s="720" t="s">
        <v>1087</v>
      </c>
      <c r="E65" s="704"/>
      <c r="F65" s="1782">
        <f>'Expenditures 15-22'!G210</f>
        <v>0</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4142</v>
      </c>
      <c r="G67" s="701"/>
    </row>
    <row r="68" spans="1:9" x14ac:dyDescent="0.2">
      <c r="A68" s="705" t="s">
        <v>458</v>
      </c>
      <c r="B68" s="705" t="s">
        <v>1464</v>
      </c>
      <c r="C68" s="721" t="str">
        <f>'Expenditures 15-22'!B218</f>
        <v>1225</v>
      </c>
      <c r="D68" s="727" t="str">
        <f>'Expenditures 15-22'!A218</f>
        <v>Special Education Programs - Pre-K</v>
      </c>
      <c r="E68" s="704"/>
      <c r="F68" s="1782">
        <f>'Expenditures 15-22'!K218</f>
        <v>11910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2922</v>
      </c>
      <c r="G71" s="701"/>
    </row>
    <row r="72" spans="1:9" x14ac:dyDescent="0.2">
      <c r="A72" s="705" t="s">
        <v>458</v>
      </c>
      <c r="B72" s="705" t="s">
        <v>1863</v>
      </c>
      <c r="C72" s="721">
        <f>'Expenditures 15-22'!B280</f>
        <v>3000</v>
      </c>
      <c r="D72" s="712" t="s">
        <v>445</v>
      </c>
      <c r="E72" s="704"/>
      <c r="F72" s="1782">
        <f>'Expenditures 15-22'!K280</f>
        <v>14704</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1472</v>
      </c>
      <c r="E74" s="704"/>
      <c r="F74" s="1786">
        <f>'Expenditures 15-22'!K334</f>
        <v>0</v>
      </c>
      <c r="G74" s="701"/>
    </row>
    <row r="75" spans="1:9" x14ac:dyDescent="0.2">
      <c r="A75" s="705" t="s">
        <v>2004</v>
      </c>
      <c r="B75" s="705" t="s">
        <v>2005</v>
      </c>
      <c r="C75" s="721" t="s">
        <v>974</v>
      </c>
      <c r="D75" s="722" t="s">
        <v>1087</v>
      </c>
      <c r="E75" s="704"/>
      <c r="F75" s="1786">
        <f>'Expenditures 15-22'!G342</f>
        <v>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6470364</v>
      </c>
      <c r="G77" s="701"/>
    </row>
    <row r="78" spans="1:9" s="728" customFormat="1" ht="12" customHeight="1" thickTop="1" thickBot="1" x14ac:dyDescent="0.25">
      <c r="A78" s="1450"/>
      <c r="B78" s="1448"/>
      <c r="C78" s="1445"/>
      <c r="D78" s="1449" t="s">
        <v>2008</v>
      </c>
      <c r="E78" s="1447"/>
      <c r="F78" s="1788">
        <f>(F14-F77)</f>
        <v>39979379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3037.09</v>
      </c>
      <c r="G79" s="733"/>
      <c r="H79" s="705"/>
      <c r="I79" s="705"/>
    </row>
    <row r="80" spans="1:9" s="728" customFormat="1" ht="12" customHeight="1" thickBot="1" x14ac:dyDescent="0.25">
      <c r="A80" s="1452"/>
      <c r="B80" s="1448"/>
      <c r="C80" s="1445"/>
      <c r="D80" s="1449" t="s">
        <v>2009</v>
      </c>
      <c r="E80" s="1447" t="s">
        <v>951</v>
      </c>
      <c r="F80" s="1790">
        <f>IF(F79&gt;0,F78/F79," Complete Line 79")</f>
        <v>13163.71230355373</v>
      </c>
      <c r="G80" s="705"/>
    </row>
    <row r="81" spans="1:7" s="728" customFormat="1" ht="8.25" customHeight="1" thickTop="1" x14ac:dyDescent="0.2">
      <c r="A81" s="734"/>
      <c r="B81" s="705"/>
      <c r="C81" s="707"/>
      <c r="D81" s="735"/>
      <c r="E81" s="704"/>
      <c r="F81" s="1791"/>
      <c r="G81" s="705"/>
    </row>
    <row r="82" spans="1:7" s="728" customFormat="1" ht="12" thickBot="1" x14ac:dyDescent="0.25">
      <c r="A82" s="2372" t="s">
        <v>1097</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82498</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161246</v>
      </c>
      <c r="G95" s="745"/>
    </row>
    <row r="96" spans="1:7" x14ac:dyDescent="0.2">
      <c r="A96" s="741" t="s">
        <v>139</v>
      </c>
      <c r="B96" s="741" t="s">
        <v>174</v>
      </c>
      <c r="C96" s="743">
        <v>1700</v>
      </c>
      <c r="D96" s="751" t="str">
        <f>'Revenues 9-14'!A82</f>
        <v>Total District/School Activity Income</v>
      </c>
      <c r="E96" s="739"/>
      <c r="F96" s="1793">
        <f>SUM('Revenues 9-14'!C82,'Revenues 9-14'!D82)</f>
        <v>122334</v>
      </c>
      <c r="G96" s="745"/>
    </row>
    <row r="97" spans="1:7" x14ac:dyDescent="0.2">
      <c r="A97" s="741" t="s">
        <v>455</v>
      </c>
      <c r="B97" s="741" t="s">
        <v>175</v>
      </c>
      <c r="C97" s="743">
        <f>'Revenues 9-14'!B84</f>
        <v>1811</v>
      </c>
      <c r="D97" s="744" t="str">
        <f>'Revenues 9-14'!A84</f>
        <v>Rentals - Regular Textbooks</v>
      </c>
      <c r="E97" s="739"/>
      <c r="F97" s="1793">
        <f>'Revenues 9-14'!C84</f>
        <v>488498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44372</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1906</v>
      </c>
      <c r="C106" s="746">
        <v>3100</v>
      </c>
      <c r="D106" s="752" t="str">
        <f>'Revenues 9-14'!A132</f>
        <v>Total Special Education</v>
      </c>
      <c r="E106" s="739"/>
      <c r="F106" s="1793">
        <f>SUM('Revenues 9-14'!C132:D132,'Revenues 9-14'!F132)</f>
        <v>285432</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1384</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0</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416655</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1922</v>
      </c>
      <c r="C122" s="761">
        <f>'Revenues 9-14'!B168</f>
        <v>3999</v>
      </c>
      <c r="D122" s="762" t="s">
        <v>539</v>
      </c>
      <c r="E122" s="764"/>
      <c r="F122" s="1793">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3">
        <f>SUM('Revenues 9-14'!C198,'Revenues 9-14'!G198)</f>
        <v>123835</v>
      </c>
      <c r="G126" s="763"/>
    </row>
    <row r="127" spans="1:7" x14ac:dyDescent="0.2">
      <c r="A127" s="760" t="s">
        <v>662</v>
      </c>
      <c r="B127" s="760" t="s">
        <v>1927</v>
      </c>
      <c r="C127" s="765">
        <v>4300</v>
      </c>
      <c r="D127" s="766" t="str">
        <f>'Revenues 9-14'!A204</f>
        <v>Total Title I</v>
      </c>
      <c r="E127" s="739"/>
      <c r="F127" s="1793">
        <f>SUM('Revenues 9-14'!C204,'Revenues 9-14'!D204,'Revenues 9-14'!F204,'Revenues 9-14'!G204)</f>
        <v>199333</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587711</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122386</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1402</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1412</v>
      </c>
      <c r="D159" s="774" t="s">
        <v>1413</v>
      </c>
      <c r="E159" s="775"/>
      <c r="F159" s="1793">
        <f>SUM('Revenues 9-14'!C253)</f>
        <v>0</v>
      </c>
      <c r="G159" s="738"/>
    </row>
    <row r="160" spans="1:7" s="703" customFormat="1" x14ac:dyDescent="0.2">
      <c r="A160" s="771" t="s">
        <v>496</v>
      </c>
      <c r="B160" s="772" t="s">
        <v>1949</v>
      </c>
      <c r="C160" s="773" t="s">
        <v>1451</v>
      </c>
      <c r="D160" s="774" t="s">
        <v>1452</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26273</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120953</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20917</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134161</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1190397</v>
      </c>
      <c r="G172" s="760"/>
    </row>
    <row r="173" spans="1:7" x14ac:dyDescent="0.2">
      <c r="A173" s="1529" t="s">
        <v>658</v>
      </c>
      <c r="B173" s="1530" t="s">
        <v>1881</v>
      </c>
      <c r="C173" s="1531">
        <v>3300</v>
      </c>
      <c r="D173" s="1532" t="s">
        <v>1884</v>
      </c>
      <c r="E173" s="739"/>
      <c r="F173" s="1794">
        <v>39043</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4217428</v>
      </c>
    </row>
    <row r="176" spans="1:7" ht="12" customHeight="1" x14ac:dyDescent="0.2">
      <c r="A176" s="1443"/>
      <c r="B176" s="1453"/>
      <c r="C176" s="1454"/>
      <c r="D176" s="1455" t="s">
        <v>2010</v>
      </c>
      <c r="E176" s="1456"/>
      <c r="F176" s="1793">
        <f>'PCTC-OEPP 27-28'!F78-F175</f>
        <v>35761951</v>
      </c>
    </row>
    <row r="177" spans="1:9" ht="12" customHeight="1" x14ac:dyDescent="0.2">
      <c r="A177" s="1443"/>
      <c r="B177" s="1453"/>
      <c r="C177" s="1454"/>
      <c r="D177" s="1455" t="s">
        <v>1793</v>
      </c>
      <c r="E177" s="1456"/>
      <c r="F177" s="1793">
        <f>'Cap Outlay Deprec 26'!I18</f>
        <v>1444057.1</v>
      </c>
    </row>
    <row r="178" spans="1:9" ht="12" customHeight="1" x14ac:dyDescent="0.2">
      <c r="A178" s="1443"/>
      <c r="B178" s="1453"/>
      <c r="C178" s="1454"/>
      <c r="D178" s="1455" t="s">
        <v>2011</v>
      </c>
      <c r="E178" s="1456"/>
      <c r="F178" s="1793">
        <f>F176+F177</f>
        <v>37206008.100000001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3037.09</v>
      </c>
      <c r="G179" s="763"/>
      <c r="I179" s="701"/>
    </row>
    <row r="180" spans="1:9" ht="12" customHeight="1" thickBot="1" x14ac:dyDescent="0.25">
      <c r="A180" s="1443"/>
      <c r="B180" s="1457"/>
      <c r="C180" s="1454"/>
      <c r="D180" s="1455" t="s">
        <v>2013</v>
      </c>
      <c r="E180" s="1456" t="s">
        <v>1530</v>
      </c>
      <c r="F180" s="1798">
        <f>F178/F179</f>
        <v>12250.545127078882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22" sqref="B2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386" t="s">
        <v>1794</v>
      </c>
      <c r="B4" s="2387"/>
      <c r="C4" s="2387"/>
      <c r="D4" s="2387"/>
      <c r="E4" s="2387"/>
      <c r="F4" s="2388"/>
    </row>
    <row r="5" spans="1:6" x14ac:dyDescent="0.25">
      <c r="A5" s="2389"/>
      <c r="B5" s="2390"/>
      <c r="C5" s="2390"/>
      <c r="D5" s="2390"/>
      <c r="E5" s="2390"/>
      <c r="F5" s="2391"/>
    </row>
    <row r="6" spans="1:6" ht="18.75" x14ac:dyDescent="0.25">
      <c r="A6" s="1867" t="s">
        <v>1795</v>
      </c>
      <c r="B6" s="1868"/>
      <c r="C6" s="1869"/>
      <c r="D6" s="1869"/>
      <c r="E6" s="1869"/>
      <c r="F6" s="1870"/>
    </row>
    <row r="7" spans="1:6" ht="47.25" customHeight="1" x14ac:dyDescent="0.25">
      <c r="A7" s="2392" t="s">
        <v>1981</v>
      </c>
      <c r="B7" s="2393"/>
      <c r="C7" s="2393"/>
      <c r="D7" s="2393"/>
      <c r="E7" s="2393"/>
      <c r="F7" s="2394"/>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395" t="s">
        <v>1977</v>
      </c>
      <c r="B10" s="2396"/>
      <c r="C10" s="2396"/>
      <c r="D10" s="2396"/>
      <c r="E10" s="2396"/>
      <c r="F10" s="2397"/>
    </row>
    <row r="11" spans="1:6" ht="33" customHeight="1" x14ac:dyDescent="0.25">
      <c r="A11" s="2392" t="s">
        <v>1982</v>
      </c>
      <c r="B11" s="2393"/>
      <c r="C11" s="2393"/>
      <c r="D11" s="2393"/>
      <c r="E11" s="2393"/>
      <c r="F11" s="2394"/>
    </row>
    <row r="12" spans="1:6" ht="15" customHeight="1" x14ac:dyDescent="0.25">
      <c r="A12" s="1873" t="s">
        <v>1978</v>
      </c>
      <c r="B12" s="1874"/>
      <c r="C12" s="1875"/>
      <c r="D12" s="1875"/>
      <c r="E12" s="1875"/>
      <c r="F12" s="1876"/>
    </row>
    <row r="13" spans="1:6" ht="17.25" customHeight="1" x14ac:dyDescent="0.25">
      <c r="A13" s="2392" t="s">
        <v>1979</v>
      </c>
      <c r="B13" s="2393"/>
      <c r="C13" s="2393"/>
      <c r="D13" s="2393"/>
      <c r="E13" s="2393"/>
      <c r="F13" s="2394"/>
    </row>
    <row r="14" spans="1:6" ht="15" customHeight="1" x14ac:dyDescent="0.25">
      <c r="A14" s="1873" t="s">
        <v>1797</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1798</v>
      </c>
      <c r="B16" s="1878" t="s">
        <v>1799</v>
      </c>
      <c r="C16" s="1877" t="s">
        <v>1800</v>
      </c>
      <c r="D16" s="1879" t="s">
        <v>1801</v>
      </c>
      <c r="E16" s="1879" t="s">
        <v>1802</v>
      </c>
      <c r="F16" s="1879" t="s">
        <v>1803</v>
      </c>
    </row>
    <row r="17" spans="1:7" x14ac:dyDescent="0.25">
      <c r="A17" s="1880"/>
      <c r="B17" s="1907"/>
      <c r="C17" s="1881"/>
      <c r="D17" s="1882"/>
      <c r="E17" s="1882">
        <f>IF(D17&lt;25000,D17,"25,000")</f>
        <v>0</v>
      </c>
      <c r="F17" s="1883" t="str">
        <f>IF(D17&gt;=25000,(D17-E17),"0")</f>
        <v>0</v>
      </c>
    </row>
    <row r="18" spans="1:7" x14ac:dyDescent="0.25">
      <c r="A18" s="2036" t="s">
        <v>2093</v>
      </c>
      <c r="B18" s="1908">
        <v>102560300</v>
      </c>
      <c r="C18" s="2035" t="s">
        <v>2080</v>
      </c>
      <c r="D18" s="1886">
        <v>340293</v>
      </c>
      <c r="E18" s="1906" t="str">
        <f t="shared" ref="E18:E81" si="0">IF(D18&lt;25000,D18,"25,000")</f>
        <v>25,000</v>
      </c>
      <c r="F18" s="1906">
        <f t="shared" ref="F18:F81" si="1">IF(D18&gt;=25000,(D18-E18),"0")</f>
        <v>315293</v>
      </c>
      <c r="G18" s="1887"/>
    </row>
    <row r="19" spans="1:7" x14ac:dyDescent="0.25">
      <c r="A19" s="2036" t="s">
        <v>2094</v>
      </c>
      <c r="B19" s="1908">
        <v>102300300</v>
      </c>
      <c r="C19" s="2035" t="s">
        <v>2081</v>
      </c>
      <c r="D19" s="1886">
        <v>34250</v>
      </c>
      <c r="E19" s="1906" t="str">
        <f t="shared" si="0"/>
        <v>25,000</v>
      </c>
      <c r="F19" s="1906">
        <f t="shared" si="1"/>
        <v>9250</v>
      </c>
    </row>
    <row r="20" spans="1:7" x14ac:dyDescent="0.25">
      <c r="A20" s="2036" t="s">
        <v>2095</v>
      </c>
      <c r="B20" s="1908">
        <v>102300300</v>
      </c>
      <c r="C20" s="2035" t="s">
        <v>2082</v>
      </c>
      <c r="D20" s="1886">
        <v>128607</v>
      </c>
      <c r="E20" s="1906" t="str">
        <f t="shared" si="0"/>
        <v>25,000</v>
      </c>
      <c r="F20" s="1906">
        <f t="shared" si="1"/>
        <v>103607</v>
      </c>
    </row>
    <row r="21" spans="1:7" x14ac:dyDescent="0.25">
      <c r="A21" s="2036" t="s">
        <v>2095</v>
      </c>
      <c r="B21" s="1908">
        <v>102300300</v>
      </c>
      <c r="C21" s="2035" t="s">
        <v>2083</v>
      </c>
      <c r="D21" s="1886">
        <v>61090</v>
      </c>
      <c r="E21" s="1906" t="str">
        <f t="shared" si="0"/>
        <v>25,000</v>
      </c>
      <c r="F21" s="1906">
        <f t="shared" si="1"/>
        <v>36090</v>
      </c>
    </row>
    <row r="22" spans="1:7" x14ac:dyDescent="0.25">
      <c r="A22" s="2036" t="s">
        <v>2096</v>
      </c>
      <c r="B22" s="1908">
        <v>202540300</v>
      </c>
      <c r="C22" s="2035" t="s">
        <v>2084</v>
      </c>
      <c r="D22" s="1886">
        <v>102903</v>
      </c>
      <c r="E22" s="1906" t="str">
        <f t="shared" si="0"/>
        <v>25,000</v>
      </c>
      <c r="F22" s="1906">
        <f t="shared" si="1"/>
        <v>77903</v>
      </c>
    </row>
    <row r="23" spans="1:7" x14ac:dyDescent="0.25">
      <c r="A23" s="2036" t="s">
        <v>2096</v>
      </c>
      <c r="B23" s="1908">
        <v>202540300</v>
      </c>
      <c r="C23" s="2035" t="s">
        <v>2085</v>
      </c>
      <c r="D23" s="1886">
        <v>58681</v>
      </c>
      <c r="E23" s="1906" t="str">
        <f t="shared" si="0"/>
        <v>25,000</v>
      </c>
      <c r="F23" s="1906">
        <f t="shared" si="1"/>
        <v>33681</v>
      </c>
    </row>
    <row r="24" spans="1:7" x14ac:dyDescent="0.25">
      <c r="A24" s="2036" t="s">
        <v>2096</v>
      </c>
      <c r="B24" s="1908">
        <v>202540300</v>
      </c>
      <c r="C24" s="2035" t="s">
        <v>2086</v>
      </c>
      <c r="D24" s="1886">
        <v>97718</v>
      </c>
      <c r="E24" s="1906" t="str">
        <f t="shared" si="0"/>
        <v>25,000</v>
      </c>
      <c r="F24" s="1906">
        <f t="shared" si="1"/>
        <v>72718</v>
      </c>
    </row>
    <row r="25" spans="1:7" x14ac:dyDescent="0.25">
      <c r="A25" s="2036" t="s">
        <v>2096</v>
      </c>
      <c r="B25" s="1908">
        <v>202540300</v>
      </c>
      <c r="C25" s="2035" t="s">
        <v>2087</v>
      </c>
      <c r="D25" s="1886">
        <v>54368</v>
      </c>
      <c r="E25" s="1906" t="str">
        <f t="shared" si="0"/>
        <v>25,000</v>
      </c>
      <c r="F25" s="1906">
        <f t="shared" si="1"/>
        <v>29368</v>
      </c>
    </row>
    <row r="26" spans="1:7" x14ac:dyDescent="0.25">
      <c r="A26" s="2036" t="s">
        <v>2097</v>
      </c>
      <c r="B26" s="1908">
        <v>202540300</v>
      </c>
      <c r="C26" s="2035" t="s">
        <v>2088</v>
      </c>
      <c r="D26" s="1886">
        <v>23001</v>
      </c>
      <c r="E26" s="1906">
        <f>IF(D26&lt;25000,D26,"25,000")</f>
        <v>23001</v>
      </c>
      <c r="F26" s="1906" t="str">
        <f t="shared" si="1"/>
        <v>0</v>
      </c>
    </row>
    <row r="27" spans="1:7" ht="30" x14ac:dyDescent="0.25">
      <c r="A27" s="2036" t="s">
        <v>2101</v>
      </c>
      <c r="B27" s="1908">
        <v>202540300</v>
      </c>
      <c r="C27" s="2035" t="s">
        <v>2089</v>
      </c>
      <c r="D27" s="1886">
        <v>33990</v>
      </c>
      <c r="E27" s="1906" t="str">
        <f t="shared" si="0"/>
        <v>25,000</v>
      </c>
      <c r="F27" s="1906">
        <f t="shared" si="1"/>
        <v>8990</v>
      </c>
    </row>
    <row r="28" spans="1:7" x14ac:dyDescent="0.25">
      <c r="A28" s="2036" t="s">
        <v>2098</v>
      </c>
      <c r="B28" s="1908">
        <v>202540300</v>
      </c>
      <c r="C28" s="2035" t="s">
        <v>2090</v>
      </c>
      <c r="D28" s="1886">
        <v>31697</v>
      </c>
      <c r="E28" s="1906" t="str">
        <f t="shared" si="0"/>
        <v>25,000</v>
      </c>
      <c r="F28" s="1906">
        <f t="shared" si="1"/>
        <v>6697</v>
      </c>
    </row>
    <row r="29" spans="1:7" x14ac:dyDescent="0.25">
      <c r="A29" s="2036" t="s">
        <v>2099</v>
      </c>
      <c r="B29" s="1908">
        <v>402550300</v>
      </c>
      <c r="C29" s="2035" t="s">
        <v>2091</v>
      </c>
      <c r="D29" s="1886">
        <v>566016</v>
      </c>
      <c r="E29" s="1906" t="str">
        <f t="shared" si="0"/>
        <v>25,000</v>
      </c>
      <c r="F29" s="1906">
        <f t="shared" si="1"/>
        <v>541016</v>
      </c>
    </row>
    <row r="30" spans="1:7" x14ac:dyDescent="0.25">
      <c r="A30" s="2036" t="s">
        <v>2100</v>
      </c>
      <c r="B30" s="1908">
        <v>402550300</v>
      </c>
      <c r="C30" s="2035" t="s">
        <v>2092</v>
      </c>
      <c r="D30" s="1886">
        <v>616765</v>
      </c>
      <c r="E30" s="1906" t="str">
        <f t="shared" si="0"/>
        <v>25,000</v>
      </c>
      <c r="F30" s="1906">
        <f t="shared" si="1"/>
        <v>591765</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2149379</v>
      </c>
      <c r="E142" s="1893">
        <f>SUM(E18:E141)</f>
        <v>23001</v>
      </c>
      <c r="F142" s="1894">
        <f>SUM(F18:F141)</f>
        <v>1826378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1662</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143206</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v>19372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23959594</v>
      </c>
      <c r="F19" s="1802"/>
      <c r="G19" s="1804">
        <f>'Expenditures 15-22'!K33-SUM('Expenditures 15-22'!G33,'Expenditures 15-22'!I33)+'Expenditures 15-22'!D229</f>
        <v>23959594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2786500</v>
      </c>
      <c r="F21" s="1805"/>
      <c r="G21" s="1808">
        <f>'Expenditures 15-22'!K42-SUM('Expenditures 15-22'!G42,'Expenditures 15-22'!I42)+'Expenditures 15-22'!K120-SUM('Expenditures 15-22'!G120,'Expenditures 15-22'!I120)+'Expenditures 15-22'!K180-SUM('Expenditures 15-22'!G180,'Expenditures 15-22'!I180)+'Expenditures 15-22'!D238</f>
        <v>2786500</v>
      </c>
      <c r="H21" s="817"/>
      <c r="I21" s="157"/>
    </row>
    <row r="22" spans="1:9" s="542" customFormat="1" ht="12" customHeight="1" x14ac:dyDescent="0.2">
      <c r="A22" s="824" t="s">
        <v>559</v>
      </c>
      <c r="B22" s="825"/>
      <c r="C22" s="823">
        <v>2200</v>
      </c>
      <c r="D22" s="1805"/>
      <c r="E22" s="1807">
        <f>'Expenditures 15-22'!K47-SUM('Expenditures 15-22'!G47,'Expenditures 15-22'!I47)+'Expenditures 15-22'!D243</f>
        <v>1256281</v>
      </c>
      <c r="F22" s="1805"/>
      <c r="G22" s="1808">
        <f>'Expenditures 15-22'!K47-SUM('Expenditures 15-22'!G47,'Expenditures 15-22'!I47)+'Expenditures 15-22'!D243</f>
        <v>1256281</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1352708</v>
      </c>
      <c r="F23" s="1805"/>
      <c r="G23" s="1807">
        <f>'Expenditures 15-22'!K53-SUM('Expenditures 15-22'!G53,'Expenditures 15-22'!I53)+'Expenditures 15-22'!D257+'Expenditures 15-22'!K330-SUM('Expenditures 15-22'!G330,'Expenditures 15-22'!I330)</f>
        <v>1352708</v>
      </c>
      <c r="H23" s="817"/>
      <c r="I23" s="157"/>
    </row>
    <row r="24" spans="1:9" s="542" customFormat="1" ht="12" customHeight="1" x14ac:dyDescent="0.2">
      <c r="A24" s="824" t="s">
        <v>561</v>
      </c>
      <c r="B24" s="825"/>
      <c r="C24" s="823">
        <v>2400</v>
      </c>
      <c r="D24" s="1805"/>
      <c r="E24" s="1807">
        <f>'Expenditures 15-22'!K57-SUM('Expenditures 15-22'!G57,'Expenditures 15-22'!I57)+'Expenditures 15-22'!D261</f>
        <v>1715639</v>
      </c>
      <c r="F24" s="1805"/>
      <c r="G24" s="1808">
        <f>'Expenditures 15-22'!K57-SUM('Expenditures 15-22'!G57,'Expenditures 15-22'!I57)+'Expenditures 15-22'!D261</f>
        <v>1715639</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449657</v>
      </c>
      <c r="E26" s="1807">
        <f>'Expenditures 15-22'!K122-SUM('Expenditures 15-22'!G122,'Expenditures 15-22'!I122)+E7</f>
        <v>0</v>
      </c>
      <c r="F26" s="1807">
        <f>'Expenditures 15-22'!K59-SUM('Expenditures 15-22'!G59,'Expenditures 15-22'!I59)+'Expenditures 15-22'!D263-E7</f>
        <v>449657</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2978462</v>
      </c>
      <c r="F28" s="1809">
        <f>'Expenditures 15-22'!K61-SUM('Expenditures 15-22'!G61,'Expenditures 15-22'!I61)+'Expenditures 15-22'!K124-SUM('Expenditures 15-22'!G124,'Expenditures 15-22'!I124)+'Expenditures 15-22'!D266-E9</f>
        <v>2978462</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1176977</v>
      </c>
      <c r="F29" s="1805"/>
      <c r="G29" s="1808">
        <f>'Expenditures 15-22'!K62-SUM('Expenditures 15-22'!G62,'Expenditures 15-22'!I62)+'Expenditures 15-22'!K125-SUM('Expenditures 15-22'!G125,'Expenditures 15-22'!I125)+'Expenditures 15-22'!K182-SUM('Expenditures 15-22'!G182,'Expenditures 15-22'!I182)+'Expenditures 15-22'!D267</f>
        <v>1176977</v>
      </c>
      <c r="H29" s="815"/>
    </row>
    <row r="30" spans="1:9" ht="12" customHeight="1" x14ac:dyDescent="0.2">
      <c r="A30" s="824" t="s">
        <v>100</v>
      </c>
      <c r="B30" s="827"/>
      <c r="C30" s="823">
        <v>2560</v>
      </c>
      <c r="D30" s="1805"/>
      <c r="E30" s="1807">
        <f>'Expenditures 15-22'!K63-SUM('Expenditures 15-22'!G63,'Expenditures 15-22'!I63)+'Expenditures 15-22'!D268-E10</f>
        <v>220812</v>
      </c>
      <c r="F30" s="1805"/>
      <c r="G30" s="1807">
        <f>'Expenditures 15-22'!K63-SUM('Expenditures 15-22'!G63,'Expenditures 15-22'!I63)+'Expenditures 15-22'!D268-E10</f>
        <v>220812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1053</v>
      </c>
      <c r="B35" s="827"/>
      <c r="C35" s="823">
        <v>2630</v>
      </c>
      <c r="D35" s="1805"/>
      <c r="E35" s="1807">
        <f>'Expenditures 15-22'!K69-SUM('Expenditures 15-22'!G69,'Expenditures 15-22'!I69)+'Expenditures 15-22'!D274</f>
        <v>139882</v>
      </c>
      <c r="F35" s="1805"/>
      <c r="G35" s="1807">
        <f>'Expenditures 15-22'!K69-SUM('Expenditures 15-22'!G69,'Expenditures 15-22'!I69)+'Expenditures 15-22'!D274</f>
        <v>139882</v>
      </c>
    </row>
    <row r="36" spans="1:7" ht="12" customHeight="1" x14ac:dyDescent="0.2">
      <c r="A36" s="824" t="s">
        <v>399</v>
      </c>
      <c r="B36" s="827"/>
      <c r="C36" s="823">
        <v>2640</v>
      </c>
      <c r="D36" s="1807">
        <f>'Expenditures 15-22'!K70-SUM('Expenditures 15-22'!G70,'Expenditures 15-22'!I70)+'Expenditures 15-22'!D275-E13</f>
        <v>201770</v>
      </c>
      <c r="E36" s="1807">
        <f>E13</f>
        <v>0</v>
      </c>
      <c r="F36" s="1807">
        <f>'Expenditures 15-22'!K70-SUM('Expenditures 15-22'!G70,'Expenditures 15-22'!I70)+'Expenditures 15-22'!D275-E13</f>
        <v>201770</v>
      </c>
      <c r="G36" s="1807">
        <f>E13</f>
        <v>0</v>
      </c>
    </row>
    <row r="37" spans="1:7" ht="12" customHeight="1" x14ac:dyDescent="0.2">
      <c r="A37" s="824" t="s">
        <v>400</v>
      </c>
      <c r="B37" s="827"/>
      <c r="C37" s="823">
        <v>2660</v>
      </c>
      <c r="D37" s="1807">
        <f>'Expenditures 15-22'!K71-SUM('Expenditures 15-22'!G71,'Expenditures 15-22'!I71)+'Expenditures 15-22'!D276-E14</f>
        <v>1099898</v>
      </c>
      <c r="E37" s="1807">
        <f>E14</f>
        <v>0</v>
      </c>
      <c r="F37" s="1807">
        <f>'Expenditures 15-22'!K71-SUM('Expenditures 15-22'!G71,'Expenditures 15-22'!I71)+'Expenditures 15-22'!D276-E14</f>
        <v>1099898</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289</v>
      </c>
      <c r="F38" s="1805"/>
      <c r="G38" s="1807">
        <f>'Expenditures 15-22'!K73-SUM('Expenditures 15-22'!G73,'Expenditures 15-22'!I73)+'Expenditures 15-22'!K128-SUM('Expenditures 15-22'!G128,'Expenditures 15-22'!I128)+'Expenditures 15-22'!K183-SUM('Expenditures 15-22'!G183,'Expenditures 15-22'!I183)+'Expenditures 15-22'!D278</f>
        <v>289</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131807</v>
      </c>
      <c r="F39" s="1805"/>
      <c r="G39" s="1807">
        <f>'Expenditures 15-22'!K75-SUM('Expenditures 15-22'!G75,'Expenditures 15-22'!I75)+'Expenditures 15-22'!K130-SUM('Expenditures 15-22'!G130,'Expenditures 15-22'!I130)+'Expenditures 15-22'!K185-SUM('Expenditures 15-22'!G185,'Expenditures 15-22'!I185)+'Expenditures 15-22'!D280</f>
        <v>131807</v>
      </c>
    </row>
    <row r="40" spans="1:7" ht="12" customHeight="1" x14ac:dyDescent="0.2">
      <c r="A40" s="820" t="s">
        <v>1796</v>
      </c>
      <c r="B40" s="821"/>
      <c r="C40" s="823"/>
      <c r="D40" s="1805"/>
      <c r="E40" s="1809">
        <f>-'Contracts Paid in CY 29'!F142</f>
        <v>-1826378</v>
      </c>
      <c r="F40" s="1805"/>
      <c r="G40" s="1809">
        <f>-'Contracts Paid in CY 29'!F142</f>
        <v>-1826378</v>
      </c>
    </row>
    <row r="41" spans="1:7" ht="12" customHeight="1" x14ac:dyDescent="0.2">
      <c r="A41" s="828" t="s">
        <v>155</v>
      </c>
      <c r="B41" s="829"/>
      <c r="C41" s="830"/>
      <c r="D41" s="1809">
        <f>SUM(D19:D39)</f>
        <v>1751325</v>
      </c>
      <c r="E41" s="1809">
        <f>SUM(E19:E40)</f>
        <v>33892573</v>
      </c>
      <c r="F41" s="1809">
        <f>SUM(F19:F39)</f>
        <v>4729787</v>
      </c>
      <c r="G41" s="1809">
        <f>SUM(G19:G40)</f>
        <v>30914111</v>
      </c>
    </row>
    <row r="42" spans="1:7" x14ac:dyDescent="0.2">
      <c r="A42" s="817"/>
      <c r="B42" s="157"/>
      <c r="C42" s="831"/>
      <c r="D42" s="2401" t="s">
        <v>518</v>
      </c>
      <c r="E42" s="2402"/>
      <c r="F42" s="832" t="s">
        <v>519</v>
      </c>
      <c r="G42" s="833"/>
    </row>
    <row r="43" spans="1:7" ht="12" customHeight="1" x14ac:dyDescent="0.2">
      <c r="A43" s="817"/>
      <c r="B43" s="157"/>
      <c r="C43" s="831"/>
      <c r="D43" s="1458" t="s">
        <v>469</v>
      </c>
      <c r="E43" s="1810">
        <f>D41</f>
        <v>1751325</v>
      </c>
      <c r="F43" s="1458" t="s">
        <v>469</v>
      </c>
      <c r="G43" s="1810">
        <f>F41</f>
        <v>4729787</v>
      </c>
    </row>
    <row r="44" spans="1:7" ht="12" customHeight="1" x14ac:dyDescent="0.2">
      <c r="A44" s="817"/>
      <c r="B44" s="157"/>
      <c r="C44" s="831"/>
      <c r="D44" s="1458" t="s">
        <v>470</v>
      </c>
      <c r="E44" s="1810">
        <f>E41</f>
        <v>33892573</v>
      </c>
      <c r="F44" s="1458" t="s">
        <v>470</v>
      </c>
      <c r="G44" s="1810">
        <f>G41</f>
        <v>30914111</v>
      </c>
    </row>
    <row r="45" spans="1:7" ht="12" customHeight="1" x14ac:dyDescent="0.2">
      <c r="A45" s="817"/>
      <c r="B45" s="157"/>
      <c r="C45" s="157"/>
      <c r="D45" s="1459" t="s">
        <v>998</v>
      </c>
      <c r="E45" s="1811">
        <f>(E43/E44)</f>
        <v>5.1672825193885399E-2</v>
      </c>
      <c r="F45" s="1459" t="s">
        <v>998</v>
      </c>
      <c r="G45" s="1811">
        <f>(G43/G44)</f>
        <v>0.15299767151641527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A40" sqref="A4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0" t="s">
        <v>1364</v>
      </c>
      <c r="B1" s="2420"/>
      <c r="C1" s="2420"/>
      <c r="D1" s="2420"/>
      <c r="E1" s="2420"/>
      <c r="F1" s="2420"/>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1" t="s">
        <v>1531</v>
      </c>
      <c r="B5" s="2422"/>
      <c r="C5" s="2423"/>
      <c r="D5" s="2423"/>
      <c r="E5" s="2423"/>
      <c r="F5" s="2423"/>
      <c r="G5" s="1507"/>
      <c r="L5" s="1507"/>
      <c r="M5" s="1855"/>
      <c r="N5" s="1855"/>
      <c r="O5" s="1855"/>
    </row>
    <row r="6" spans="1:15" ht="12" customHeight="1" x14ac:dyDescent="0.25">
      <c r="A6" s="1480"/>
      <c r="B6" s="1481"/>
      <c r="C6" s="2424" t="str">
        <f>COVER!A17</f>
        <v>LaGrange SD 102</v>
      </c>
      <c r="D6" s="2424"/>
      <c r="E6" s="2424"/>
      <c r="F6" s="1482"/>
      <c r="G6" s="1507"/>
      <c r="L6" s="1507"/>
      <c r="M6" s="1855"/>
      <c r="N6" s="1855"/>
      <c r="O6" s="1855"/>
    </row>
    <row r="7" spans="1:15" ht="11.25" customHeight="1" thickBot="1" x14ac:dyDescent="0.3">
      <c r="A7" s="1480"/>
      <c r="B7" s="1481"/>
      <c r="C7" s="2425">
        <f>COVER!A13</f>
        <v>6016102002</v>
      </c>
      <c r="D7" s="2425"/>
      <c r="E7" s="2425"/>
      <c r="F7" s="1482"/>
      <c r="G7" s="1507"/>
      <c r="L7" s="1507"/>
      <c r="M7" s="1855"/>
      <c r="N7" s="1855"/>
      <c r="O7" s="1855"/>
    </row>
    <row r="8" spans="1:15" ht="25.5" customHeight="1" thickBot="1" x14ac:dyDescent="0.25">
      <c r="A8" s="1519" t="s">
        <v>1870</v>
      </c>
      <c r="B8" s="1483"/>
      <c r="C8" s="1515" t="s">
        <v>1664</v>
      </c>
      <c r="D8" s="1514" t="s">
        <v>1665</v>
      </c>
      <c r="E8" s="1516" t="s">
        <v>1365</v>
      </c>
      <c r="F8" s="1514" t="s">
        <v>1666</v>
      </c>
      <c r="G8" s="1507"/>
      <c r="H8" s="1484" t="b">
        <v>0</v>
      </c>
      <c r="L8" s="1507"/>
      <c r="M8" s="1855"/>
      <c r="N8" s="1855"/>
      <c r="O8" s="1855"/>
    </row>
    <row r="9" spans="1:15" ht="15.75" customHeight="1" x14ac:dyDescent="0.2">
      <c r="A9" s="1485" t="s">
        <v>1527</v>
      </c>
      <c r="B9" s="1486"/>
      <c r="C9" s="1487"/>
      <c r="D9" s="1487"/>
      <c r="E9" s="1488"/>
      <c r="F9" s="1489"/>
      <c r="G9" s="1507"/>
      <c r="L9" s="1507"/>
      <c r="M9" s="1855"/>
      <c r="N9" s="1855"/>
      <c r="O9" s="1855"/>
    </row>
    <row r="10" spans="1:15" ht="27.75" customHeight="1" x14ac:dyDescent="0.2">
      <c r="A10" s="1490" t="s">
        <v>1663</v>
      </c>
      <c r="B10" s="1491"/>
      <c r="C10" s="1492"/>
      <c r="D10" s="1492"/>
      <c r="E10" s="1517" t="s">
        <v>1366</v>
      </c>
      <c r="F10" s="1518" t="s">
        <v>1367</v>
      </c>
      <c r="G10" s="1507"/>
      <c r="L10" s="1507"/>
      <c r="M10" s="1855"/>
      <c r="N10" s="1855"/>
      <c r="O10" s="1855"/>
    </row>
    <row r="11" spans="1:15" ht="12" customHeight="1" x14ac:dyDescent="0.2">
      <c r="A11" s="1493" t="s">
        <v>1368</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1371</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1373</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1512</v>
      </c>
      <c r="B19" s="1494"/>
      <c r="C19" s="1495" t="s">
        <v>2047</v>
      </c>
      <c r="D19" s="1495" t="s">
        <v>2047</v>
      </c>
      <c r="E19" s="1498"/>
      <c r="F19" s="1497" t="s">
        <v>2060</v>
      </c>
      <c r="G19" s="1507"/>
      <c r="H19" s="1507">
        <f t="shared" si="0"/>
        <v>5</v>
      </c>
      <c r="I19" s="1507">
        <f t="shared" si="1"/>
        <v>5</v>
      </c>
      <c r="J19" s="1507">
        <f t="shared" si="2"/>
        <v>0</v>
      </c>
      <c r="L19" s="1507"/>
      <c r="M19" s="1855"/>
      <c r="N19" s="1855"/>
      <c r="O19" s="1855"/>
    </row>
    <row r="20" spans="1:15" ht="12" customHeight="1" x14ac:dyDescent="0.2">
      <c r="A20" s="1493" t="s">
        <v>1513</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1514</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1519</v>
      </c>
      <c r="B26" s="1494"/>
      <c r="C26" s="1495" t="s">
        <v>2047</v>
      </c>
      <c r="D26" s="1495" t="s">
        <v>2047</v>
      </c>
      <c r="E26" s="1498"/>
      <c r="F26" s="1497" t="s">
        <v>2061</v>
      </c>
      <c r="G26" s="1507"/>
      <c r="H26" s="1507">
        <f t="shared" si="0"/>
        <v>5</v>
      </c>
      <c r="I26" s="1507">
        <f t="shared" si="1"/>
        <v>5</v>
      </c>
      <c r="J26" s="1507">
        <f t="shared" si="2"/>
        <v>0</v>
      </c>
      <c r="L26" s="1507"/>
      <c r="M26" s="1855"/>
      <c r="N26" s="1855"/>
      <c r="O26" s="1855"/>
    </row>
    <row r="27" spans="1:15" ht="18.75" x14ac:dyDescent="0.2">
      <c r="A27" s="1493" t="s">
        <v>1520</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1521</v>
      </c>
      <c r="B28" s="1494"/>
      <c r="C28" s="1495" t="s">
        <v>2047</v>
      </c>
      <c r="D28" s="1495" t="s">
        <v>2047</v>
      </c>
      <c r="E28" s="1498"/>
      <c r="F28" s="1497" t="s">
        <v>2062</v>
      </c>
      <c r="G28" s="1507"/>
      <c r="H28" s="1507">
        <f t="shared" si="0"/>
        <v>5</v>
      </c>
      <c r="I28" s="1507">
        <f t="shared" si="1"/>
        <v>5</v>
      </c>
      <c r="J28" s="1507">
        <f t="shared" si="2"/>
        <v>0</v>
      </c>
      <c r="L28" s="1507"/>
      <c r="M28" s="1855"/>
      <c r="N28" s="1855"/>
      <c r="O28" s="1855"/>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1523</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1524</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1377</v>
      </c>
      <c r="B35" s="1501"/>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1376</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M31" sqref="M31"/>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46" t="str">
        <f>COVER!A17</f>
        <v>LaGrange SD 102</v>
      </c>
      <c r="K6" s="2446"/>
      <c r="L6" s="2460"/>
      <c r="M6" s="838"/>
      <c r="N6" s="1998"/>
    </row>
    <row r="7" spans="1:14" x14ac:dyDescent="0.2">
      <c r="A7" s="2461" t="s">
        <v>863</v>
      </c>
      <c r="B7" s="2462"/>
      <c r="C7" s="2462"/>
      <c r="D7" s="2462"/>
      <c r="E7" s="2463"/>
      <c r="F7" s="839"/>
      <c r="G7" s="838"/>
      <c r="H7" s="838"/>
      <c r="I7" s="1924" t="s">
        <v>368</v>
      </c>
      <c r="J7" s="2448">
        <f>COVER!A13</f>
        <v>6016102002</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2014</v>
      </c>
      <c r="F9" s="1857"/>
      <c r="G9" s="1857"/>
      <c r="H9" s="1857"/>
      <c r="I9" s="1929" t="s">
        <v>2015</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64" t="s">
        <v>477</v>
      </c>
      <c r="B11" s="2465"/>
      <c r="C11" s="2466"/>
      <c r="D11" s="1937" t="s">
        <v>865</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812</v>
      </c>
      <c r="C12" s="842"/>
      <c r="D12" s="1941">
        <v>2320</v>
      </c>
      <c r="E12" s="1944">
        <f>'Expenditures 15-22'!K50</f>
        <v>351706</v>
      </c>
      <c r="F12" s="1942"/>
      <c r="G12" s="1968">
        <f>G68</f>
        <v>251910</v>
      </c>
      <c r="H12" s="1944">
        <f t="shared" ref="H12:H18" si="0">SUM(E12:G12)</f>
        <v>603616</v>
      </c>
      <c r="I12" s="1943">
        <v>414250</v>
      </c>
      <c r="J12" s="1942"/>
      <c r="K12" s="1943">
        <v>245000</v>
      </c>
      <c r="L12" s="1944">
        <f t="shared" ref="L12:L18" si="1">SUM(I12:K12)</f>
        <v>659250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1060</v>
      </c>
      <c r="C15" s="842"/>
      <c r="D15" s="1941">
        <v>2510</v>
      </c>
      <c r="E15" s="1944">
        <f>'Expenditures 15-22'!K59</f>
        <v>423345</v>
      </c>
      <c r="F15" s="1944">
        <f>'Expenditures 15-22'!K122</f>
        <v>0</v>
      </c>
      <c r="G15" s="1968">
        <f>J68</f>
        <v>0</v>
      </c>
      <c r="H15" s="1944">
        <f t="shared" si="0"/>
        <v>423345</v>
      </c>
      <c r="I15" s="1943">
        <v>204000</v>
      </c>
      <c r="J15" s="1943"/>
      <c r="K15" s="1943"/>
      <c r="L15" s="1944">
        <f t="shared" si="1"/>
        <v>204000</v>
      </c>
      <c r="M15" s="838"/>
      <c r="N15" s="1998"/>
    </row>
    <row r="16" spans="1:14" x14ac:dyDescent="0.2">
      <c r="A16" s="2003">
        <v>5</v>
      </c>
      <c r="B16" s="1940" t="s">
        <v>101</v>
      </c>
      <c r="C16" s="842"/>
      <c r="D16" s="1941">
        <v>2570</v>
      </c>
      <c r="E16" s="1944">
        <f>'Expenditures 15-22'!K64</f>
        <v>0</v>
      </c>
      <c r="F16" s="1942"/>
      <c r="G16" s="1968">
        <f>K68</f>
        <v>0</v>
      </c>
      <c r="H16" s="1944">
        <f t="shared" si="0"/>
        <v>0</v>
      </c>
      <c r="I16" s="1943">
        <v>91000</v>
      </c>
      <c r="J16" s="1942"/>
      <c r="K16" s="1943"/>
      <c r="L16" s="1944">
        <f t="shared" si="1"/>
        <v>91000</v>
      </c>
      <c r="M16" s="838"/>
      <c r="N16" s="1998"/>
    </row>
    <row r="17" spans="1:14" x14ac:dyDescent="0.2">
      <c r="A17" s="2003">
        <v>6</v>
      </c>
      <c r="B17" s="1940" t="s">
        <v>1052</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7" t="s">
        <v>7</v>
      </c>
      <c r="C18" s="2468"/>
      <c r="D18" s="2469"/>
      <c r="E18" s="1946"/>
      <c r="F18" s="1946"/>
      <c r="G18" s="1943"/>
      <c r="H18" s="1947">
        <f t="shared" si="0"/>
        <v>0</v>
      </c>
      <c r="I18" s="1943">
        <v>47500</v>
      </c>
      <c r="J18" s="1943"/>
      <c r="K18" s="1943"/>
      <c r="L18" s="1944">
        <f t="shared" si="1"/>
        <v>47500</v>
      </c>
      <c r="M18" s="838"/>
      <c r="N18" s="1998"/>
    </row>
    <row r="19" spans="1:14" ht="13.5" thickBot="1" x14ac:dyDescent="0.25">
      <c r="A19" s="2003">
        <v>8</v>
      </c>
      <c r="B19" s="1948" t="s">
        <v>1152</v>
      </c>
      <c r="C19" s="838"/>
      <c r="D19" s="1949"/>
      <c r="E19" s="1950">
        <f t="shared" ref="E19:L19" si="2">SUM(E12:E17)-E18</f>
        <v>775051</v>
      </c>
      <c r="F19" s="1950">
        <f t="shared" si="2"/>
        <v>0</v>
      </c>
      <c r="G19" s="1950">
        <f t="shared" ref="G19" si="3">SUM(G12:G17)-G18</f>
        <v>251910</v>
      </c>
      <c r="H19" s="1950">
        <f t="shared" si="2"/>
        <v>1026961</v>
      </c>
      <c r="I19" s="1950">
        <f t="shared" si="2"/>
        <v>661750</v>
      </c>
      <c r="J19" s="1950">
        <f t="shared" si="2"/>
        <v>0</v>
      </c>
      <c r="K19" s="1950">
        <f t="shared" si="2"/>
        <v>245000</v>
      </c>
      <c r="L19" s="1950">
        <f t="shared" si="2"/>
        <v>906750</v>
      </c>
      <c r="M19" s="838"/>
      <c r="N19" s="1998"/>
    </row>
    <row r="20" spans="1:14" ht="13.5" thickTop="1" x14ac:dyDescent="0.2">
      <c r="A20" s="2003">
        <v>9</v>
      </c>
      <c r="B20" s="2470" t="s">
        <v>2017</v>
      </c>
      <c r="C20" s="2470"/>
      <c r="D20" s="2471"/>
      <c r="E20" s="1951"/>
      <c r="F20" s="1951"/>
      <c r="G20" s="1951"/>
      <c r="H20" s="1951"/>
      <c r="I20" s="1951"/>
      <c r="J20" s="1951"/>
      <c r="K20" s="1951"/>
      <c r="L20" s="1952">
        <f>IF(AND(H19&gt;0,L19&gt;0),(((L19-H19)/H19)),"Enter Budget Data")</f>
        <v>-0.11705507804093826</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2"/>
      <c r="D27" s="2472"/>
      <c r="E27" s="843"/>
      <c r="F27" s="2473"/>
      <c r="G27" s="2473"/>
      <c r="H27" s="2473"/>
      <c r="I27" s="838"/>
      <c r="J27" s="838"/>
      <c r="K27" s="838"/>
      <c r="L27" s="838"/>
      <c r="M27" s="838"/>
      <c r="N27" s="1998"/>
    </row>
    <row r="28" spans="1:14" x14ac:dyDescent="0.2">
      <c r="A28" s="1997"/>
      <c r="B28" s="2007"/>
      <c r="C28" s="1957" t="s">
        <v>1025</v>
      </c>
      <c r="D28" s="844"/>
      <c r="E28" s="1958"/>
      <c r="F28" s="2474" t="s">
        <v>1494</v>
      </c>
      <c r="G28" s="2474"/>
      <c r="H28" s="2474"/>
      <c r="I28" s="838"/>
      <c r="J28" s="838"/>
      <c r="K28" s="838"/>
      <c r="L28" s="838"/>
      <c r="M28" s="838"/>
      <c r="N28" s="1998"/>
    </row>
    <row r="29" spans="1:14" x14ac:dyDescent="0.2">
      <c r="A29" s="1997"/>
      <c r="B29" s="2007"/>
      <c r="C29" s="2475"/>
      <c r="D29" s="2475"/>
      <c r="E29" s="845"/>
      <c r="F29" s="2475"/>
      <c r="G29" s="2475"/>
      <c r="H29" s="2475"/>
      <c r="I29" s="838"/>
      <c r="J29" s="838"/>
      <c r="K29" s="838"/>
      <c r="L29" s="838"/>
      <c r="M29" s="838"/>
      <c r="N29" s="1998"/>
    </row>
    <row r="30" spans="1:14" x14ac:dyDescent="0.2">
      <c r="A30" s="1997"/>
      <c r="B30" s="2007"/>
      <c r="C30" s="1960" t="s">
        <v>1546</v>
      </c>
      <c r="D30" s="838"/>
      <c r="E30" s="1959"/>
      <c r="F30" s="2459" t="s">
        <v>1495</v>
      </c>
      <c r="G30" s="2459"/>
      <c r="H30" s="245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6" t="s">
        <v>2020</v>
      </c>
      <c r="D34" s="2437"/>
      <c r="E34" s="2437"/>
      <c r="F34" s="2437"/>
      <c r="G34" s="2437"/>
      <c r="H34" s="2437"/>
      <c r="I34" s="2437"/>
      <c r="J34" s="2437"/>
      <c r="K34" s="2016"/>
      <c r="L34" s="838"/>
      <c r="M34" s="838"/>
      <c r="N34" s="1998"/>
    </row>
    <row r="35" spans="1:14" x14ac:dyDescent="0.2">
      <c r="A35" s="1997"/>
      <c r="B35" s="838"/>
      <c r="C35" s="2437"/>
      <c r="D35" s="2437"/>
      <c r="E35" s="2437"/>
      <c r="F35" s="2437"/>
      <c r="G35" s="2437"/>
      <c r="H35" s="2437"/>
      <c r="I35" s="2437"/>
      <c r="J35" s="243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6" t="s">
        <v>2021</v>
      </c>
      <c r="D37" s="2437"/>
      <c r="E37" s="2437"/>
      <c r="F37" s="2437"/>
      <c r="G37" s="2437"/>
      <c r="H37" s="2437"/>
      <c r="I37" s="2437"/>
      <c r="J37" s="2437"/>
      <c r="K37" s="2016"/>
      <c r="L37" s="2018"/>
      <c r="M37" s="838"/>
      <c r="N37" s="1998"/>
    </row>
    <row r="38" spans="1:14" x14ac:dyDescent="0.2">
      <c r="A38" s="1997"/>
      <c r="B38" s="838"/>
      <c r="C38" s="2437"/>
      <c r="D38" s="2437"/>
      <c r="E38" s="2437"/>
      <c r="F38" s="2437"/>
      <c r="G38" s="2437"/>
      <c r="H38" s="2437"/>
      <c r="I38" s="2437"/>
      <c r="J38" s="243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8" t="s">
        <v>2022</v>
      </c>
      <c r="D40" s="2439"/>
      <c r="E40" s="2439"/>
      <c r="F40" s="2439"/>
      <c r="G40" s="2439"/>
      <c r="H40" s="2439"/>
      <c r="I40" s="2439"/>
      <c r="J40" s="243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0" t="s">
        <v>2023</v>
      </c>
      <c r="B43" s="2441"/>
      <c r="C43" s="2441"/>
      <c r="D43" s="2441"/>
      <c r="E43" s="2441"/>
      <c r="F43" s="2441"/>
      <c r="G43" s="2441"/>
      <c r="H43" s="2441"/>
      <c r="I43" s="2441"/>
      <c r="J43" s="2441"/>
      <c r="K43" s="2441"/>
      <c r="L43" s="2441"/>
      <c r="M43" s="2441"/>
      <c r="N43" s="244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443" t="s">
        <v>2025</v>
      </c>
      <c r="B46" s="2444"/>
      <c r="C46" s="2444"/>
      <c r="D46" s="2444"/>
      <c r="E46" s="2444"/>
      <c r="F46" s="2444"/>
      <c r="G46" s="2444"/>
      <c r="H46" s="2444"/>
      <c r="I46" s="2444"/>
      <c r="J46" s="2444"/>
      <c r="K46" s="2444"/>
      <c r="L46" s="2444"/>
      <c r="M46" s="2444"/>
      <c r="N46" s="2445"/>
    </row>
    <row r="47" spans="1:14" x14ac:dyDescent="0.2">
      <c r="A47" s="2443"/>
      <c r="B47" s="2444"/>
      <c r="C47" s="2444"/>
      <c r="D47" s="2444"/>
      <c r="E47" s="2444"/>
      <c r="F47" s="2444"/>
      <c r="G47" s="2444"/>
      <c r="H47" s="2444"/>
      <c r="I47" s="2444"/>
      <c r="J47" s="2444"/>
      <c r="K47" s="2444"/>
      <c r="L47" s="2444"/>
      <c r="M47" s="2444"/>
      <c r="N47" s="244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46" t="str">
        <f>J6</f>
        <v>LaGrange SD 102</v>
      </c>
      <c r="M52" s="2446"/>
      <c r="N52" s="2447"/>
    </row>
    <row r="53" spans="1:14" x14ac:dyDescent="0.2">
      <c r="A53" s="1982"/>
      <c r="B53" s="1983"/>
      <c r="C53" s="1983"/>
      <c r="D53" s="1983"/>
      <c r="E53" s="1983"/>
      <c r="F53" s="1983"/>
      <c r="G53" s="1983"/>
      <c r="H53" s="1983"/>
      <c r="I53" s="1983"/>
      <c r="J53" s="1983"/>
      <c r="K53" s="1924" t="s">
        <v>368</v>
      </c>
      <c r="L53" s="2448">
        <f>J7</f>
        <v>6016102002</v>
      </c>
      <c r="M53" s="2448"/>
      <c r="N53" s="244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0"/>
      <c r="B55" s="2451"/>
      <c r="C55" s="2451"/>
      <c r="D55" s="1970"/>
      <c r="E55" s="1970"/>
      <c r="F55" s="1970"/>
      <c r="G55" s="2452" t="s">
        <v>2026</v>
      </c>
      <c r="H55" s="2452"/>
      <c r="I55" s="2452"/>
      <c r="J55" s="2452"/>
      <c r="K55" s="2452"/>
      <c r="L55" s="2452"/>
      <c r="M55" s="2452"/>
      <c r="N55" s="2453"/>
    </row>
    <row r="56" spans="1:14" ht="63.75" x14ac:dyDescent="0.2">
      <c r="A56" s="2454" t="s">
        <v>2027</v>
      </c>
      <c r="B56" s="2455"/>
      <c r="C56" s="2456"/>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457" t="s">
        <v>295</v>
      </c>
      <c r="B57" s="2458"/>
      <c r="C57" s="245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4" t="s">
        <v>2037</v>
      </c>
      <c r="B58" s="2435"/>
      <c r="C58" s="2435"/>
      <c r="D58" s="1967">
        <v>2362</v>
      </c>
      <c r="E58" s="1977">
        <f>'Expenditures 15-22'!K320</f>
        <v>153390</v>
      </c>
      <c r="F58" s="1972"/>
      <c r="G58" s="2031">
        <v>153390</v>
      </c>
      <c r="H58" s="2032"/>
      <c r="I58" s="2032"/>
      <c r="J58" s="2032"/>
      <c r="K58" s="2032"/>
      <c r="L58" s="2032"/>
      <c r="M58" s="2032"/>
      <c r="N58" s="1975">
        <f>IF((SUM(G58:M58))=E58,SUM(G58:M58),"Column N does not agree with Column E")</f>
        <v>153390</v>
      </c>
    </row>
    <row r="59" spans="1:14" ht="24.75" customHeight="1" x14ac:dyDescent="0.2">
      <c r="A59" s="2428" t="s">
        <v>296</v>
      </c>
      <c r="B59" s="2429"/>
      <c r="C59" s="242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8" t="s">
        <v>236</v>
      </c>
      <c r="B60" s="2429"/>
      <c r="C60" s="2429"/>
      <c r="D60" s="1967">
        <v>2364</v>
      </c>
      <c r="E60" s="1977">
        <f>'Expenditures 15-22'!K322</f>
        <v>97647</v>
      </c>
      <c r="F60" s="1972"/>
      <c r="G60" s="2031">
        <v>97647</v>
      </c>
      <c r="H60" s="2032"/>
      <c r="I60" s="2032"/>
      <c r="J60" s="2032"/>
      <c r="K60" s="2032"/>
      <c r="L60" s="2032"/>
      <c r="M60" s="2032"/>
      <c r="N60" s="1975">
        <f t="shared" ref="N60:N67" si="4">IF((SUM(G60:M60))=E60,SUM(G60:M60),"Column N does not agree with Column E")</f>
        <v>97647</v>
      </c>
    </row>
    <row r="61" spans="1:14" ht="24.75" customHeight="1" x14ac:dyDescent="0.2">
      <c r="A61" s="2428" t="s">
        <v>696</v>
      </c>
      <c r="B61" s="2429"/>
      <c r="C61" s="2429"/>
      <c r="D61" s="1967">
        <v>2365</v>
      </c>
      <c r="E61" s="1977">
        <f>'Expenditures 15-22'!K323</f>
        <v>0</v>
      </c>
      <c r="F61" s="1972"/>
      <c r="G61" s="2031"/>
      <c r="H61" s="2032"/>
      <c r="I61" s="2032"/>
      <c r="J61" s="2032"/>
      <c r="K61" s="2032"/>
      <c r="L61" s="2032"/>
      <c r="M61" s="2032"/>
      <c r="N61" s="1975">
        <f t="shared" si="4"/>
        <v>0</v>
      </c>
    </row>
    <row r="62" spans="1:14" ht="24" customHeight="1" x14ac:dyDescent="0.2">
      <c r="A62" s="2428" t="s">
        <v>237</v>
      </c>
      <c r="B62" s="2429"/>
      <c r="C62" s="2429"/>
      <c r="D62" s="1967">
        <v>2366</v>
      </c>
      <c r="E62" s="1977">
        <f>'Expenditures 15-22'!K324</f>
        <v>0</v>
      </c>
      <c r="F62" s="1972"/>
      <c r="G62" s="2031"/>
      <c r="H62" s="2032"/>
      <c r="I62" s="2032"/>
      <c r="J62" s="2032"/>
      <c r="K62" s="2032"/>
      <c r="L62" s="2032"/>
      <c r="M62" s="2032"/>
      <c r="N62" s="1975">
        <f t="shared" si="4"/>
        <v>0</v>
      </c>
    </row>
    <row r="63" spans="1:14" ht="24" customHeight="1" x14ac:dyDescent="0.2">
      <c r="A63" s="2434" t="s">
        <v>1021</v>
      </c>
      <c r="B63" s="2435"/>
      <c r="C63" s="2435"/>
      <c r="D63" s="1967">
        <v>2367</v>
      </c>
      <c r="E63" s="1977">
        <f>'Expenditures 15-22'!K325</f>
        <v>873</v>
      </c>
      <c r="F63" s="1972"/>
      <c r="G63" s="2031">
        <v>873</v>
      </c>
      <c r="H63" s="2032"/>
      <c r="I63" s="2032"/>
      <c r="J63" s="2032"/>
      <c r="K63" s="2032"/>
      <c r="L63" s="2032"/>
      <c r="M63" s="2032"/>
      <c r="N63" s="1975">
        <f t="shared" si="4"/>
        <v>873</v>
      </c>
    </row>
    <row r="64" spans="1:14" ht="24" customHeight="1" x14ac:dyDescent="0.2">
      <c r="A64" s="2428" t="s">
        <v>1022</v>
      </c>
      <c r="B64" s="2429"/>
      <c r="C64" s="2429"/>
      <c r="D64" s="1967">
        <v>2368</v>
      </c>
      <c r="E64" s="1977">
        <f>'Expenditures 15-22'!K326</f>
        <v>0</v>
      </c>
      <c r="F64" s="1972"/>
      <c r="G64" s="2031"/>
      <c r="H64" s="2032"/>
      <c r="I64" s="2032"/>
      <c r="J64" s="2032"/>
      <c r="K64" s="2032"/>
      <c r="L64" s="2032"/>
      <c r="M64" s="2032"/>
      <c r="N64" s="1975">
        <f t="shared" si="4"/>
        <v>0</v>
      </c>
    </row>
    <row r="65" spans="1:14" ht="24" customHeight="1" x14ac:dyDescent="0.2">
      <c r="A65" s="2428" t="s">
        <v>964</v>
      </c>
      <c r="B65" s="2429"/>
      <c r="C65" s="2429"/>
      <c r="D65" s="1967">
        <v>2369</v>
      </c>
      <c r="E65" s="1977">
        <f>'Expenditures 15-22'!K327</f>
        <v>0</v>
      </c>
      <c r="F65" s="1972"/>
      <c r="G65" s="2031"/>
      <c r="H65" s="2032"/>
      <c r="I65" s="2032"/>
      <c r="J65" s="2032"/>
      <c r="K65" s="2032"/>
      <c r="L65" s="2032"/>
      <c r="M65" s="2032"/>
      <c r="N65" s="1975">
        <f t="shared" si="4"/>
        <v>0</v>
      </c>
    </row>
    <row r="66" spans="1:14" ht="24" customHeight="1" x14ac:dyDescent="0.2">
      <c r="A66" s="2428" t="s">
        <v>468</v>
      </c>
      <c r="B66" s="2429"/>
      <c r="C66" s="2429"/>
      <c r="D66" s="1967">
        <v>2371</v>
      </c>
      <c r="E66" s="1977">
        <f>'Expenditures 15-22'!K328</f>
        <v>0</v>
      </c>
      <c r="F66" s="1972"/>
      <c r="G66" s="2031"/>
      <c r="H66" s="2032"/>
      <c r="I66" s="2032"/>
      <c r="J66" s="2032"/>
      <c r="K66" s="2032"/>
      <c r="L66" s="2032"/>
      <c r="M66" s="2032"/>
      <c r="N66" s="1975">
        <f t="shared" si="4"/>
        <v>0</v>
      </c>
    </row>
    <row r="67" spans="1:14" ht="24.75" customHeight="1" x14ac:dyDescent="0.2">
      <c r="A67" s="2430" t="s">
        <v>2038</v>
      </c>
      <c r="B67" s="2431"/>
      <c r="C67" s="2431"/>
      <c r="D67" s="1969">
        <v>2372</v>
      </c>
      <c r="E67" s="1978">
        <f>'Expenditures 15-22'!K329</f>
        <v>0</v>
      </c>
      <c r="F67" s="1972"/>
      <c r="G67" s="2033"/>
      <c r="H67" s="2034"/>
      <c r="I67" s="2034"/>
      <c r="J67" s="2034"/>
      <c r="K67" s="2034"/>
      <c r="L67" s="2034"/>
      <c r="M67" s="2034"/>
      <c r="N67" s="1975">
        <f t="shared" si="4"/>
        <v>0</v>
      </c>
    </row>
    <row r="68" spans="1:14" x14ac:dyDescent="0.2">
      <c r="A68" s="2432" t="s">
        <v>1152</v>
      </c>
      <c r="B68" s="2433"/>
      <c r="C68" s="2433"/>
      <c r="D68" s="1970"/>
      <c r="E68" s="1974">
        <f>SUM(E57:E67)</f>
        <v>251910</v>
      </c>
      <c r="F68" s="1973"/>
      <c r="G68" s="1974">
        <f t="shared" ref="G68:N68" si="5">SUM(G57:G67)</f>
        <v>251910</v>
      </c>
      <c r="H68" s="1974">
        <f t="shared" si="5"/>
        <v>0</v>
      </c>
      <c r="I68" s="1974">
        <f t="shared" si="5"/>
        <v>0</v>
      </c>
      <c r="J68" s="1974">
        <f t="shared" si="5"/>
        <v>0</v>
      </c>
      <c r="K68" s="1974">
        <f t="shared" si="5"/>
        <v>0</v>
      </c>
      <c r="L68" s="1974">
        <f t="shared" si="5"/>
        <v>0</v>
      </c>
      <c r="M68" s="1974">
        <f t="shared" si="5"/>
        <v>0</v>
      </c>
      <c r="N68" s="1988">
        <f t="shared" si="5"/>
        <v>251910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17" sqref="C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366" t="s">
        <v>2063</v>
      </c>
    </row>
    <row r="5" spans="1:2" x14ac:dyDescent="0.2">
      <c r="A5" s="847">
        <v>1</v>
      </c>
      <c r="B5" s="307" t="s">
        <v>2064</v>
      </c>
    </row>
    <row r="6" spans="1:2" x14ac:dyDescent="0.2">
      <c r="A6" s="847">
        <v>2</v>
      </c>
      <c r="B6" s="307" t="s">
        <v>2104</v>
      </c>
    </row>
    <row r="7" spans="1:2" x14ac:dyDescent="0.2">
      <c r="A7" s="847">
        <v>3</v>
      </c>
      <c r="B7" s="307" t="s">
        <v>2103</v>
      </c>
    </row>
    <row r="8" spans="1:2" x14ac:dyDescent="0.2">
      <c r="A8" s="847">
        <v>4</v>
      </c>
      <c r="B8" s="307" t="s">
        <v>2105</v>
      </c>
    </row>
    <row r="9" spans="1:2" x14ac:dyDescent="0.2">
      <c r="A9" s="848">
        <v>5</v>
      </c>
      <c r="B9" s="307" t="s">
        <v>2106</v>
      </c>
    </row>
    <row r="10" spans="1:2" x14ac:dyDescent="0.2">
      <c r="A10" s="848">
        <v>6</v>
      </c>
      <c r="B10" s="307" t="s">
        <v>2107</v>
      </c>
    </row>
    <row r="11" spans="1:2" x14ac:dyDescent="0.2">
      <c r="A11" s="848">
        <v>7</v>
      </c>
      <c r="B11" s="307" t="s">
        <v>2108</v>
      </c>
    </row>
    <row r="12" spans="1:2" x14ac:dyDescent="0.2">
      <c r="A12" s="848"/>
      <c r="B12" s="307" t="s">
        <v>2109</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LaGrange SD 102</v>
      </c>
    </row>
    <row r="65" spans="2:2" x14ac:dyDescent="0.2">
      <c r="B65" s="849">
        <f>COVER!A13</f>
        <v>6016102002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1826</v>
      </c>
      <c r="C4" s="157" t="s">
        <v>1160</v>
      </c>
      <c r="D4" s="164" t="s">
        <v>10</v>
      </c>
      <c r="E4" s="165" t="s">
        <v>22</v>
      </c>
    </row>
    <row r="5" spans="1:5" x14ac:dyDescent="0.2">
      <c r="A5" s="163" t="s">
        <v>1828</v>
      </c>
      <c r="C5" s="157" t="s">
        <v>1160</v>
      </c>
      <c r="D5" s="164" t="s">
        <v>10</v>
      </c>
      <c r="E5" s="165" t="s">
        <v>22</v>
      </c>
    </row>
    <row r="6" spans="1:5" x14ac:dyDescent="0.2">
      <c r="A6" s="163" t="s">
        <v>1827</v>
      </c>
      <c r="C6" s="157" t="s">
        <v>1160</v>
      </c>
      <c r="D6" s="162" t="s">
        <v>11</v>
      </c>
      <c r="E6" s="165" t="s">
        <v>934</v>
      </c>
    </row>
    <row r="7" spans="1:5" x14ac:dyDescent="0.2">
      <c r="A7" s="163" t="s">
        <v>1829</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1830</v>
      </c>
      <c r="C11" s="157" t="s">
        <v>1160</v>
      </c>
      <c r="D11" s="164" t="s">
        <v>14</v>
      </c>
      <c r="E11" s="165" t="s">
        <v>1147</v>
      </c>
    </row>
    <row r="12" spans="1:5" x14ac:dyDescent="0.2">
      <c r="B12" s="164" t="s">
        <v>1831</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1832</v>
      </c>
      <c r="C15" s="157" t="s">
        <v>1160</v>
      </c>
      <c r="D15" s="164" t="s">
        <v>17</v>
      </c>
      <c r="E15" s="165" t="s">
        <v>630</v>
      </c>
    </row>
    <row r="16" spans="1:5" x14ac:dyDescent="0.2">
      <c r="A16" s="167"/>
      <c r="B16" s="157" t="s">
        <v>1833</v>
      </c>
      <c r="C16" s="157" t="s">
        <v>1160</v>
      </c>
      <c r="D16" s="164" t="s">
        <v>675</v>
      </c>
      <c r="E16" s="165" t="s">
        <v>1032</v>
      </c>
    </row>
    <row r="17" spans="1:5" x14ac:dyDescent="0.2">
      <c r="B17" s="162" t="s">
        <v>980</v>
      </c>
      <c r="C17" s="157" t="s">
        <v>1160</v>
      </c>
    </row>
    <row r="18" spans="1:5" x14ac:dyDescent="0.2">
      <c r="B18" s="162" t="s">
        <v>1839</v>
      </c>
      <c r="D18" s="164" t="s">
        <v>18</v>
      </c>
      <c r="E18" s="165" t="s">
        <v>1033</v>
      </c>
    </row>
    <row r="19" spans="1:5" x14ac:dyDescent="0.2">
      <c r="A19" s="163" t="s">
        <v>1091</v>
      </c>
      <c r="C19" s="157" t="s">
        <v>1160</v>
      </c>
      <c r="D19" s="164"/>
      <c r="E19" s="166"/>
    </row>
    <row r="20" spans="1:5" x14ac:dyDescent="0.2">
      <c r="B20" s="162" t="s">
        <v>1834</v>
      </c>
      <c r="C20" s="157" t="s">
        <v>1160</v>
      </c>
      <c r="D20" s="164" t="s">
        <v>19</v>
      </c>
      <c r="E20" s="165" t="s">
        <v>51</v>
      </c>
    </row>
    <row r="21" spans="1:5" x14ac:dyDescent="0.2">
      <c r="B21" s="162" t="s">
        <v>1835</v>
      </c>
      <c r="C21" s="157" t="s">
        <v>1160</v>
      </c>
      <c r="D21" s="164" t="s">
        <v>20</v>
      </c>
      <c r="E21" s="165" t="s">
        <v>1595</v>
      </c>
    </row>
    <row r="22" spans="1:5" x14ac:dyDescent="0.2">
      <c r="A22" s="163"/>
      <c r="B22" s="157" t="s">
        <v>1823</v>
      </c>
      <c r="C22" s="157" t="s">
        <v>1160</v>
      </c>
      <c r="D22" s="162" t="s">
        <v>1825</v>
      </c>
      <c r="E22" s="1470" t="s">
        <v>1596</v>
      </c>
    </row>
    <row r="23" spans="1:5" x14ac:dyDescent="0.2">
      <c r="A23" s="163"/>
      <c r="B23" s="157" t="s">
        <v>1824</v>
      </c>
      <c r="D23" s="162" t="s">
        <v>631</v>
      </c>
      <c r="E23" s="1470" t="s">
        <v>952</v>
      </c>
    </row>
    <row r="24" spans="1:5" x14ac:dyDescent="0.2">
      <c r="A24" s="163" t="s">
        <v>1594</v>
      </c>
      <c r="C24" s="157" t="s">
        <v>1160</v>
      </c>
      <c r="D24" s="162" t="s">
        <v>1378</v>
      </c>
      <c r="E24" s="165" t="s">
        <v>953</v>
      </c>
    </row>
    <row r="25" spans="1:5" x14ac:dyDescent="0.2">
      <c r="A25" s="163" t="s">
        <v>1836</v>
      </c>
      <c r="C25" s="157" t="s">
        <v>1160</v>
      </c>
      <c r="D25" s="164" t="s">
        <v>21</v>
      </c>
      <c r="E25" s="165" t="s">
        <v>1034</v>
      </c>
    </row>
    <row r="26" spans="1:5" x14ac:dyDescent="0.2">
      <c r="A26" s="163" t="s">
        <v>1837</v>
      </c>
      <c r="C26" s="157" t="s">
        <v>1160</v>
      </c>
      <c r="D26" s="164" t="s">
        <v>558</v>
      </c>
      <c r="E26" s="165" t="s">
        <v>1035</v>
      </c>
    </row>
    <row r="27" spans="1:5" x14ac:dyDescent="0.2">
      <c r="A27" s="163" t="s">
        <v>1838</v>
      </c>
      <c r="C27" s="157" t="s">
        <v>1160</v>
      </c>
      <c r="D27" s="164" t="s">
        <v>552</v>
      </c>
      <c r="E27" s="165" t="s">
        <v>677</v>
      </c>
    </row>
    <row r="28" spans="1:5" x14ac:dyDescent="0.2">
      <c r="A28" s="163" t="s">
        <v>1840</v>
      </c>
      <c r="D28" s="164" t="s">
        <v>678</v>
      </c>
      <c r="E28" s="165" t="s">
        <v>1351</v>
      </c>
    </row>
    <row r="29" spans="1:5" x14ac:dyDescent="0.2">
      <c r="A29" s="163" t="s">
        <v>1841</v>
      </c>
      <c r="D29" s="164" t="s">
        <v>1379</v>
      </c>
      <c r="E29" s="165" t="s">
        <v>1360</v>
      </c>
    </row>
    <row r="30" spans="1:5" x14ac:dyDescent="0.2">
      <c r="A30" s="168" t="s">
        <v>1842</v>
      </c>
      <c r="C30" s="157" t="s">
        <v>1160</v>
      </c>
      <c r="D30" s="164" t="s">
        <v>40</v>
      </c>
      <c r="E30" s="165" t="s">
        <v>974</v>
      </c>
    </row>
    <row r="31" spans="1:5" x14ac:dyDescent="0.2">
      <c r="A31" s="163" t="s">
        <v>1506</v>
      </c>
      <c r="C31" s="157" t="s">
        <v>1160</v>
      </c>
      <c r="D31" s="162"/>
      <c r="E31" s="166"/>
    </row>
    <row r="32" spans="1:5" x14ac:dyDescent="0.2">
      <c r="B32" s="162" t="s">
        <v>1843</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2" t="s">
        <v>1057</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685</v>
      </c>
      <c r="B40" s="2159"/>
      <c r="C40" s="2159"/>
      <c r="D40" s="2159"/>
      <c r="E40" s="2159"/>
    </row>
    <row r="41" spans="1:5" x14ac:dyDescent="0.2">
      <c r="A41" s="2160" t="s">
        <v>1593</v>
      </c>
      <c r="B41" s="2160"/>
      <c r="C41" s="2160"/>
      <c r="D41" s="2160"/>
      <c r="E41" s="2160"/>
    </row>
    <row r="42" spans="1:5" ht="12.75" customHeight="1" x14ac:dyDescent="0.2">
      <c r="A42" s="2161" t="s">
        <v>1014</v>
      </c>
      <c r="B42" s="2161"/>
      <c r="C42" s="2161"/>
      <c r="D42" s="2161"/>
      <c r="E42" s="216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76" t="s">
        <v>1667</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4033"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Document.2017"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1671</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1968</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1672</v>
      </c>
      <c r="B6" s="2494"/>
      <c r="C6" s="2494"/>
      <c r="D6" s="2494"/>
      <c r="E6" s="2494"/>
      <c r="F6" s="2495"/>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3">
        <f>'Acct Summary 7-8'!C8</f>
        <v>34606976</v>
      </c>
      <c r="C8" s="1813">
        <f>'Acct Summary 7-8'!D8</f>
        <v>4152170</v>
      </c>
      <c r="D8" s="1813">
        <f>'Acct Summary 7-8'!F8</f>
        <v>1279074</v>
      </c>
      <c r="E8" s="1813">
        <f>'Acct Summary 7-8'!I8</f>
        <v>401196</v>
      </c>
      <c r="F8" s="1813">
        <f>SUM(B8:E8)</f>
        <v>40439416</v>
      </c>
    </row>
    <row r="9" spans="1:8" s="858" customFormat="1" ht="14.25" customHeight="1" thickBot="1" x14ac:dyDescent="0.25">
      <c r="A9" s="857" t="s">
        <v>1354</v>
      </c>
      <c r="B9" s="1814">
        <f>'Acct Summary 7-8'!C17</f>
        <v>34549699</v>
      </c>
      <c r="C9" s="1814">
        <f>'Acct Summary 7-8'!D17</f>
        <v>3985771</v>
      </c>
      <c r="D9" s="1814">
        <f>'Acct Summary 7-8'!F17</f>
        <v>1176977</v>
      </c>
      <c r="E9" s="1813"/>
      <c r="F9" s="1813">
        <f>SUM(B9:E9)</f>
        <v>39712447</v>
      </c>
    </row>
    <row r="10" spans="1:8" s="858" customFormat="1" ht="14.25" thickTop="1" thickBot="1" x14ac:dyDescent="0.25">
      <c r="A10" s="859" t="s">
        <v>1355</v>
      </c>
      <c r="B10" s="1815">
        <f>(B8-B9)</f>
        <v>57277</v>
      </c>
      <c r="C10" s="1815">
        <f>(C8-C9)</f>
        <v>166399</v>
      </c>
      <c r="D10" s="1815">
        <f>(D8-D9)</f>
        <v>102097</v>
      </c>
      <c r="E10" s="1814">
        <f>(E8-E9)</f>
        <v>401196</v>
      </c>
      <c r="F10" s="1816">
        <f>SUM(F8-F9)</f>
        <v>726969</v>
      </c>
    </row>
    <row r="11" spans="1:8" s="858" customFormat="1" ht="14.25" thickTop="1" thickBot="1" x14ac:dyDescent="0.25">
      <c r="A11" s="860" t="s">
        <v>1899</v>
      </c>
      <c r="B11" s="1817">
        <f>'Acct Summary 7-8'!C81</f>
        <v>3322837</v>
      </c>
      <c r="C11" s="1817">
        <f>'Acct Summary 7-8'!D81</f>
        <v>3163689</v>
      </c>
      <c r="D11" s="1817">
        <f>'Acct Summary 7-8'!F81</f>
        <v>772687</v>
      </c>
      <c r="E11" s="1817">
        <f>'Acct Summary 7-8'!I81</f>
        <v>1108093</v>
      </c>
      <c r="F11" s="1818">
        <f>SUM(B11:E11)</f>
        <v>8367306</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1668</v>
      </c>
      <c r="B16" s="2480"/>
      <c r="C16" s="2480"/>
      <c r="D16" s="2480"/>
      <c r="E16" s="2480"/>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659</v>
      </c>
      <c r="B3" s="2503"/>
      <c r="C3" s="2503"/>
      <c r="D3" s="2504"/>
    </row>
    <row r="4" spans="1:4" x14ac:dyDescent="0.2">
      <c r="A4" s="931" t="s">
        <v>1673</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3" t="s">
        <v>1489</v>
      </c>
      <c r="D7" s="2514"/>
    </row>
    <row r="8" spans="1:4" s="542" customFormat="1" ht="12.75" x14ac:dyDescent="0.2">
      <c r="A8" s="917"/>
      <c r="B8" s="872"/>
      <c r="C8" s="875" t="s">
        <v>1488</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05" t="s">
        <v>1000</v>
      </c>
      <c r="B15" s="2506"/>
      <c r="C15" s="2506"/>
      <c r="D15" s="2507"/>
    </row>
    <row r="16" spans="1:4" s="542" customFormat="1" ht="24" customHeight="1" x14ac:dyDescent="0.2">
      <c r="A16" s="2508" t="s">
        <v>657</v>
      </c>
      <c r="B16" s="2509"/>
      <c r="C16" s="2509"/>
      <c r="D16" s="2510"/>
    </row>
    <row r="17" spans="1:10" s="542" customFormat="1" ht="12.75" customHeight="1" x14ac:dyDescent="0.2">
      <c r="A17" s="935" t="s">
        <v>1674</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17" t="s">
        <v>310</v>
      </c>
      <c r="D21" s="2518"/>
    </row>
    <row r="22" spans="1:10" ht="12.75" x14ac:dyDescent="0.2">
      <c r="A22" s="918"/>
      <c r="B22" s="919">
        <v>2</v>
      </c>
      <c r="C22" s="2515" t="s">
        <v>1509</v>
      </c>
      <c r="D22" s="2516"/>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9" t="s">
        <v>532</v>
      </c>
      <c r="D43" s="2520"/>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11" t="s">
        <v>778</v>
      </c>
      <c r="D56" s="2512"/>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11" t="s">
        <v>1676</v>
      </c>
      <c r="D70" s="2512"/>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1"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900" t="s">
        <v>1974</v>
      </c>
    </row>
    <row r="2" spans="1:7" ht="15.75" x14ac:dyDescent="0.25">
      <c r="A2" t="s">
        <v>260</v>
      </c>
      <c r="B2" s="135">
        <f>COVER!A13</f>
        <v>6016102002</v>
      </c>
      <c r="E2" s="1542">
        <v>2020</v>
      </c>
      <c r="F2" s="1542">
        <v>1</v>
      </c>
      <c r="G2" s="1899">
        <v>101000300</v>
      </c>
    </row>
    <row r="3" spans="1:7" ht="15" x14ac:dyDescent="0.25">
      <c r="A3" t="s">
        <v>949</v>
      </c>
      <c r="B3" s="135" t="str">
        <f>COVER!A15</f>
        <v>COOK</v>
      </c>
      <c r="E3" s="1830" t="s">
        <v>1967</v>
      </c>
      <c r="F3" s="1830" t="s">
        <v>1966</v>
      </c>
      <c r="G3" s="1899">
        <v>101000400</v>
      </c>
    </row>
    <row r="4" spans="1:7" ht="15" x14ac:dyDescent="0.25">
      <c r="A4" t="s">
        <v>999</v>
      </c>
      <c r="B4" s="135" t="str">
        <f>COVER!A17</f>
        <v>LaGrange SD 102</v>
      </c>
      <c r="E4" s="1828">
        <v>44119</v>
      </c>
      <c r="F4" s="1829">
        <v>44151</v>
      </c>
      <c r="G4" s="1899">
        <v>101000600</v>
      </c>
    </row>
    <row r="5" spans="1:7" ht="15" x14ac:dyDescent="0.25">
      <c r="A5" t="s">
        <v>698</v>
      </c>
      <c r="B5" s="135" t="str">
        <f>COVER!A38</f>
        <v>DR. KYLE SCHUMACHER</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1528</v>
      </c>
      <c r="B12" s="135" t="str">
        <f>IF(COVER!J29="x","Yes",IF(COVER!L29="X","No",0))</f>
        <v>Yes</v>
      </c>
      <c r="G12" s="1899">
        <v>202100600</v>
      </c>
    </row>
    <row r="13" spans="1:7" ht="15" x14ac:dyDescent="0.25">
      <c r="A13" s="1" t="s">
        <v>1529</v>
      </c>
      <c r="B13" s="135" t="str">
        <f>IF(COVER!J30="x","Yes",IF(COVER!L30="x","No",0))</f>
        <v>Yes</v>
      </c>
      <c r="G13" s="1899">
        <v>202100800</v>
      </c>
    </row>
    <row r="14" spans="1:7" ht="15" x14ac:dyDescent="0.25">
      <c r="A14" t="s">
        <v>472</v>
      </c>
      <c r="B14" s="135" t="str">
        <f>IF(COVER!J31="x","Yes",IF(COVER!L31="x","No",0))</f>
        <v>Yes</v>
      </c>
      <c r="G14" s="1899">
        <v>402100300</v>
      </c>
    </row>
    <row r="15" spans="1:7" ht="15" x14ac:dyDescent="0.25">
      <c r="A15" t="s">
        <v>572</v>
      </c>
      <c r="B15" s="135" t="str">
        <f>COVER!T23</f>
        <v>066-003328</v>
      </c>
      <c r="G15" s="1899">
        <v>402100400</v>
      </c>
    </row>
    <row r="16" spans="1:7" ht="15" x14ac:dyDescent="0.25">
      <c r="A16" t="s">
        <v>418</v>
      </c>
      <c r="B16" s="135" t="str">
        <f>COVER!T13</f>
        <v>MUELLER &amp; CO., LLP</v>
      </c>
      <c r="G16" s="1899">
        <v>402100600</v>
      </c>
    </row>
    <row r="17" spans="1:7" ht="15" x14ac:dyDescent="0.25">
      <c r="A17" t="s">
        <v>877</v>
      </c>
      <c r="B17" s="135" t="str">
        <f>COVER!T15</f>
        <v>KEVIN BISSELL</v>
      </c>
      <c r="G17" s="1899">
        <v>402100800</v>
      </c>
    </row>
    <row r="18" spans="1:7" ht="15" x14ac:dyDescent="0.25">
      <c r="A18" t="s">
        <v>1141</v>
      </c>
      <c r="B18" s="135" t="str">
        <f>COVER!T17</f>
        <v>14300 RAVINIA AVE. SUITE 200</v>
      </c>
      <c r="G18" s="1899">
        <v>102200300</v>
      </c>
    </row>
    <row r="19" spans="1:7" ht="15" x14ac:dyDescent="0.25">
      <c r="A19" t="s">
        <v>879</v>
      </c>
      <c r="B19" s="135" t="str">
        <f>COVER!T25</f>
        <v>KBISSELL@MUELLERCPA.COM</v>
      </c>
      <c r="G19" s="1899">
        <v>102200400</v>
      </c>
    </row>
    <row r="20" spans="1:7" ht="15" x14ac:dyDescent="0.25">
      <c r="A20" t="s">
        <v>880</v>
      </c>
      <c r="B20" s="135" t="str">
        <f>COVER!T19</f>
        <v>ORLAND PARK</v>
      </c>
      <c r="G20" s="1899">
        <v>102200600</v>
      </c>
    </row>
    <row r="21" spans="1:7" ht="15" x14ac:dyDescent="0.25">
      <c r="A21" t="s">
        <v>475</v>
      </c>
      <c r="B21" s="135" t="str">
        <f>COVER!X19</f>
        <v>IL</v>
      </c>
      <c r="G21" s="1899">
        <v>102200800</v>
      </c>
    </row>
    <row r="22" spans="1:7" ht="15" x14ac:dyDescent="0.25">
      <c r="A22" t="s">
        <v>881</v>
      </c>
      <c r="B22" s="135">
        <f>COVER!Z19</f>
        <v>60462</v>
      </c>
      <c r="G22" s="1899">
        <v>102300300</v>
      </c>
    </row>
    <row r="23" spans="1:7" ht="15" x14ac:dyDescent="0.25">
      <c r="A23" t="s">
        <v>1143</v>
      </c>
      <c r="B23" s="135" t="str">
        <f>COVER!T21</f>
        <v>708-428-5305</v>
      </c>
      <c r="G23" s="1899">
        <v>102300400</v>
      </c>
    </row>
    <row r="24" spans="1:7" ht="15" x14ac:dyDescent="0.25">
      <c r="A24" t="s">
        <v>1142</v>
      </c>
      <c r="B24" s="135">
        <f>COVER!Y21</f>
        <v>0</v>
      </c>
      <c r="G24" s="1899">
        <v>102300600</v>
      </c>
    </row>
    <row r="25" spans="1:7" ht="15" x14ac:dyDescent="0.25">
      <c r="A25" t="s">
        <v>755</v>
      </c>
      <c r="B25" s="135">
        <f>COVER!B34</f>
        <v>0</v>
      </c>
      <c r="G25" s="1899">
        <v>102300800</v>
      </c>
    </row>
    <row r="26" spans="1:7" ht="15" x14ac:dyDescent="0.25">
      <c r="A26" t="s">
        <v>1144</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1466</v>
      </c>
      <c r="B49" s="135" t="str">
        <f>IF('Aud Quest 2'!B53="x","Yes",IF('Aud Quest 2'!B53&lt;&gt;"x","0"))</f>
        <v>Yes</v>
      </c>
      <c r="G49" s="1899">
        <v>102540800</v>
      </c>
    </row>
    <row r="50" spans="1:7" ht="15" x14ac:dyDescent="0.25">
      <c r="A50" s="1" t="s">
        <v>1465</v>
      </c>
      <c r="B50" s="146">
        <f>'Aud Quest 2'!H53</f>
        <v>34751</v>
      </c>
      <c r="G50" s="1899">
        <v>202540300</v>
      </c>
    </row>
    <row r="51" spans="1:7" ht="15" x14ac:dyDescent="0.25">
      <c r="A51" s="1" t="s">
        <v>1467</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5025392</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1702555</v>
      </c>
      <c r="C91" s="2" t="s">
        <v>568</v>
      </c>
      <c r="D91" s="2" t="str">
        <f t="shared" si="0"/>
        <v>Error?</v>
      </c>
      <c r="G91" s="1899">
        <v>102640400</v>
      </c>
    </row>
    <row r="92" spans="1:7" ht="15" x14ac:dyDescent="0.25">
      <c r="A92" s="5">
        <v>31</v>
      </c>
      <c r="B92" s="1832">
        <f>'Assets-Liab 5-6'!C39</f>
        <v>3322837</v>
      </c>
      <c r="D92" s="2" t="str">
        <f t="shared" si="0"/>
        <v>Error?</v>
      </c>
      <c r="G92" s="1899">
        <v>102640600</v>
      </c>
    </row>
    <row r="93" spans="1:7" ht="15" x14ac:dyDescent="0.25">
      <c r="A93" s="5">
        <v>32</v>
      </c>
      <c r="B93" s="1832">
        <f>'Assets-Liab 5-6'!C41</f>
        <v>5025392</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3163689</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3163689</v>
      </c>
      <c r="D123" s="2" t="str">
        <f t="shared" si="0"/>
        <v>Error?</v>
      </c>
      <c r="G123" s="1899">
        <v>203000400</v>
      </c>
    </row>
    <row r="124" spans="1:7" ht="15" x14ac:dyDescent="0.25">
      <c r="A124" s="5">
        <v>63</v>
      </c>
      <c r="B124" s="1832">
        <f>'Assets-Liab 5-6'!D41</f>
        <v>3163689</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2167051</v>
      </c>
      <c r="D130" s="2" t="str">
        <f t="shared" si="1"/>
        <v>Error?</v>
      </c>
    </row>
    <row r="131" spans="1:7" x14ac:dyDescent="0.2">
      <c r="A131" s="5">
        <v>70</v>
      </c>
      <c r="B131" s="1832">
        <f>'Assets-Liab 5-6'!E13</f>
        <v>2832613</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2832613</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772687</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0</v>
      </c>
      <c r="D170" s="2" t="str">
        <f t="shared" si="1"/>
        <v>Error?</v>
      </c>
    </row>
    <row r="171" spans="1:4" x14ac:dyDescent="0.2">
      <c r="A171" s="5">
        <v>110</v>
      </c>
      <c r="B171" s="1832">
        <f>'Assets-Liab 5-6'!F41</f>
        <v>772687</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1425001</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550000</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1425001</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78839</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78839</v>
      </c>
      <c r="D212" s="2" t="str">
        <f t="shared" si="2"/>
        <v>Error?</v>
      </c>
    </row>
    <row r="213" spans="1:4" x14ac:dyDescent="0.2">
      <c r="A213" s="12">
        <v>152</v>
      </c>
      <c r="B213" s="1832">
        <f>'Assets-Liab 5-6'!H41</f>
        <v>78839</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767294</v>
      </c>
      <c r="D273" s="2" t="str">
        <f t="shared" si="3"/>
        <v>Error?</v>
      </c>
    </row>
    <row r="274" spans="1:4" x14ac:dyDescent="0.2">
      <c r="A274" s="5">
        <v>213</v>
      </c>
      <c r="B274" s="1832">
        <f>'Assets-Liab 5-6'!M17</f>
        <v>58606022</v>
      </c>
      <c r="D274" s="2" t="str">
        <f t="shared" si="3"/>
        <v>Error?</v>
      </c>
    </row>
    <row r="275" spans="1:4" x14ac:dyDescent="0.2">
      <c r="A275" s="5">
        <v>214</v>
      </c>
      <c r="B275" s="1832">
        <f>'Assets-Liab 5-6'!M18</f>
        <v>2156479</v>
      </c>
      <c r="D275" s="2" t="str">
        <f t="shared" si="3"/>
        <v>Error?</v>
      </c>
    </row>
    <row r="276" spans="1:4" x14ac:dyDescent="0.2">
      <c r="A276" s="5">
        <v>215</v>
      </c>
      <c r="B276" s="1832">
        <f>'Assets-Liab 5-6'!M19</f>
        <v>3377238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64907033</v>
      </c>
      <c r="C279" s="2" t="s">
        <v>568</v>
      </c>
      <c r="D279" s="2" t="str">
        <f t="shared" si="3"/>
        <v>Error?</v>
      </c>
    </row>
    <row r="280" spans="1:4" x14ac:dyDescent="0.2">
      <c r="A280" s="5">
        <v>219</v>
      </c>
      <c r="B280" s="1832">
        <f>'Assets-Liab 5-6'!M40</f>
        <v>64907033</v>
      </c>
      <c r="D280" s="2" t="str">
        <f t="shared" si="3"/>
        <v>Error?</v>
      </c>
    </row>
    <row r="281" spans="1:4" x14ac:dyDescent="0.2">
      <c r="A281" s="5">
        <v>220</v>
      </c>
      <c r="B281" s="1832">
        <f>'Assets-Liab 5-6'!M41</f>
        <v>64907033</v>
      </c>
      <c r="C281" s="2" t="s">
        <v>568</v>
      </c>
      <c r="D281" s="2" t="str">
        <f t="shared" si="3"/>
        <v>Error?</v>
      </c>
    </row>
    <row r="282" spans="1:4" x14ac:dyDescent="0.2">
      <c r="A282" s="5">
        <v>221</v>
      </c>
      <c r="B282" s="1832">
        <f>'Assets-Liab 5-6'!N21</f>
        <v>2832613</v>
      </c>
      <c r="D282" s="2" t="str">
        <f t="shared" si="3"/>
        <v>Error?</v>
      </c>
    </row>
    <row r="283" spans="1:4" x14ac:dyDescent="0.2">
      <c r="A283" s="5">
        <v>222</v>
      </c>
      <c r="B283" s="1832">
        <f>'Assets-Liab 5-6'!N22</f>
        <v>26756606</v>
      </c>
      <c r="D283" s="2" t="str">
        <f t="shared" si="3"/>
        <v>Error?</v>
      </c>
    </row>
    <row r="284" spans="1:4" x14ac:dyDescent="0.2">
      <c r="A284" s="5">
        <v>223</v>
      </c>
      <c r="B284" s="1832">
        <f>'Assets-Liab 5-6'!N23</f>
        <v>29589219</v>
      </c>
      <c r="C284" s="2" t="s">
        <v>568</v>
      </c>
      <c r="D284" s="2" t="str">
        <f t="shared" si="3"/>
        <v>Error?</v>
      </c>
    </row>
    <row r="285" spans="1:4" x14ac:dyDescent="0.2">
      <c r="A285" s="5">
        <v>224</v>
      </c>
      <c r="B285" s="1832">
        <f>'Assets-Liab 5-6'!N36</f>
        <v>29589219</v>
      </c>
      <c r="D285" s="2" t="str">
        <f t="shared" si="3"/>
        <v>Error?</v>
      </c>
    </row>
    <row r="286" spans="1:4" x14ac:dyDescent="0.2">
      <c r="A286" s="10">
        <v>225</v>
      </c>
      <c r="B286" s="1832"/>
      <c r="D286" s="2" t="str">
        <f t="shared" si="3"/>
        <v>OK</v>
      </c>
    </row>
    <row r="287" spans="1:4" x14ac:dyDescent="0.2">
      <c r="A287" s="5">
        <v>226</v>
      </c>
      <c r="B287" s="1832">
        <f>'Assets-Liab 5-6'!N37</f>
        <v>29589219</v>
      </c>
      <c r="C287" s="2" t="s">
        <v>568</v>
      </c>
      <c r="D287" s="2" t="str">
        <f t="shared" si="3"/>
        <v>Error?</v>
      </c>
    </row>
    <row r="288" spans="1:4" x14ac:dyDescent="0.2">
      <c r="A288" s="5">
        <v>227</v>
      </c>
      <c r="B288" s="1832">
        <f>'Assets-Liab 5-6'!N41</f>
        <v>29589219</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856249</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13070639</v>
      </c>
      <c r="D705" s="2" t="str">
        <f t="shared" si="10"/>
        <v>Error?</v>
      </c>
    </row>
    <row r="706" spans="1:4" x14ac:dyDescent="0.2">
      <c r="A706" s="5">
        <v>645</v>
      </c>
      <c r="B706" s="1832">
        <f>'Expenditures 15-22'!C16</f>
        <v>547022</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423751</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957595</v>
      </c>
      <c r="D718" s="2" t="str">
        <f t="shared" si="10"/>
        <v>Error?</v>
      </c>
    </row>
    <row r="719" spans="1:4" x14ac:dyDescent="0.2">
      <c r="A719" s="5">
        <v>658</v>
      </c>
      <c r="B719" s="1832">
        <f>'Expenditures 15-22'!C15</f>
        <v>75547</v>
      </c>
      <c r="D719" s="2" t="str">
        <f t="shared" si="10"/>
        <v>Error?</v>
      </c>
    </row>
    <row r="720" spans="1:4" x14ac:dyDescent="0.2">
      <c r="A720" s="5">
        <v>659</v>
      </c>
      <c r="B720" s="1832">
        <f>'Expenditures 15-22'!C33</f>
        <v>19720444</v>
      </c>
      <c r="C720" s="2" t="s">
        <v>568</v>
      </c>
      <c r="D720" s="2" t="str">
        <f t="shared" si="10"/>
        <v>Error?</v>
      </c>
    </row>
    <row r="721" spans="1:4" x14ac:dyDescent="0.2">
      <c r="A721" s="5">
        <v>660</v>
      </c>
      <c r="B721" s="1832">
        <f>'Expenditures 15-22'!C36</f>
        <v>586257</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753877</v>
      </c>
      <c r="D723" s="2" t="str">
        <f t="shared" si="10"/>
        <v>Error?</v>
      </c>
    </row>
    <row r="724" spans="1:4" x14ac:dyDescent="0.2">
      <c r="A724" s="5">
        <v>663</v>
      </c>
      <c r="B724" s="1832">
        <f>'Expenditures 15-22'!C39</f>
        <v>307040</v>
      </c>
      <c r="D724" s="2" t="str">
        <f t="shared" si="10"/>
        <v>Error?</v>
      </c>
    </row>
    <row r="725" spans="1:4" x14ac:dyDescent="0.2">
      <c r="A725" s="5">
        <v>664</v>
      </c>
      <c r="B725" s="1832">
        <f>'Expenditures 15-22'!C40</f>
        <v>665331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2312505</v>
      </c>
      <c r="C727" s="2" t="s">
        <v>568</v>
      </c>
      <c r="D727" s="2" t="str">
        <f t="shared" si="10"/>
        <v>Error?</v>
      </c>
    </row>
    <row r="728" spans="1:4" x14ac:dyDescent="0.2">
      <c r="A728" s="5">
        <v>667</v>
      </c>
      <c r="B728" s="1832">
        <f>'Expenditures 15-22'!C44</f>
        <v>351196</v>
      </c>
      <c r="D728" s="2" t="str">
        <f t="shared" si="10"/>
        <v>Error?</v>
      </c>
    </row>
    <row r="729" spans="1:4" x14ac:dyDescent="0.2">
      <c r="A729" s="5">
        <v>668</v>
      </c>
      <c r="B729" s="1832">
        <f>'Expenditures 15-22'!C45</f>
        <v>434023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785219</v>
      </c>
      <c r="C731" s="2" t="s">
        <v>568</v>
      </c>
      <c r="D731" s="2" t="str">
        <f t="shared" si="10"/>
        <v>Error?</v>
      </c>
    </row>
    <row r="732" spans="1:4" x14ac:dyDescent="0.2">
      <c r="A732" s="5">
        <v>671</v>
      </c>
      <c r="B732" s="1832">
        <f>'Expenditures 15-22'!C49</f>
        <v>5000</v>
      </c>
      <c r="D732" s="2" t="str">
        <f t="shared" si="10"/>
        <v>Error?</v>
      </c>
    </row>
    <row r="733" spans="1:4" x14ac:dyDescent="0.2">
      <c r="A733" s="5">
        <v>672</v>
      </c>
      <c r="B733" s="1832">
        <f>'Expenditures 15-22'!C50</f>
        <v>282449</v>
      </c>
      <c r="D733" s="2" t="str">
        <f t="shared" si="10"/>
        <v>Error?</v>
      </c>
    </row>
    <row r="734" spans="1:4" x14ac:dyDescent="0.2">
      <c r="A734" s="5">
        <v>673</v>
      </c>
      <c r="B734" s="1832">
        <f>'Expenditures 15-22'!C53</f>
        <v>287449</v>
      </c>
      <c r="C734" s="2" t="s">
        <v>568</v>
      </c>
      <c r="D734" s="2" t="str">
        <f t="shared" si="10"/>
        <v>Error?</v>
      </c>
    </row>
    <row r="735" spans="1:4" x14ac:dyDescent="0.2">
      <c r="A735" s="5">
        <v>674</v>
      </c>
      <c r="B735" s="1832">
        <f>'Expenditures 15-22'!C55</f>
        <v>1278663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1278663</v>
      </c>
      <c r="C737" s="2" t="s">
        <v>568</v>
      </c>
      <c r="D737" s="2" t="str">
        <f t="shared" si="10"/>
        <v>Error?</v>
      </c>
    </row>
    <row r="738" spans="1:4" x14ac:dyDescent="0.2">
      <c r="A738" s="5">
        <v>677</v>
      </c>
      <c r="B738" s="1832">
        <f>'Expenditures 15-22'!C59</f>
        <v>276160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276237</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139824</v>
      </c>
      <c r="D748" s="2" t="str">
        <f t="shared" si="10"/>
        <v>Error?</v>
      </c>
    </row>
    <row r="749" spans="1:4" x14ac:dyDescent="0.2">
      <c r="A749" s="5">
        <v>688</v>
      </c>
      <c r="B749" s="1832">
        <f>'Expenditures 15-22'!C70</f>
        <v>120513</v>
      </c>
      <c r="D749" s="2" t="str">
        <f t="shared" si="10"/>
        <v>Error?</v>
      </c>
    </row>
    <row r="750" spans="1:4" x14ac:dyDescent="0.2">
      <c r="A750" s="10">
        <v>689</v>
      </c>
      <c r="B750" s="1832"/>
      <c r="D750" s="2" t="str">
        <f t="shared" si="10"/>
        <v>OK</v>
      </c>
    </row>
    <row r="751" spans="1:4" x14ac:dyDescent="0.2">
      <c r="A751" s="5">
        <v>690</v>
      </c>
      <c r="B751" s="1832">
        <f>'Expenditures 15-22'!C71</f>
        <v>343300</v>
      </c>
      <c r="D751" s="2" t="str">
        <f t="shared" si="10"/>
        <v>Error?</v>
      </c>
    </row>
    <row r="752" spans="1:4" x14ac:dyDescent="0.2">
      <c r="A752" s="10">
        <v>691</v>
      </c>
      <c r="B752" s="1832"/>
      <c r="D752" s="2" t="str">
        <f t="shared" si="10"/>
        <v>OK</v>
      </c>
    </row>
    <row r="753" spans="1:4" x14ac:dyDescent="0.2">
      <c r="A753" s="5">
        <v>692</v>
      </c>
      <c r="B753" s="1832">
        <f>'Expenditures 15-22'!C72</f>
        <v>603637</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5543710</v>
      </c>
      <c r="C755" s="2" t="s">
        <v>568</v>
      </c>
      <c r="D755" s="2" t="str">
        <f t="shared" si="10"/>
        <v>Error?</v>
      </c>
    </row>
    <row r="756" spans="1:4" x14ac:dyDescent="0.2">
      <c r="A756" s="5">
        <v>695</v>
      </c>
      <c r="B756" s="1832">
        <f>'Expenditures 15-22'!C75</f>
        <v>86231</v>
      </c>
      <c r="D756" s="2" t="str">
        <f t="shared" si="10"/>
        <v>Error?</v>
      </c>
    </row>
    <row r="757" spans="1:4" x14ac:dyDescent="0.2">
      <c r="A757" s="5">
        <v>696</v>
      </c>
      <c r="B757" s="1832">
        <f>'Expenditures 15-22'!C114</f>
        <v>25350385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2404018</v>
      </c>
      <c r="D763" s="2" t="str">
        <f t="shared" si="10"/>
        <v>Error?</v>
      </c>
    </row>
    <row r="764" spans="1:4" x14ac:dyDescent="0.2">
      <c r="A764" s="5">
        <v>703</v>
      </c>
      <c r="B764" s="1832">
        <f>'Expenditures 15-22'!D16</f>
        <v>66780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92543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58828</v>
      </c>
      <c r="D776" s="2" t="str">
        <f t="shared" si="11"/>
        <v>Error?</v>
      </c>
    </row>
    <row r="777" spans="1:4" x14ac:dyDescent="0.2">
      <c r="A777" s="5">
        <v>716</v>
      </c>
      <c r="B777" s="1832">
        <f>'Expenditures 15-22'!D15</f>
        <v>1795</v>
      </c>
      <c r="D777" s="2" t="str">
        <f t="shared" si="11"/>
        <v>Error?</v>
      </c>
    </row>
    <row r="778" spans="1:4" x14ac:dyDescent="0.2">
      <c r="A778" s="5">
        <v>717</v>
      </c>
      <c r="B778" s="1832">
        <f>'Expenditures 15-22'!D33</f>
        <v>3113975</v>
      </c>
      <c r="C778" s="2" t="s">
        <v>568</v>
      </c>
      <c r="D778" s="2" t="str">
        <f t="shared" si="11"/>
        <v>Error?</v>
      </c>
    </row>
    <row r="779" spans="1:4" x14ac:dyDescent="0.2">
      <c r="A779" s="5">
        <v>718</v>
      </c>
      <c r="B779" s="1832">
        <f>'Expenditures 15-22'!D36</f>
        <v>94699</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84746</v>
      </c>
      <c r="D781" s="2" t="str">
        <f t="shared" si="11"/>
        <v>Error?</v>
      </c>
    </row>
    <row r="782" spans="1:4" x14ac:dyDescent="0.2">
      <c r="A782" s="5">
        <v>721</v>
      </c>
      <c r="B782" s="1832">
        <f>'Expenditures 15-22'!D39</f>
        <v>41115</v>
      </c>
      <c r="D782" s="2" t="str">
        <f t="shared" si="11"/>
        <v>Error?</v>
      </c>
    </row>
    <row r="783" spans="1:4" x14ac:dyDescent="0.2">
      <c r="A783" s="5">
        <v>722</v>
      </c>
      <c r="B783" s="1832">
        <f>'Expenditures 15-22'!D40</f>
        <v>116252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336812</v>
      </c>
      <c r="C785" s="2" t="s">
        <v>568</v>
      </c>
      <c r="D785" s="2" t="str">
        <f t="shared" si="11"/>
        <v>Error?</v>
      </c>
    </row>
    <row r="786" spans="1:4" x14ac:dyDescent="0.2">
      <c r="A786" s="5">
        <v>725</v>
      </c>
      <c r="B786" s="1832">
        <f>'Expenditures 15-22'!D44</f>
        <v>84751</v>
      </c>
      <c r="D786" s="2" t="str">
        <f t="shared" si="11"/>
        <v>Error?</v>
      </c>
    </row>
    <row r="787" spans="1:4" x14ac:dyDescent="0.2">
      <c r="A787" s="5">
        <v>726</v>
      </c>
      <c r="B787" s="1832">
        <f>'Expenditures 15-22'!D45</f>
        <v>47980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132731</v>
      </c>
      <c r="C789" s="2" t="s">
        <v>568</v>
      </c>
      <c r="D789" s="2" t="str">
        <f t="shared" si="11"/>
        <v>Error?</v>
      </c>
    </row>
    <row r="790" spans="1:4" x14ac:dyDescent="0.2">
      <c r="A790" s="5">
        <v>729</v>
      </c>
      <c r="B790" s="1832">
        <f>'Expenditures 15-22'!D49</f>
        <v>238535</v>
      </c>
      <c r="D790" s="2" t="str">
        <f t="shared" si="11"/>
        <v>Error?</v>
      </c>
    </row>
    <row r="791" spans="1:4" x14ac:dyDescent="0.2">
      <c r="A791" s="5">
        <v>730</v>
      </c>
      <c r="B791" s="1832">
        <f>'Expenditures 15-22'!D50</f>
        <v>56596</v>
      </c>
      <c r="D791" s="2" t="str">
        <f t="shared" si="11"/>
        <v>Error?</v>
      </c>
    </row>
    <row r="792" spans="1:4" x14ac:dyDescent="0.2">
      <c r="A792" s="5">
        <v>731</v>
      </c>
      <c r="B792" s="1832">
        <f>'Expenditures 15-22'!D53</f>
        <v>295131</v>
      </c>
      <c r="C792" s="2" t="s">
        <v>568</v>
      </c>
      <c r="D792" s="2" t="str">
        <f t="shared" si="11"/>
        <v>Error?</v>
      </c>
    </row>
    <row r="793" spans="1:4" x14ac:dyDescent="0.2">
      <c r="A793" s="5">
        <v>732</v>
      </c>
      <c r="B793" s="1832">
        <f>'Expenditures 15-22'!D55</f>
        <v>355243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355243</v>
      </c>
      <c r="C795" s="2" t="s">
        <v>568</v>
      </c>
      <c r="D795" s="2" t="str">
        <f t="shared" si="11"/>
        <v>Error?</v>
      </c>
    </row>
    <row r="796" spans="1:4" x14ac:dyDescent="0.2">
      <c r="A796" s="5">
        <v>735</v>
      </c>
      <c r="B796" s="1832">
        <f>'Expenditures 15-22'!D59</f>
        <v>77988</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77989</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18196</v>
      </c>
      <c r="D807" s="2" t="str">
        <f t="shared" si="11"/>
        <v>Error?</v>
      </c>
    </row>
    <row r="808" spans="1:4" x14ac:dyDescent="0.2">
      <c r="A808" s="10">
        <v>747</v>
      </c>
      <c r="B808" s="1832"/>
      <c r="D808" s="2" t="str">
        <f t="shared" si="11"/>
        <v>OK</v>
      </c>
    </row>
    <row r="809" spans="1:4" x14ac:dyDescent="0.2">
      <c r="A809" s="5">
        <v>748</v>
      </c>
      <c r="B809" s="1832">
        <f>'Expenditures 15-22'!D71</f>
        <v>35518</v>
      </c>
      <c r="D809" s="2" t="str">
        <f t="shared" si="11"/>
        <v>Error?</v>
      </c>
    </row>
    <row r="810" spans="1:4" x14ac:dyDescent="0.2">
      <c r="A810" s="10">
        <v>749</v>
      </c>
      <c r="B810" s="1832"/>
      <c r="D810" s="2" t="str">
        <f t="shared" si="11"/>
        <v>OK</v>
      </c>
    </row>
    <row r="811" spans="1:4" x14ac:dyDescent="0.2">
      <c r="A811" s="5">
        <v>750</v>
      </c>
      <c r="B811" s="1832">
        <f>'Expenditures 15-22'!D72</f>
        <v>53714</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1251620</v>
      </c>
      <c r="C813" s="2" t="s">
        <v>568</v>
      </c>
      <c r="D813" s="2" t="str">
        <f t="shared" si="11"/>
        <v>Error?</v>
      </c>
    </row>
    <row r="814" spans="1:4" x14ac:dyDescent="0.2">
      <c r="A814" s="5">
        <v>753</v>
      </c>
      <c r="B814" s="1832">
        <f>'Expenditures 15-22'!D75</f>
        <v>30872</v>
      </c>
      <c r="D814" s="2" t="str">
        <f t="shared" si="11"/>
        <v>Error?</v>
      </c>
    </row>
    <row r="815" spans="1:4" x14ac:dyDescent="0.2">
      <c r="A815" s="5">
        <v>754</v>
      </c>
      <c r="B815" s="1832">
        <f>'Expenditures 15-22'!D114</f>
        <v>4396467</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39681</v>
      </c>
      <c r="D821" s="2" t="str">
        <f t="shared" si="11"/>
        <v>Error?</v>
      </c>
    </row>
    <row r="822" spans="1:4" x14ac:dyDescent="0.2">
      <c r="A822" s="5">
        <v>761</v>
      </c>
      <c r="B822" s="1832">
        <f>'Expenditures 15-22'!E16</f>
        <v>12374</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12175</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10352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120981</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2250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2250</v>
      </c>
      <c r="C843" s="2" t="s">
        <v>568</v>
      </c>
      <c r="D843" s="2" t="str">
        <f t="shared" si="12"/>
        <v>Error?</v>
      </c>
    </row>
    <row r="844" spans="1:4" x14ac:dyDescent="0.2">
      <c r="A844" s="5">
        <v>783</v>
      </c>
      <c r="B844" s="1832">
        <f>'Expenditures 15-22'!E44</f>
        <v>226590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226590</v>
      </c>
      <c r="C847" s="2" t="s">
        <v>568</v>
      </c>
      <c r="D847" s="2" t="str">
        <f t="shared" si="12"/>
        <v>Error?</v>
      </c>
    </row>
    <row r="848" spans="1:4" x14ac:dyDescent="0.2">
      <c r="A848" s="5">
        <v>787</v>
      </c>
      <c r="B848" s="1832">
        <f>'Expenditures 15-22'!E49</f>
        <v>472936</v>
      </c>
      <c r="D848" s="2" t="str">
        <f t="shared" si="12"/>
        <v>Error?</v>
      </c>
    </row>
    <row r="849" spans="1:4" x14ac:dyDescent="0.2">
      <c r="A849" s="5">
        <v>788</v>
      </c>
      <c r="B849" s="1832">
        <f>'Expenditures 15-22'!E50</f>
        <v>9412</v>
      </c>
      <c r="D849" s="2" t="str">
        <f t="shared" si="12"/>
        <v>Error?</v>
      </c>
    </row>
    <row r="850" spans="1:4" x14ac:dyDescent="0.2">
      <c r="A850" s="5">
        <v>789</v>
      </c>
      <c r="B850" s="1832">
        <f>'Expenditures 15-22'!E53</f>
        <v>482348</v>
      </c>
      <c r="C850" s="2" t="s">
        <v>568</v>
      </c>
      <c r="D850" s="2" t="str">
        <f t="shared" si="12"/>
        <v>Error?</v>
      </c>
    </row>
    <row r="851" spans="1:4" x14ac:dyDescent="0.2">
      <c r="A851" s="5">
        <v>790</v>
      </c>
      <c r="B851" s="1832">
        <f>'Expenditures 15-22'!E55</f>
        <v>472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472</v>
      </c>
      <c r="C853" s="2" t="s">
        <v>568</v>
      </c>
      <c r="D853" s="2" t="str">
        <f t="shared" si="12"/>
        <v>Error?</v>
      </c>
    </row>
    <row r="854" spans="1:4" x14ac:dyDescent="0.2">
      <c r="A854" s="5">
        <v>793</v>
      </c>
      <c r="B854" s="1832">
        <f>'Expenditures 15-22'!E59</f>
        <v>23264</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327566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350830</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58</v>
      </c>
      <c r="D864" s="2" t="str">
        <f t="shared" si="12"/>
        <v>Error?</v>
      </c>
    </row>
    <row r="865" spans="1:4" x14ac:dyDescent="0.2">
      <c r="A865" s="5">
        <v>804</v>
      </c>
      <c r="B865" s="1832">
        <f>'Expenditures 15-22'!E70</f>
        <v>12764</v>
      </c>
      <c r="D865" s="2" t="str">
        <f t="shared" si="12"/>
        <v>Error?</v>
      </c>
    </row>
    <row r="866" spans="1:4" x14ac:dyDescent="0.2">
      <c r="A866" s="10">
        <v>805</v>
      </c>
      <c r="B866" s="1832"/>
      <c r="D866" s="2" t="str">
        <f t="shared" si="12"/>
        <v>OK</v>
      </c>
    </row>
    <row r="867" spans="1:4" x14ac:dyDescent="0.2">
      <c r="A867" s="5">
        <v>806</v>
      </c>
      <c r="B867" s="1832">
        <f>'Expenditures 15-22'!E71</f>
        <v>384974</v>
      </c>
      <c r="D867" s="2" t="str">
        <f t="shared" si="12"/>
        <v>Error?</v>
      </c>
    </row>
    <row r="868" spans="1:4" x14ac:dyDescent="0.2">
      <c r="A868" s="10">
        <v>807</v>
      </c>
      <c r="B868" s="1832"/>
      <c r="D868" s="2" t="str">
        <f t="shared" si="12"/>
        <v>OK</v>
      </c>
    </row>
    <row r="869" spans="1:4" x14ac:dyDescent="0.2">
      <c r="A869" s="5">
        <v>808</v>
      </c>
      <c r="B869" s="1832">
        <f>'Expenditures 15-22'!E72</f>
        <v>397796</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1460286</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2086133</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323957</v>
      </c>
      <c r="D879" s="2" t="str">
        <f t="shared" si="12"/>
        <v>Error?</v>
      </c>
    </row>
    <row r="880" spans="1:4" x14ac:dyDescent="0.2">
      <c r="A880" s="5">
        <v>819</v>
      </c>
      <c r="B880" s="1832">
        <f>'Expenditures 15-22'!F16</f>
        <v>5980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27665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5170</v>
      </c>
      <c r="D892" s="2" t="str">
        <f t="shared" si="12"/>
        <v>Error?</v>
      </c>
    </row>
    <row r="893" spans="1:4" x14ac:dyDescent="0.2">
      <c r="A893" s="5">
        <v>832</v>
      </c>
      <c r="B893" s="1832">
        <f>'Expenditures 15-22'!F15</f>
        <v>1601</v>
      </c>
      <c r="D893" s="2" t="str">
        <f t="shared" si="12"/>
        <v>Error?</v>
      </c>
    </row>
    <row r="894" spans="1:4" x14ac:dyDescent="0.2">
      <c r="A894" s="5">
        <v>833</v>
      </c>
      <c r="B894" s="1832">
        <f>'Expenditures 15-22'!F33</f>
        <v>455013</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6260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6260</v>
      </c>
      <c r="C901" s="2" t="s">
        <v>568</v>
      </c>
      <c r="D901" s="2" t="str">
        <f t="shared" si="13"/>
        <v>Error?</v>
      </c>
    </row>
    <row r="902" spans="1:4" x14ac:dyDescent="0.2">
      <c r="A902" s="5">
        <v>841</v>
      </c>
      <c r="B902" s="1832">
        <f>'Expenditures 15-22'!F44</f>
        <v>106</v>
      </c>
      <c r="D902" s="2" t="str">
        <f t="shared" si="13"/>
        <v>Error?</v>
      </c>
    </row>
    <row r="903" spans="1:4" x14ac:dyDescent="0.2">
      <c r="A903" s="5">
        <v>842</v>
      </c>
      <c r="B903" s="1832">
        <f>'Expenditures 15-22'!F45</f>
        <v>23954</v>
      </c>
      <c r="D903" s="2" t="str">
        <f t="shared" si="13"/>
        <v>Error?</v>
      </c>
    </row>
    <row r="904" spans="1:4" x14ac:dyDescent="0.2">
      <c r="A904" s="5">
        <v>843</v>
      </c>
      <c r="B904" s="1832">
        <f>'Expenditures 15-22'!F46</f>
        <v>53676</v>
      </c>
      <c r="D904" s="2" t="str">
        <f t="shared" si="13"/>
        <v>Error?</v>
      </c>
    </row>
    <row r="905" spans="1:4" x14ac:dyDescent="0.2">
      <c r="A905" s="5">
        <v>844</v>
      </c>
      <c r="B905" s="1832">
        <f>'Expenditures 15-22'!F47</f>
        <v>77736</v>
      </c>
      <c r="C905" s="2" t="s">
        <v>568</v>
      </c>
      <c r="D905" s="2" t="str">
        <f t="shared" si="13"/>
        <v>Error?</v>
      </c>
    </row>
    <row r="906" spans="1:4" x14ac:dyDescent="0.2">
      <c r="A906" s="5">
        <v>845</v>
      </c>
      <c r="B906" s="1832">
        <f>'Expenditures 15-22'!F49</f>
        <v>2373</v>
      </c>
      <c r="D906" s="2" t="str">
        <f t="shared" si="13"/>
        <v>Error?</v>
      </c>
    </row>
    <row r="907" spans="1:4" x14ac:dyDescent="0.2">
      <c r="A907" s="5">
        <v>846</v>
      </c>
      <c r="B907" s="1832">
        <f>'Expenditures 15-22'!F50</f>
        <v>991</v>
      </c>
      <c r="D907" s="2" t="str">
        <f t="shared" si="13"/>
        <v>Error?</v>
      </c>
    </row>
    <row r="908" spans="1:4" x14ac:dyDescent="0.2">
      <c r="A908" s="5">
        <v>847</v>
      </c>
      <c r="B908" s="1832">
        <f>'Expenditures 15-22'!F53</f>
        <v>3364</v>
      </c>
      <c r="C908" s="2" t="s">
        <v>568</v>
      </c>
      <c r="D908" s="2" t="str">
        <f t="shared" si="13"/>
        <v>Error?</v>
      </c>
    </row>
    <row r="909" spans="1:4" x14ac:dyDescent="0.2">
      <c r="A909" s="5">
        <v>848</v>
      </c>
      <c r="B909" s="1832">
        <f>'Expenditures 15-22'!F55</f>
        <v>13586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13586</v>
      </c>
      <c r="C911" s="2" t="s">
        <v>568</v>
      </c>
      <c r="D911" s="2" t="str">
        <f t="shared" si="13"/>
        <v>Error?</v>
      </c>
    </row>
    <row r="912" spans="1:4" x14ac:dyDescent="0.2">
      <c r="A912" s="5">
        <v>851</v>
      </c>
      <c r="B912" s="1832">
        <f>'Expenditures 15-22'!F59</f>
        <v>28102</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36374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64476</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1198</v>
      </c>
      <c r="D923" s="2" t="str">
        <f t="shared" si="13"/>
        <v>Error?</v>
      </c>
    </row>
    <row r="924" spans="1:4" x14ac:dyDescent="0.2">
      <c r="A924" s="10">
        <v>863</v>
      </c>
      <c r="B924" s="1832"/>
      <c r="D924" s="2" t="str">
        <f t="shared" si="13"/>
        <v>OK</v>
      </c>
    </row>
    <row r="925" spans="1:4" x14ac:dyDescent="0.2">
      <c r="A925" s="5">
        <v>864</v>
      </c>
      <c r="B925" s="1832">
        <f>'Expenditures 15-22'!F71</f>
        <v>272484</v>
      </c>
      <c r="D925" s="2" t="str">
        <f t="shared" si="13"/>
        <v>Error?</v>
      </c>
    </row>
    <row r="926" spans="1:4" x14ac:dyDescent="0.2">
      <c r="A926" s="10">
        <v>865</v>
      </c>
      <c r="B926" s="1832"/>
      <c r="D926" s="2" t="str">
        <f t="shared" si="13"/>
        <v>OK</v>
      </c>
    </row>
    <row r="927" spans="1:4" x14ac:dyDescent="0.2">
      <c r="A927" s="5">
        <v>866</v>
      </c>
      <c r="B927" s="1832">
        <f>'Expenditures 15-22'!F72</f>
        <v>273682</v>
      </c>
      <c r="C927" s="2" t="s">
        <v>568</v>
      </c>
      <c r="D927" s="2" t="str">
        <f t="shared" si="13"/>
        <v>Error?</v>
      </c>
    </row>
    <row r="928" spans="1:4" x14ac:dyDescent="0.2">
      <c r="A928" s="5">
        <v>867</v>
      </c>
      <c r="B928" s="1832">
        <f>'Expenditures 15-22'!F73</f>
        <v>289</v>
      </c>
      <c r="D928" s="2" t="str">
        <f t="shared" si="13"/>
        <v>Error?</v>
      </c>
    </row>
    <row r="929" spans="1:4" x14ac:dyDescent="0.2">
      <c r="A929" s="5">
        <v>868</v>
      </c>
      <c r="B929" s="1832">
        <f>'Expenditures 15-22'!F74</f>
        <v>439393</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894406</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176950</v>
      </c>
      <c r="D986" s="2" t="str">
        <f t="shared" si="14"/>
        <v>Error?</v>
      </c>
    </row>
    <row r="987" spans="1:4" x14ac:dyDescent="0.2">
      <c r="A987" s="5">
        <v>926</v>
      </c>
      <c r="B987" s="1832">
        <f>'Expenditures 15-22'!G74</f>
        <v>176950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176950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232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232</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10500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10500</v>
      </c>
      <c r="C1021" s="2" t="s">
        <v>568</v>
      </c>
      <c r="D1021" s="2" t="str">
        <f t="shared" si="14"/>
        <v>Error?</v>
      </c>
    </row>
    <row r="1022" spans="1:4" x14ac:dyDescent="0.2">
      <c r="A1022" s="5">
        <v>961</v>
      </c>
      <c r="B1022" s="1832">
        <f>'Expenditures 15-22'!H49</f>
        <v>15951</v>
      </c>
      <c r="D1022" s="2" t="str">
        <f t="shared" si="14"/>
        <v>Error?</v>
      </c>
    </row>
    <row r="1023" spans="1:4" x14ac:dyDescent="0.2">
      <c r="A1023" s="5">
        <v>962</v>
      </c>
      <c r="B1023" s="1832">
        <f>'Expenditures 15-22'!H50</f>
        <v>2258</v>
      </c>
      <c r="D1023" s="2" t="str">
        <f t="shared" ref="D1023:D1086" si="15">IF(ISBLANK(B1023),"OK",IF(A1023-B1023=0,"OK","Error?"))</f>
        <v>Error?</v>
      </c>
    </row>
    <row r="1024" spans="1:4" x14ac:dyDescent="0.2">
      <c r="A1024" s="5">
        <v>963</v>
      </c>
      <c r="B1024" s="1832">
        <f>'Expenditures 15-22'!H53</f>
        <v>18209</v>
      </c>
      <c r="C1024" s="2" t="s">
        <v>568</v>
      </c>
      <c r="D1024" s="2" t="str">
        <f t="shared" si="15"/>
        <v>Error?</v>
      </c>
    </row>
    <row r="1025" spans="1:4" x14ac:dyDescent="0.2">
      <c r="A1025" s="5">
        <v>964</v>
      </c>
      <c r="B1025" s="1832">
        <f>'Expenditures 15-22'!H55</f>
        <v>3444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3444</v>
      </c>
      <c r="C1027" s="2" t="s">
        <v>568</v>
      </c>
      <c r="D1027" s="2" t="str">
        <f t="shared" si="15"/>
        <v>Error?</v>
      </c>
    </row>
    <row r="1028" spans="1:4" x14ac:dyDescent="0.2">
      <c r="A1028" s="5">
        <v>967</v>
      </c>
      <c r="B1028" s="1832">
        <f>'Expenditures 15-22'!H59</f>
        <v>17831</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17831</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225</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225</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50209</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879005</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929446</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15840301</v>
      </c>
      <c r="C1093" s="2" t="s">
        <v>568</v>
      </c>
      <c r="D1093" s="2" t="str">
        <f t="shared" si="16"/>
        <v>Error?</v>
      </c>
    </row>
    <row r="1094" spans="1:4" x14ac:dyDescent="0.2">
      <c r="A1094" s="5">
        <v>1033</v>
      </c>
      <c r="B1094" s="1832">
        <f>'Expenditures 15-22'!K16</f>
        <v>632156</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556134</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1045596</v>
      </c>
      <c r="C1106" s="2" t="s">
        <v>568</v>
      </c>
      <c r="D1106" s="2" t="str">
        <f t="shared" si="16"/>
        <v>Error?</v>
      </c>
    </row>
    <row r="1107" spans="1:4" x14ac:dyDescent="0.2">
      <c r="A1107" s="5">
        <v>1046</v>
      </c>
      <c r="B1107" s="1832">
        <f>'Expenditures 15-22'!K15</f>
        <v>78943</v>
      </c>
      <c r="C1107" s="2" t="s">
        <v>568</v>
      </c>
      <c r="D1107" s="2" t="str">
        <f t="shared" si="16"/>
        <v>Error?</v>
      </c>
    </row>
    <row r="1108" spans="1:4" x14ac:dyDescent="0.2">
      <c r="A1108" s="5">
        <v>1047</v>
      </c>
      <c r="B1108" s="1832">
        <f>'Expenditures 15-22'!K33</f>
        <v>23426070</v>
      </c>
      <c r="C1108" s="2" t="s">
        <v>568</v>
      </c>
      <c r="D1108" s="2" t="str">
        <f t="shared" si="16"/>
        <v>Error?</v>
      </c>
    </row>
    <row r="1109" spans="1:4" x14ac:dyDescent="0.2">
      <c r="A1109" s="5">
        <v>1048</v>
      </c>
      <c r="B1109" s="1832">
        <f>'Expenditures 15-22'!K36</f>
        <v>680956</v>
      </c>
      <c r="C1109" s="2" t="s">
        <v>568</v>
      </c>
      <c r="D1109" s="2" t="str">
        <f t="shared" si="16"/>
        <v>Error?</v>
      </c>
    </row>
    <row r="1110" spans="1:4" x14ac:dyDescent="0.2">
      <c r="A1110" s="5">
        <v>1049</v>
      </c>
      <c r="B1110" s="1832">
        <f>'Expenditures 15-22'!K37</f>
        <v>0</v>
      </c>
      <c r="C1110" s="2" t="s">
        <v>568</v>
      </c>
      <c r="D1110" s="2" t="str">
        <f t="shared" si="16"/>
        <v>Error?</v>
      </c>
    </row>
    <row r="1111" spans="1:4" x14ac:dyDescent="0.2">
      <c r="A1111" s="5">
        <v>1050</v>
      </c>
      <c r="B1111" s="1832">
        <f>'Expenditures 15-22'!K38</f>
        <v>847133</v>
      </c>
      <c r="C1111" s="2" t="s">
        <v>568</v>
      </c>
      <c r="D1111" s="2" t="str">
        <f t="shared" si="16"/>
        <v>Error?</v>
      </c>
    </row>
    <row r="1112" spans="1:4" x14ac:dyDescent="0.2">
      <c r="A1112" s="5">
        <v>1051</v>
      </c>
      <c r="B1112" s="1832">
        <f>'Expenditures 15-22'!K39</f>
        <v>348155</v>
      </c>
      <c r="C1112" s="2" t="s">
        <v>568</v>
      </c>
      <c r="D1112" s="2" t="str">
        <f t="shared" si="16"/>
        <v>Error?</v>
      </c>
    </row>
    <row r="1113" spans="1:4" x14ac:dyDescent="0.2">
      <c r="A1113" s="5">
        <v>1052</v>
      </c>
      <c r="B1113" s="1832">
        <f>'Expenditures 15-22'!K40</f>
        <v>781583</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2657827</v>
      </c>
      <c r="C1115" s="2" t="s">
        <v>568</v>
      </c>
      <c r="D1115" s="2" t="str">
        <f t="shared" si="16"/>
        <v>Error?</v>
      </c>
    </row>
    <row r="1116" spans="1:4" x14ac:dyDescent="0.2">
      <c r="A1116" s="5">
        <v>1055</v>
      </c>
      <c r="B1116" s="1832">
        <f>'Expenditures 15-22'!K44</f>
        <v>673143</v>
      </c>
      <c r="C1116" s="2" t="s">
        <v>568</v>
      </c>
      <c r="D1116" s="2" t="str">
        <f t="shared" si="16"/>
        <v>Error?</v>
      </c>
    </row>
    <row r="1117" spans="1:4" x14ac:dyDescent="0.2">
      <c r="A1117" s="5">
        <v>1056</v>
      </c>
      <c r="B1117" s="1832">
        <f>'Expenditures 15-22'!K45</f>
        <v>505957</v>
      </c>
      <c r="C1117" s="2" t="s">
        <v>568</v>
      </c>
      <c r="D1117" s="2" t="str">
        <f t="shared" si="16"/>
        <v>Error?</v>
      </c>
    </row>
    <row r="1118" spans="1:4" x14ac:dyDescent="0.2">
      <c r="A1118" s="5">
        <v>1057</v>
      </c>
      <c r="B1118" s="1832">
        <f>'Expenditures 15-22'!K46</f>
        <v>53676</v>
      </c>
      <c r="C1118" s="2" t="s">
        <v>568</v>
      </c>
      <c r="D1118" s="2" t="str">
        <f t="shared" si="16"/>
        <v>Error?</v>
      </c>
    </row>
    <row r="1119" spans="1:4" x14ac:dyDescent="0.2">
      <c r="A1119" s="5">
        <v>1058</v>
      </c>
      <c r="B1119" s="1832">
        <f>'Expenditures 15-22'!K47</f>
        <v>1232776</v>
      </c>
      <c r="C1119" s="2" t="s">
        <v>568</v>
      </c>
      <c r="D1119" s="2" t="str">
        <f t="shared" si="16"/>
        <v>Error?</v>
      </c>
    </row>
    <row r="1120" spans="1:4" x14ac:dyDescent="0.2">
      <c r="A1120" s="5">
        <v>1059</v>
      </c>
      <c r="B1120" s="1832">
        <f>'Expenditures 15-22'!K49</f>
        <v>763155</v>
      </c>
      <c r="C1120" s="2" t="s">
        <v>568</v>
      </c>
      <c r="D1120" s="2" t="str">
        <f t="shared" si="16"/>
        <v>Error?</v>
      </c>
    </row>
    <row r="1121" spans="1:4" x14ac:dyDescent="0.2">
      <c r="A1121" s="5">
        <v>1060</v>
      </c>
      <c r="B1121" s="1832">
        <f>'Expenditures 15-22'!K50</f>
        <v>351706</v>
      </c>
      <c r="C1121" s="2" t="s">
        <v>568</v>
      </c>
      <c r="D1121" s="2" t="str">
        <f t="shared" si="16"/>
        <v>Error?</v>
      </c>
    </row>
    <row r="1122" spans="1:4" x14ac:dyDescent="0.2">
      <c r="A1122" s="5">
        <v>1061</v>
      </c>
      <c r="B1122" s="1832">
        <f>'Expenditures 15-22'!K53</f>
        <v>1114861</v>
      </c>
      <c r="C1122" s="2" t="s">
        <v>568</v>
      </c>
      <c r="D1122" s="2" t="str">
        <f t="shared" si="16"/>
        <v>Error?</v>
      </c>
    </row>
    <row r="1123" spans="1:4" x14ac:dyDescent="0.2">
      <c r="A1123" s="5">
        <v>1062</v>
      </c>
      <c r="B1123" s="1832">
        <f>'Expenditures 15-22'!K55</f>
        <v>1651408</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1651408</v>
      </c>
      <c r="C1125" s="2" t="s">
        <v>568</v>
      </c>
      <c r="D1125" s="2" t="str">
        <f t="shared" si="16"/>
        <v>Error?</v>
      </c>
    </row>
    <row r="1126" spans="1:4" x14ac:dyDescent="0.2">
      <c r="A1126" s="5">
        <v>1065</v>
      </c>
      <c r="B1126" s="1832">
        <f>'Expenditures 15-22'!K59</f>
        <v>423345</v>
      </c>
      <c r="C1126" s="2" t="s">
        <v>568</v>
      </c>
      <c r="D1126" s="2" t="str">
        <f t="shared" si="16"/>
        <v>Error?</v>
      </c>
    </row>
    <row r="1127" spans="1:4" x14ac:dyDescent="0.2">
      <c r="A1127" s="5">
        <v>1066</v>
      </c>
      <c r="B1127" s="1832">
        <f>'Expenditures 15-22'!K60</f>
        <v>0</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364018</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787363</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139882</v>
      </c>
      <c r="C1136" s="2" t="s">
        <v>568</v>
      </c>
      <c r="D1136" s="2" t="str">
        <f t="shared" si="16"/>
        <v>Error?</v>
      </c>
    </row>
    <row r="1137" spans="1:4" x14ac:dyDescent="0.2">
      <c r="A1137" s="5">
        <v>1076</v>
      </c>
      <c r="B1137" s="1832">
        <f>'Expenditures 15-22'!K70</f>
        <v>152896</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1708403</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2001181</v>
      </c>
      <c r="C1141" s="2" t="s">
        <v>568</v>
      </c>
      <c r="D1141" s="2" t="str">
        <f t="shared" si="16"/>
        <v>Error?</v>
      </c>
    </row>
    <row r="1142" spans="1:4" x14ac:dyDescent="0.2">
      <c r="A1142" s="5">
        <v>1081</v>
      </c>
      <c r="B1142" s="1832">
        <f>'Expenditures 15-22'!K73</f>
        <v>177239</v>
      </c>
      <c r="C1142" s="2" t="s">
        <v>568</v>
      </c>
      <c r="D1142" s="2" t="str">
        <f t="shared" si="16"/>
        <v>Error?</v>
      </c>
    </row>
    <row r="1143" spans="1:4" x14ac:dyDescent="0.2">
      <c r="A1143" s="5">
        <v>1082</v>
      </c>
      <c r="B1143" s="1832">
        <f>'Expenditures 15-22'!K74</f>
        <v>9622655</v>
      </c>
      <c r="C1143" s="2" t="s">
        <v>568</v>
      </c>
      <c r="D1143" s="2" t="str">
        <f t="shared" si="16"/>
        <v>Error?</v>
      </c>
    </row>
    <row r="1144" spans="1:4" x14ac:dyDescent="0.2">
      <c r="A1144" s="5">
        <v>1083</v>
      </c>
      <c r="B1144" s="1832">
        <f>'Expenditures 15-22'!K75</f>
        <v>117103</v>
      </c>
      <c r="C1144" s="2" t="s">
        <v>568</v>
      </c>
      <c r="D1144" s="2" t="str">
        <f t="shared" si="16"/>
        <v>Error?</v>
      </c>
    </row>
    <row r="1145" spans="1:4" x14ac:dyDescent="0.2">
      <c r="A1145" s="5">
        <v>1084</v>
      </c>
      <c r="B1145" s="1832">
        <f>'Expenditures 15-22'!K102</f>
        <v>1383871</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34549699</v>
      </c>
      <c r="C1152" s="2" t="s">
        <v>568</v>
      </c>
      <c r="D1152" s="2" t="str">
        <f t="shared" si="17"/>
        <v>Error?</v>
      </c>
    </row>
    <row r="1153" spans="1:4" x14ac:dyDescent="0.2">
      <c r="A1153" s="5">
        <v>1092</v>
      </c>
      <c r="B1153" s="1832">
        <f>'Expenditures 15-22'!K115</f>
        <v>57277</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1057444</v>
      </c>
      <c r="D1221" s="2" t="str">
        <f t="shared" si="18"/>
        <v>Error?</v>
      </c>
    </row>
    <row r="1222" spans="1:4" x14ac:dyDescent="0.2">
      <c r="A1222" s="10">
        <v>1161</v>
      </c>
      <c r="B1222" s="1832"/>
      <c r="D1222" s="2" t="str">
        <f t="shared" si="18"/>
        <v>OK</v>
      </c>
    </row>
    <row r="1223" spans="1:4" x14ac:dyDescent="0.2">
      <c r="A1223" s="5">
        <v>1162</v>
      </c>
      <c r="B1223" s="1832">
        <f>'Expenditures 15-22'!C127</f>
        <v>1057444</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1057444</v>
      </c>
      <c r="C1225" s="2" t="s">
        <v>568</v>
      </c>
      <c r="D1225" s="2" t="str">
        <f t="shared" si="18"/>
        <v>Error?</v>
      </c>
    </row>
    <row r="1226" spans="1:4" x14ac:dyDescent="0.2">
      <c r="A1226" s="5">
        <v>1165</v>
      </c>
      <c r="B1226" s="1832">
        <f>'Expenditures 15-22'!C151</f>
        <v>1057444</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216018</v>
      </c>
      <c r="D1229" s="2" t="str">
        <f t="shared" si="18"/>
        <v>Error?</v>
      </c>
    </row>
    <row r="1230" spans="1:4" x14ac:dyDescent="0.2">
      <c r="A1230" s="10">
        <v>1169</v>
      </c>
      <c r="B1230" s="1832"/>
      <c r="D1230" s="2" t="str">
        <f t="shared" si="18"/>
        <v>OK</v>
      </c>
    </row>
    <row r="1231" spans="1:4" x14ac:dyDescent="0.2">
      <c r="A1231" s="5">
        <v>1170</v>
      </c>
      <c r="B1231" s="1832">
        <f>'Expenditures 15-22'!D127</f>
        <v>216018</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216018</v>
      </c>
      <c r="C1233" s="2" t="s">
        <v>568</v>
      </c>
      <c r="D1233" s="2" t="str">
        <f t="shared" si="18"/>
        <v>Error?</v>
      </c>
    </row>
    <row r="1234" spans="1:4" x14ac:dyDescent="0.2">
      <c r="A1234" s="5">
        <v>1173</v>
      </c>
      <c r="B1234" s="1832">
        <f>'Expenditures 15-22'!D151</f>
        <v>216018</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867681</v>
      </c>
      <c r="D1237" s="2" t="str">
        <f t="shared" si="18"/>
        <v>Error?</v>
      </c>
    </row>
    <row r="1238" spans="1:4" x14ac:dyDescent="0.2">
      <c r="A1238" s="10">
        <v>1177</v>
      </c>
      <c r="B1238" s="1832"/>
      <c r="D1238" s="2" t="str">
        <f t="shared" si="18"/>
        <v>OK</v>
      </c>
    </row>
    <row r="1239" spans="1:4" x14ac:dyDescent="0.2">
      <c r="A1239" s="5">
        <v>1178</v>
      </c>
      <c r="B1239" s="1832">
        <f>'Expenditures 15-22'!E127</f>
        <v>867681</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867681</v>
      </c>
      <c r="C1241" s="2" t="s">
        <v>568</v>
      </c>
      <c r="D1241" s="2" t="str">
        <f t="shared" si="18"/>
        <v>Error?</v>
      </c>
    </row>
    <row r="1242" spans="1:4" x14ac:dyDescent="0.2">
      <c r="A1242" s="5">
        <v>1181</v>
      </c>
      <c r="B1242" s="1832">
        <f>'Expenditures 15-22'!E151</f>
        <v>867681</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650162</v>
      </c>
      <c r="D1245" s="2" t="str">
        <f t="shared" si="18"/>
        <v>Error?</v>
      </c>
    </row>
    <row r="1246" spans="1:4" x14ac:dyDescent="0.2">
      <c r="A1246" s="10">
        <v>1185</v>
      </c>
      <c r="B1246" s="1832"/>
      <c r="D1246" s="2" t="str">
        <f t="shared" si="18"/>
        <v>OK</v>
      </c>
    </row>
    <row r="1247" spans="1:4" x14ac:dyDescent="0.2">
      <c r="A1247" s="5">
        <v>1186</v>
      </c>
      <c r="B1247" s="1832">
        <f>'Expenditures 15-22'!F127</f>
        <v>650162</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650162</v>
      </c>
      <c r="C1249" s="2" t="s">
        <v>568</v>
      </c>
      <c r="D1249" s="2" t="str">
        <f t="shared" si="18"/>
        <v>Error?</v>
      </c>
    </row>
    <row r="1250" spans="1:4" x14ac:dyDescent="0.2">
      <c r="A1250" s="5">
        <v>1189</v>
      </c>
      <c r="B1250" s="1832">
        <f>'Expenditures 15-22'!F151</f>
        <v>650162</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174968</v>
      </c>
      <c r="D1252" s="2" t="str">
        <f t="shared" si="18"/>
        <v>Error?</v>
      </c>
    </row>
    <row r="1253" spans="1:4" x14ac:dyDescent="0.2">
      <c r="A1253" s="5">
        <v>1192</v>
      </c>
      <c r="B1253" s="1832">
        <f>'Expenditures 15-22'!G124</f>
        <v>967309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1142277</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1142277</v>
      </c>
      <c r="C1258" s="2" t="s">
        <v>568</v>
      </c>
      <c r="D1258" s="2" t="str">
        <f t="shared" si="18"/>
        <v>Error?</v>
      </c>
    </row>
    <row r="1259" spans="1:4" x14ac:dyDescent="0.2">
      <c r="A1259" s="5">
        <v>1198</v>
      </c>
      <c r="B1259" s="1832">
        <f>'Expenditures 15-22'!G151</f>
        <v>1142277</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174968</v>
      </c>
      <c r="C1275" s="2" t="s">
        <v>568</v>
      </c>
      <c r="D1275" s="2" t="str">
        <f t="shared" si="18"/>
        <v>Error?</v>
      </c>
    </row>
    <row r="1276" spans="1:4" x14ac:dyDescent="0.2">
      <c r="A1276" s="5">
        <v>1215</v>
      </c>
      <c r="B1276" s="1832">
        <f>'Expenditures 15-22'!K124</f>
        <v>3810803</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3985771</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3985771</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3985771</v>
      </c>
      <c r="C1288" s="2" t="s">
        <v>568</v>
      </c>
      <c r="D1288" s="2" t="str">
        <f t="shared" si="19"/>
        <v>Error?</v>
      </c>
    </row>
    <row r="1289" spans="1:4" x14ac:dyDescent="0.2">
      <c r="A1289" s="5">
        <v>1228</v>
      </c>
      <c r="B1289" s="1832">
        <f>'Expenditures 15-22'!K152</f>
        <v>166399</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2843453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2372691</v>
      </c>
      <c r="D1315" s="2" t="str">
        <f t="shared" si="19"/>
        <v>Error?</v>
      </c>
    </row>
    <row r="1316" spans="1:4" x14ac:dyDescent="0.2">
      <c r="A1316" s="5">
        <v>1255</v>
      </c>
      <c r="B1316" s="1832">
        <f>'Expenditures 15-22'!H171</f>
        <v>148918</v>
      </c>
      <c r="D1316" s="2" t="str">
        <f t="shared" si="19"/>
        <v>Error?</v>
      </c>
    </row>
    <row r="1317" spans="1:4" x14ac:dyDescent="0.2">
      <c r="A1317" s="5">
        <v>1256</v>
      </c>
      <c r="B1317" s="1832">
        <f>'Expenditures 15-22'!H172</f>
        <v>5365062</v>
      </c>
      <c r="C1317" s="2" t="s">
        <v>568</v>
      </c>
      <c r="D1317" s="2" t="str">
        <f t="shared" si="19"/>
        <v>Error?</v>
      </c>
    </row>
    <row r="1318" spans="1:4" x14ac:dyDescent="0.2">
      <c r="A1318" s="5">
        <v>1257</v>
      </c>
      <c r="B1318" s="1832">
        <f>'Expenditures 15-22'!H174</f>
        <v>5365062</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2843453</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2372691</v>
      </c>
      <c r="C1329" s="2" t="s">
        <v>568</v>
      </c>
      <c r="D1329" s="2" t="str">
        <f t="shared" si="19"/>
        <v>Error?</v>
      </c>
    </row>
    <row r="1330" spans="1:4" x14ac:dyDescent="0.2">
      <c r="A1330" s="5">
        <v>1269</v>
      </c>
      <c r="B1330" s="1832">
        <f>'Expenditures 15-22'!K171</f>
        <v>148918</v>
      </c>
      <c r="C1330" s="2" t="s">
        <v>568</v>
      </c>
      <c r="D1330" s="2" t="str">
        <f t="shared" si="19"/>
        <v>Error?</v>
      </c>
    </row>
    <row r="1331" spans="1:4" x14ac:dyDescent="0.2">
      <c r="A1331" s="5">
        <v>1270</v>
      </c>
      <c r="B1331" s="1832">
        <f>'Expenditures 15-22'!K172</f>
        <v>5365062</v>
      </c>
      <c r="C1331" s="2" t="s">
        <v>568</v>
      </c>
      <c r="D1331" s="2" t="str">
        <f t="shared" si="19"/>
        <v>Error?</v>
      </c>
    </row>
    <row r="1332" spans="1:4" x14ac:dyDescent="0.2">
      <c r="A1332" s="5">
        <v>1271</v>
      </c>
      <c r="B1332" s="1832">
        <f>'Expenditures 15-22'!K174</f>
        <v>5365062</v>
      </c>
      <c r="C1332" s="2" t="s">
        <v>568</v>
      </c>
      <c r="D1332" s="2" t="str">
        <f t="shared" si="19"/>
        <v>Error?</v>
      </c>
    </row>
    <row r="1333" spans="1:4" x14ac:dyDescent="0.2">
      <c r="A1333" s="5">
        <v>1272</v>
      </c>
      <c r="B1333" s="1832">
        <f>'Expenditures 15-22'!K175</f>
        <v>-2713427</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568</v>
      </c>
      <c r="D1339" s="2" t="str">
        <f t="shared" si="19"/>
        <v>Error?</v>
      </c>
    </row>
    <row r="1340" spans="1:4" x14ac:dyDescent="0.2">
      <c r="A1340" s="5">
        <v>1279</v>
      </c>
      <c r="B1340" s="1832">
        <f>'Expenditures 15-22'!C210</f>
        <v>0</v>
      </c>
      <c r="C1340" s="2" t="s">
        <v>568</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568</v>
      </c>
      <c r="D1345" s="2" t="str">
        <f t="shared" si="20"/>
        <v>Error?</v>
      </c>
    </row>
    <row r="1346" spans="1:4" x14ac:dyDescent="0.2">
      <c r="A1346" s="5">
        <v>1285</v>
      </c>
      <c r="B1346" s="1832">
        <f>'Expenditures 15-22'!D210</f>
        <v>0</v>
      </c>
      <c r="C1346" s="2" t="s">
        <v>568</v>
      </c>
      <c r="D1346" s="2" t="str">
        <f t="shared" si="20"/>
        <v>Error?</v>
      </c>
    </row>
    <row r="1347" spans="1:4" x14ac:dyDescent="0.2">
      <c r="A1347" s="5">
        <v>1286</v>
      </c>
      <c r="B1347" s="1832">
        <f>'Expenditures 15-22'!E182</f>
        <v>1176977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1176977</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1176977</v>
      </c>
      <c r="C1353" s="2" t="s">
        <v>568</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568</v>
      </c>
      <c r="D1358" s="2" t="str">
        <f t="shared" si="20"/>
        <v>Error?</v>
      </c>
    </row>
    <row r="1359" spans="1:4" x14ac:dyDescent="0.2">
      <c r="A1359" s="5">
        <v>1298</v>
      </c>
      <c r="B1359" s="1832">
        <f>'Expenditures 15-22'!F210</f>
        <v>0</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1176977</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1176977</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1176977</v>
      </c>
      <c r="C1388" s="2" t="s">
        <v>568</v>
      </c>
      <c r="D1388" s="2" t="str">
        <f t="shared" si="20"/>
        <v>Error?</v>
      </c>
    </row>
    <row r="1389" spans="1:4" x14ac:dyDescent="0.2">
      <c r="A1389" s="5">
        <v>1328</v>
      </c>
      <c r="B1389" s="1832">
        <f>'Expenditures 15-22'!K211</f>
        <v>102097</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7971</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5984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38781</v>
      </c>
      <c r="D1408" s="2" t="str">
        <f t="shared" si="21"/>
        <v>Error?</v>
      </c>
    </row>
    <row r="1409" spans="1:4" x14ac:dyDescent="0.2">
      <c r="A1409" s="5">
        <v>1348</v>
      </c>
      <c r="B1409" s="1832">
        <f>'Expenditures 15-22'!D224</f>
        <v>2922</v>
      </c>
      <c r="D1409" s="2" t="str">
        <f t="shared" si="21"/>
        <v>Error?</v>
      </c>
    </row>
    <row r="1410" spans="1:4" x14ac:dyDescent="0.2">
      <c r="A1410" s="5">
        <v>1349</v>
      </c>
      <c r="B1410" s="1832">
        <f>'Expenditures 15-22'!D229</f>
        <v>548949</v>
      </c>
      <c r="C1410" s="2" t="s">
        <v>568</v>
      </c>
      <c r="D1410" s="2" t="str">
        <f t="shared" si="21"/>
        <v>Error?</v>
      </c>
    </row>
    <row r="1411" spans="1:4" x14ac:dyDescent="0.2">
      <c r="A1411" s="5">
        <v>1350</v>
      </c>
      <c r="B1411" s="1832">
        <f>'Expenditures 15-22'!D232</f>
        <v>8366</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105570</v>
      </c>
      <c r="D1413" s="2" t="str">
        <f t="shared" si="21"/>
        <v>Error?</v>
      </c>
    </row>
    <row r="1414" spans="1:4" x14ac:dyDescent="0.2">
      <c r="A1414" s="5">
        <v>1353</v>
      </c>
      <c r="B1414" s="1832">
        <f>'Expenditures 15-22'!D235</f>
        <v>5477</v>
      </c>
      <c r="D1414" s="2" t="str">
        <f t="shared" si="21"/>
        <v>Error?</v>
      </c>
    </row>
    <row r="1415" spans="1:4" x14ac:dyDescent="0.2">
      <c r="A1415" s="5">
        <v>1354</v>
      </c>
      <c r="B1415" s="1832">
        <f>'Expenditures 15-22'!D236</f>
        <v>9260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128673</v>
      </c>
      <c r="C1417" s="2" t="s">
        <v>568</v>
      </c>
      <c r="D1417" s="2" t="str">
        <f t="shared" si="21"/>
        <v>Error?</v>
      </c>
    </row>
    <row r="1418" spans="1:4" x14ac:dyDescent="0.2">
      <c r="A1418" s="5">
        <v>1357</v>
      </c>
      <c r="B1418" s="1832">
        <f>'Expenditures 15-22'!D240</f>
        <v>4663</v>
      </c>
      <c r="D1418" s="2" t="str">
        <f t="shared" si="21"/>
        <v>Error?</v>
      </c>
    </row>
    <row r="1419" spans="1:4" x14ac:dyDescent="0.2">
      <c r="A1419" s="5">
        <v>1358</v>
      </c>
      <c r="B1419" s="1832">
        <f>'Expenditures 15-22'!D241</f>
        <v>18842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23505</v>
      </c>
      <c r="C1421" s="2" t="s">
        <v>568</v>
      </c>
      <c r="D1421" s="2" t="str">
        <f t="shared" si="21"/>
        <v>Error?</v>
      </c>
    </row>
    <row r="1422" spans="1:4" x14ac:dyDescent="0.2">
      <c r="A1422" s="5">
        <v>1361</v>
      </c>
      <c r="B1422" s="1832">
        <f>'Expenditures 15-22'!D245</f>
        <v>893</v>
      </c>
      <c r="D1422" s="2" t="str">
        <f t="shared" si="21"/>
        <v>Error?</v>
      </c>
    </row>
    <row r="1423" spans="1:4" x14ac:dyDescent="0.2">
      <c r="A1423" s="5">
        <v>1362</v>
      </c>
      <c r="B1423" s="1832">
        <f>'Expenditures 15-22'!D246</f>
        <v>13205</v>
      </c>
      <c r="D1423" s="2" t="str">
        <f t="shared" si="21"/>
        <v>Error?</v>
      </c>
    </row>
    <row r="1424" spans="1:4" x14ac:dyDescent="0.2">
      <c r="A1424" s="5">
        <v>1363</v>
      </c>
      <c r="B1424" s="1832">
        <f>'Expenditures 15-22'!D257</f>
        <v>14297</v>
      </c>
      <c r="C1424" s="2" t="s">
        <v>568</v>
      </c>
      <c r="D1424" s="2" t="str">
        <f t="shared" si="21"/>
        <v>Error?</v>
      </c>
    </row>
    <row r="1425" spans="1:4" x14ac:dyDescent="0.2">
      <c r="A1425" s="5">
        <v>1364</v>
      </c>
      <c r="B1425" s="1832">
        <f>'Expenditures 15-22'!D259</f>
        <v>64231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64231</v>
      </c>
      <c r="C1427" s="2" t="s">
        <v>568</v>
      </c>
      <c r="D1427" s="2" t="str">
        <f t="shared" si="21"/>
        <v>Error?</v>
      </c>
    </row>
    <row r="1428" spans="1:4" x14ac:dyDescent="0.2">
      <c r="A1428" s="5">
        <v>1367</v>
      </c>
      <c r="B1428" s="1832">
        <f>'Expenditures 15-22'!D263</f>
        <v>26312</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187157</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213469</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48874</v>
      </c>
      <c r="D1440" s="2" t="str">
        <f t="shared" si="21"/>
        <v>Error?</v>
      </c>
    </row>
    <row r="1441" spans="1:4" x14ac:dyDescent="0.2">
      <c r="A1441" s="10">
        <v>1380</v>
      </c>
      <c r="B1441" s="1832"/>
      <c r="D1441" s="2" t="str">
        <f t="shared" si="21"/>
        <v>OK</v>
      </c>
    </row>
    <row r="1442" spans="1:4" x14ac:dyDescent="0.2">
      <c r="A1442" s="5">
        <v>1381</v>
      </c>
      <c r="B1442" s="1832">
        <f>'Expenditures 15-22'!D276</f>
        <v>63622</v>
      </c>
      <c r="D1442" s="2" t="str">
        <f t="shared" si="21"/>
        <v>Error?</v>
      </c>
    </row>
    <row r="1443" spans="1:4" x14ac:dyDescent="0.2">
      <c r="A1443" s="10">
        <v>1382</v>
      </c>
      <c r="B1443" s="1832"/>
      <c r="D1443" s="2" t="str">
        <f t="shared" si="21"/>
        <v>OK</v>
      </c>
    </row>
    <row r="1444" spans="1:4" x14ac:dyDescent="0.2">
      <c r="A1444" s="5">
        <v>1383</v>
      </c>
      <c r="B1444" s="1832">
        <f>'Expenditures 15-22'!D277</f>
        <v>112496</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556671</v>
      </c>
      <c r="C1446" s="2" t="s">
        <v>568</v>
      </c>
      <c r="D1446" s="2" t="str">
        <f t="shared" si="21"/>
        <v>Error?</v>
      </c>
    </row>
    <row r="1447" spans="1:4" x14ac:dyDescent="0.2">
      <c r="A1447" s="5">
        <v>1386</v>
      </c>
      <c r="B1447" s="1832">
        <f>'Expenditures 15-22'!D280</f>
        <v>14704</v>
      </c>
      <c r="D1447" s="2" t="str">
        <f t="shared" si="21"/>
        <v>Error?</v>
      </c>
    </row>
    <row r="1448" spans="1:4" x14ac:dyDescent="0.2">
      <c r="A1448" s="5">
        <v>1387</v>
      </c>
      <c r="B1448" s="1832">
        <f>'Expenditures 15-22'!D295</f>
        <v>1120324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7971</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5984</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38781</v>
      </c>
      <c r="C1472" s="2" t="s">
        <v>568</v>
      </c>
      <c r="D1472" s="2" t="str">
        <f t="shared" si="22"/>
        <v>Error?</v>
      </c>
    </row>
    <row r="1473" spans="1:4" x14ac:dyDescent="0.2">
      <c r="A1473" s="5">
        <v>1412</v>
      </c>
      <c r="B1473" s="1832">
        <f>'Expenditures 15-22'!K224</f>
        <v>2922</v>
      </c>
      <c r="C1473" s="2" t="s">
        <v>568</v>
      </c>
      <c r="D1473" s="2" t="str">
        <f t="shared" si="22"/>
        <v>Error?</v>
      </c>
    </row>
    <row r="1474" spans="1:4" x14ac:dyDescent="0.2">
      <c r="A1474" s="5">
        <v>1413</v>
      </c>
      <c r="B1474" s="1832">
        <f>'Expenditures 15-22'!K229</f>
        <v>548949</v>
      </c>
      <c r="C1474" s="2" t="s">
        <v>568</v>
      </c>
      <c r="D1474" s="2" t="str">
        <f t="shared" si="22"/>
        <v>Error?</v>
      </c>
    </row>
    <row r="1475" spans="1:4" x14ac:dyDescent="0.2">
      <c r="A1475" s="5">
        <v>1414</v>
      </c>
      <c r="B1475" s="1832">
        <f>'Expenditures 15-22'!K232</f>
        <v>8366</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105570</v>
      </c>
      <c r="C1477" s="2" t="s">
        <v>568</v>
      </c>
      <c r="D1477" s="2" t="str">
        <f t="shared" si="22"/>
        <v>Error?</v>
      </c>
    </row>
    <row r="1478" spans="1:4" x14ac:dyDescent="0.2">
      <c r="A1478" s="5">
        <v>1417</v>
      </c>
      <c r="B1478" s="1832">
        <f>'Expenditures 15-22'!K235</f>
        <v>5477</v>
      </c>
      <c r="C1478" s="2" t="s">
        <v>568</v>
      </c>
      <c r="D1478" s="2" t="str">
        <f t="shared" si="22"/>
        <v>Error?</v>
      </c>
    </row>
    <row r="1479" spans="1:4" x14ac:dyDescent="0.2">
      <c r="A1479" s="5">
        <v>1418</v>
      </c>
      <c r="B1479" s="1832">
        <f>'Expenditures 15-22'!K236</f>
        <v>9260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128673</v>
      </c>
      <c r="C1481" s="2" t="s">
        <v>568</v>
      </c>
      <c r="D1481" s="2" t="str">
        <f t="shared" si="22"/>
        <v>Error?</v>
      </c>
    </row>
    <row r="1482" spans="1:4" x14ac:dyDescent="0.2">
      <c r="A1482" s="5">
        <v>1421</v>
      </c>
      <c r="B1482" s="1832">
        <f>'Expenditures 15-22'!K240</f>
        <v>4663</v>
      </c>
      <c r="C1482" s="2" t="s">
        <v>568</v>
      </c>
      <c r="D1482" s="2" t="str">
        <f t="shared" si="22"/>
        <v>Error?</v>
      </c>
    </row>
    <row r="1483" spans="1:4" x14ac:dyDescent="0.2">
      <c r="A1483" s="5">
        <v>1422</v>
      </c>
      <c r="B1483" s="1832">
        <f>'Expenditures 15-22'!K241</f>
        <v>18842</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23505</v>
      </c>
      <c r="C1485" s="2" t="s">
        <v>568</v>
      </c>
      <c r="D1485" s="2" t="str">
        <f t="shared" si="22"/>
        <v>Error?</v>
      </c>
    </row>
    <row r="1486" spans="1:4" x14ac:dyDescent="0.2">
      <c r="A1486" s="5">
        <v>1425</v>
      </c>
      <c r="B1486" s="1832">
        <f>'Expenditures 15-22'!K245</f>
        <v>893</v>
      </c>
      <c r="C1486" s="2" t="s">
        <v>568</v>
      </c>
      <c r="D1486" s="2" t="str">
        <f t="shared" si="22"/>
        <v>Error?</v>
      </c>
    </row>
    <row r="1487" spans="1:4" x14ac:dyDescent="0.2">
      <c r="A1487" s="5">
        <v>1426</v>
      </c>
      <c r="B1487" s="1832">
        <f>'Expenditures 15-22'!K246</f>
        <v>13205</v>
      </c>
      <c r="C1487" s="2" t="s">
        <v>568</v>
      </c>
      <c r="D1487" s="2" t="str">
        <f t="shared" si="22"/>
        <v>Error?</v>
      </c>
    </row>
    <row r="1488" spans="1:4" x14ac:dyDescent="0.2">
      <c r="A1488" s="5">
        <v>1427</v>
      </c>
      <c r="B1488" s="1832">
        <f>'Expenditures 15-22'!K257</f>
        <v>14297</v>
      </c>
      <c r="C1488" s="2" t="s">
        <v>568</v>
      </c>
      <c r="D1488" s="2" t="str">
        <f t="shared" si="22"/>
        <v>Error?</v>
      </c>
    </row>
    <row r="1489" spans="1:4" x14ac:dyDescent="0.2">
      <c r="A1489" s="5">
        <v>1428</v>
      </c>
      <c r="B1489" s="1832">
        <f>'Expenditures 15-22'!K259</f>
        <v>64231</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64231</v>
      </c>
      <c r="C1491" s="2" t="s">
        <v>568</v>
      </c>
      <c r="D1491" s="2" t="str">
        <f t="shared" si="22"/>
        <v>Error?</v>
      </c>
    </row>
    <row r="1492" spans="1:4" x14ac:dyDescent="0.2">
      <c r="A1492" s="5">
        <v>1431</v>
      </c>
      <c r="B1492" s="1832">
        <f>'Expenditures 15-22'!K263</f>
        <v>26312</v>
      </c>
      <c r="C1492" s="2" t="s">
        <v>568</v>
      </c>
      <c r="D1492" s="2" t="str">
        <f t="shared" si="22"/>
        <v>Error?</v>
      </c>
    </row>
    <row r="1493" spans="1:4" x14ac:dyDescent="0.2">
      <c r="A1493" s="5">
        <v>1432</v>
      </c>
      <c r="B1493" s="1832">
        <f>'Expenditures 15-22'!K264</f>
        <v>0</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187157</v>
      </c>
      <c r="C1495" s="2" t="s">
        <v>568</v>
      </c>
      <c r="D1495" s="2" t="str">
        <f t="shared" si="22"/>
        <v>Error?</v>
      </c>
    </row>
    <row r="1496" spans="1:4" x14ac:dyDescent="0.2">
      <c r="A1496" s="5">
        <v>1435</v>
      </c>
      <c r="B1496" s="1832">
        <f>'Expenditures 15-22'!K267</f>
        <v>0</v>
      </c>
      <c r="C1496" s="2" t="s">
        <v>568</v>
      </c>
      <c r="D1496" s="2" t="str">
        <f t="shared" si="22"/>
        <v>Error?</v>
      </c>
    </row>
    <row r="1497" spans="1:4" x14ac:dyDescent="0.2">
      <c r="A1497" s="5">
        <v>1436</v>
      </c>
      <c r="B1497" s="1832">
        <f>'Expenditures 15-22'!K268</f>
        <v>0</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213469</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48874</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63622</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112496</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556671</v>
      </c>
      <c r="C1510" s="2" t="s">
        <v>568</v>
      </c>
      <c r="D1510" s="2" t="str">
        <f t="shared" si="22"/>
        <v>Error?</v>
      </c>
    </row>
    <row r="1511" spans="1:4" x14ac:dyDescent="0.2">
      <c r="A1511" s="5">
        <v>1450</v>
      </c>
      <c r="B1511" s="1832">
        <f>'Expenditures 15-22'!K280</f>
        <v>14704</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1120324</v>
      </c>
      <c r="C1517" s="2" t="s">
        <v>568</v>
      </c>
      <c r="D1517" s="2" t="str">
        <f t="shared" si="22"/>
        <v>Error?</v>
      </c>
    </row>
    <row r="1518" spans="1:4" x14ac:dyDescent="0.2">
      <c r="A1518" s="5">
        <v>1457</v>
      </c>
      <c r="B1518" s="1832">
        <f>'Expenditures 15-22'!K296</f>
        <v>150328</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1769</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3251691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3322837</v>
      </c>
      <c r="C1630" s="2" t="s">
        <v>568</v>
      </c>
      <c r="D1630" s="2" t="str">
        <f t="shared" si="24"/>
        <v>Error?</v>
      </c>
    </row>
    <row r="1631" spans="1:4" x14ac:dyDescent="0.2">
      <c r="A1631" s="5">
        <v>1570</v>
      </c>
      <c r="B1631" s="1832">
        <f>'Acct Summary 7-8'!D79</f>
        <v>2681050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3163689</v>
      </c>
      <c r="C1644" s="2" t="s">
        <v>568</v>
      </c>
      <c r="D1644" s="2" t="str">
        <f t="shared" si="24"/>
        <v>Error?</v>
      </c>
    </row>
    <row r="1645" spans="1:4" x14ac:dyDescent="0.2">
      <c r="A1645" s="5">
        <v>1584</v>
      </c>
      <c r="B1645" s="1832">
        <f>'Acct Summary 7-8'!E79</f>
        <v>4827685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2832613</v>
      </c>
      <c r="C1658" s="2" t="s">
        <v>568</v>
      </c>
      <c r="D1658" s="2" t="str">
        <f t="shared" si="24"/>
        <v>Error?</v>
      </c>
    </row>
    <row r="1659" spans="1:4" x14ac:dyDescent="0.2">
      <c r="A1659" s="5">
        <v>1598</v>
      </c>
      <c r="B1659" s="1832">
        <f>'Acct Summary 7-8'!F79</f>
        <v>670590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772687</v>
      </c>
      <c r="C1672" s="2" t="s">
        <v>568</v>
      </c>
      <c r="D1672" s="2" t="str">
        <f t="shared" si="25"/>
        <v>Error?</v>
      </c>
    </row>
    <row r="1673" spans="1:4" x14ac:dyDescent="0.2">
      <c r="A1673" s="5">
        <v>1612</v>
      </c>
      <c r="B1673" s="1832">
        <f>'Acct Summary 7-8'!G79</f>
        <v>724673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875001</v>
      </c>
      <c r="C1686" s="2" t="s">
        <v>568</v>
      </c>
      <c r="D1686" s="2" t="str">
        <f t="shared" si="25"/>
        <v>Error?</v>
      </c>
    </row>
    <row r="1687" spans="1:4" x14ac:dyDescent="0.2">
      <c r="A1687" s="5">
        <v>1626</v>
      </c>
      <c r="B1687" s="1832">
        <f>'Acct Summary 7-8'!H79</f>
        <v>77070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78839</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26681460</v>
      </c>
      <c r="C1744" s="2" t="s">
        <v>568</v>
      </c>
      <c r="D1744" s="2" t="str">
        <f t="shared" si="26"/>
        <v>Error?</v>
      </c>
    </row>
    <row r="1745" spans="1:5" x14ac:dyDescent="0.2">
      <c r="A1745" s="5">
        <v>1684</v>
      </c>
      <c r="B1745" s="1832">
        <f>'Tax Sched 23'!B5</f>
        <v>3964893</v>
      </c>
      <c r="C1745" s="2" t="s">
        <v>568</v>
      </c>
      <c r="D1745" s="2" t="str">
        <f t="shared" si="26"/>
        <v>Error?</v>
      </c>
    </row>
    <row r="1746" spans="1:5" x14ac:dyDescent="0.2">
      <c r="A1746" s="5">
        <v>1685</v>
      </c>
      <c r="B1746" s="1832">
        <f>'Tax Sched 23'!B6</f>
        <v>2578999</v>
      </c>
      <c r="C1746" s="2" t="s">
        <v>568</v>
      </c>
      <c r="D1746" s="2" t="str">
        <f t="shared" si="26"/>
        <v>Error?</v>
      </c>
    </row>
    <row r="1747" spans="1:5" x14ac:dyDescent="0.2">
      <c r="A1747" s="5">
        <v>1686</v>
      </c>
      <c r="B1747" s="1832">
        <f>'Tax Sched 23'!B7</f>
        <v>760391</v>
      </c>
      <c r="C1747" s="2" t="s">
        <v>568</v>
      </c>
      <c r="D1747" s="2" t="str">
        <f t="shared" si="26"/>
        <v>Error?</v>
      </c>
    </row>
    <row r="1748" spans="1:5" x14ac:dyDescent="0.2">
      <c r="A1748" s="5">
        <v>1687</v>
      </c>
      <c r="B1748" s="1832">
        <f>'Tax Sched 23'!B8</f>
        <v>593701</v>
      </c>
      <c r="C1748" s="2" t="s">
        <v>568</v>
      </c>
      <c r="D1748" s="2" t="str">
        <f t="shared" si="26"/>
        <v>Error?</v>
      </c>
    </row>
    <row r="1749" spans="1:5" x14ac:dyDescent="0.2">
      <c r="A1749" s="5">
        <v>1688</v>
      </c>
      <c r="B1749" s="1832">
        <f>'Tax Sched 23'!B10</f>
        <v>380195</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147</v>
      </c>
      <c r="C1752" s="2" t="s">
        <v>568</v>
      </c>
      <c r="D1752" s="2" t="str">
        <f t="shared" si="26"/>
        <v>Error?</v>
      </c>
    </row>
    <row r="1753" spans="1:5" x14ac:dyDescent="0.2">
      <c r="A1753" s="5">
        <v>1692</v>
      </c>
      <c r="B1753" s="1832">
        <f>'Tax Sched 23'!B12</f>
        <v>0</v>
      </c>
      <c r="C1753" s="2" t="s">
        <v>568</v>
      </c>
      <c r="D1753" s="2" t="str">
        <f t="shared" si="26"/>
        <v>Error?</v>
      </c>
    </row>
    <row r="1754" spans="1:5" x14ac:dyDescent="0.2">
      <c r="A1754" s="5">
        <v>1693</v>
      </c>
      <c r="B1754" s="1832">
        <f>'Tax Sched 23'!B14</f>
        <v>1020493</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36573980</v>
      </c>
      <c r="C1759" s="2" t="s">
        <v>568</v>
      </c>
      <c r="D1759" s="2" t="str">
        <f t="shared" si="26"/>
        <v>Error?</v>
      </c>
    </row>
    <row r="1760" spans="1:5" x14ac:dyDescent="0.2">
      <c r="A1760" s="5">
        <v>1699</v>
      </c>
      <c r="B1760" s="1832">
        <f>'Tax Sched 23'!D4</f>
        <v>12158174</v>
      </c>
      <c r="C1760" s="2" t="s">
        <v>568</v>
      </c>
      <c r="D1760" s="2" t="str">
        <f t="shared" si="26"/>
        <v>Error?</v>
      </c>
    </row>
    <row r="1761" spans="1:7" x14ac:dyDescent="0.2">
      <c r="A1761" s="5">
        <v>1700</v>
      </c>
      <c r="B1761" s="1832">
        <f>'Tax Sched 23'!D5</f>
        <v>1813795</v>
      </c>
      <c r="C1761" s="2" t="s">
        <v>568</v>
      </c>
      <c r="D1761" s="2" t="str">
        <f t="shared" si="26"/>
        <v>Error?</v>
      </c>
    </row>
    <row r="1762" spans="1:7" s="8" customFormat="1" x14ac:dyDescent="0.2">
      <c r="A1762" s="5">
        <v>1701</v>
      </c>
      <c r="B1762" s="1832">
        <f>'Tax Sched 23'!D6</f>
        <v>1220016</v>
      </c>
      <c r="C1762" s="2" t="s">
        <v>568</v>
      </c>
      <c r="D1762" s="2" t="str">
        <f t="shared" si="26"/>
        <v>Error?</v>
      </c>
      <c r="E1762" s="9"/>
      <c r="G1762"/>
    </row>
    <row r="1763" spans="1:7" x14ac:dyDescent="0.2">
      <c r="A1763" s="5">
        <v>1702</v>
      </c>
      <c r="B1763" s="1832">
        <f>'Tax Sched 23'!D7</f>
        <v>347851</v>
      </c>
      <c r="C1763" s="2" t="s">
        <v>568</v>
      </c>
      <c r="D1763" s="2" t="str">
        <f t="shared" si="26"/>
        <v>Error?</v>
      </c>
    </row>
    <row r="1764" spans="1:7" x14ac:dyDescent="0.2">
      <c r="A1764" s="5">
        <v>1703</v>
      </c>
      <c r="B1764" s="1832">
        <f>'Tax Sched 23'!D8</f>
        <v>372698</v>
      </c>
      <c r="C1764" s="2" t="s">
        <v>568</v>
      </c>
      <c r="D1764" s="2" t="str">
        <f t="shared" si="26"/>
        <v>Error?</v>
      </c>
    </row>
    <row r="1765" spans="1:7" x14ac:dyDescent="0.2">
      <c r="A1765" s="5">
        <v>1704</v>
      </c>
      <c r="B1765" s="1832">
        <f>'Tax Sched 23'!D10</f>
        <v>173926</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47</v>
      </c>
      <c r="C1768" s="2" t="s">
        <v>568</v>
      </c>
      <c r="D1768" s="2" t="str">
        <f t="shared" si="26"/>
        <v>Error?</v>
      </c>
    </row>
    <row r="1769" spans="1:7" x14ac:dyDescent="0.2">
      <c r="A1769" s="5">
        <v>1708</v>
      </c>
      <c r="B1769" s="1832">
        <f>'Tax Sched 23'!D12</f>
        <v>0</v>
      </c>
      <c r="C1769" s="2" t="s">
        <v>568</v>
      </c>
      <c r="D1769" s="2" t="str">
        <f t="shared" si="26"/>
        <v>Error?</v>
      </c>
    </row>
    <row r="1770" spans="1:7" x14ac:dyDescent="0.2">
      <c r="A1770" s="5">
        <v>1709</v>
      </c>
      <c r="B1770" s="1832">
        <f>'Tax Sched 23'!D14</f>
        <v>621163</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17080368</v>
      </c>
      <c r="C1775" s="2" t="s">
        <v>568</v>
      </c>
      <c r="D1775" s="2" t="str">
        <f t="shared" si="26"/>
        <v>Error?</v>
      </c>
    </row>
    <row r="1776" spans="1:7" x14ac:dyDescent="0.2">
      <c r="A1776" s="5">
        <v>1715</v>
      </c>
      <c r="B1776" s="1832">
        <f>'Tax Sched 23'!C4</f>
        <v>14523286</v>
      </c>
      <c r="D1776" s="2" t="str">
        <f t="shared" si="26"/>
        <v>Error?</v>
      </c>
    </row>
    <row r="1777" spans="1:4" x14ac:dyDescent="0.2">
      <c r="A1777" s="5">
        <v>1716</v>
      </c>
      <c r="B1777" s="1832">
        <f>'Tax Sched 23'!C5</f>
        <v>2151098</v>
      </c>
      <c r="D1777" s="2" t="str">
        <f t="shared" si="26"/>
        <v>Error?</v>
      </c>
    </row>
    <row r="1778" spans="1:4" x14ac:dyDescent="0.2">
      <c r="A1778" s="5">
        <v>1717</v>
      </c>
      <c r="B1778" s="1832">
        <f>'Tax Sched 23'!C6</f>
        <v>1358983</v>
      </c>
      <c r="D1778" s="2" t="str">
        <f t="shared" si="26"/>
        <v>Error?</v>
      </c>
    </row>
    <row r="1779" spans="1:4" x14ac:dyDescent="0.2">
      <c r="A1779" s="5">
        <v>1718</v>
      </c>
      <c r="B1779" s="1832">
        <f>'Tax Sched 23'!C7</f>
        <v>412540</v>
      </c>
      <c r="D1779" s="2" t="str">
        <f t="shared" si="26"/>
        <v>Error?</v>
      </c>
    </row>
    <row r="1780" spans="1:4" x14ac:dyDescent="0.2">
      <c r="A1780" s="5">
        <v>1719</v>
      </c>
      <c r="B1780" s="1832">
        <f>'Tax Sched 23'!C8</f>
        <v>221003</v>
      </c>
      <c r="D1780" s="2" t="str">
        <f t="shared" si="26"/>
        <v>Error?</v>
      </c>
    </row>
    <row r="1781" spans="1:4" x14ac:dyDescent="0.2">
      <c r="A1781" s="5">
        <v>1720</v>
      </c>
      <c r="B1781" s="1832">
        <f>'Tax Sched 23'!C10</f>
        <v>206269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100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399330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19493612</v>
      </c>
      <c r="C1791" s="2" t="s">
        <v>568</v>
      </c>
      <c r="D1791" s="2" t="str">
        <f t="shared" ref="D1791:D1854" si="27">IF(ISBLANK(B1791),"OK",IF(A1791-B1791=0,"OK","Error?"))</f>
        <v>Error?</v>
      </c>
    </row>
    <row r="1792" spans="1:4" x14ac:dyDescent="0.2">
      <c r="A1792" s="5">
        <v>1731</v>
      </c>
      <c r="B1792" s="1832">
        <f>'Tax Sched 23'!F4</f>
        <v>13621079</v>
      </c>
      <c r="C1792" s="2" t="s">
        <v>568</v>
      </c>
      <c r="D1792" s="2" t="str">
        <f t="shared" si="27"/>
        <v>Error?</v>
      </c>
    </row>
    <row r="1793" spans="1:4" x14ac:dyDescent="0.2">
      <c r="A1793" s="5">
        <v>1732</v>
      </c>
      <c r="B1793" s="1832">
        <f>'Tax Sched 23'!F5</f>
        <v>2017468</v>
      </c>
      <c r="C1793" s="2" t="s">
        <v>568</v>
      </c>
      <c r="D1793" s="2" t="str">
        <f t="shared" si="27"/>
        <v>Error?</v>
      </c>
    </row>
    <row r="1794" spans="1:4" x14ac:dyDescent="0.2">
      <c r="A1794" s="5">
        <v>1733</v>
      </c>
      <c r="B1794" s="1832">
        <f>'Tax Sched 23'!F6</f>
        <v>1274561</v>
      </c>
      <c r="C1794" s="2" t="s">
        <v>568</v>
      </c>
      <c r="D1794" s="2" t="str">
        <f t="shared" si="27"/>
        <v>Error?</v>
      </c>
    </row>
    <row r="1795" spans="1:4" x14ac:dyDescent="0.2">
      <c r="A1795" s="5">
        <v>1734</v>
      </c>
      <c r="B1795" s="1832">
        <f>'Tax Sched 23'!F7</f>
        <v>386912</v>
      </c>
      <c r="C1795" s="2" t="s">
        <v>568</v>
      </c>
      <c r="D1795" s="2" t="str">
        <f t="shared" si="27"/>
        <v>Error?</v>
      </c>
    </row>
    <row r="1796" spans="1:4" x14ac:dyDescent="0.2">
      <c r="A1796" s="5">
        <v>1735</v>
      </c>
      <c r="B1796" s="1832">
        <f>'Tax Sched 23'!F8</f>
        <v>207274</v>
      </c>
      <c r="C1796" s="2" t="s">
        <v>568</v>
      </c>
      <c r="D1796" s="2" t="str">
        <f t="shared" si="27"/>
        <v>Error?</v>
      </c>
    </row>
    <row r="1797" spans="1:4" x14ac:dyDescent="0.2">
      <c r="A1797" s="5">
        <v>1736</v>
      </c>
      <c r="B1797" s="1832">
        <f>'Tax Sched 23'!F10</f>
        <v>193456</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93</v>
      </c>
      <c r="C1800" s="2" t="s">
        <v>568</v>
      </c>
      <c r="D1800" s="2" t="str">
        <f t="shared" si="27"/>
        <v>Error?</v>
      </c>
    </row>
    <row r="1801" spans="1:4" x14ac:dyDescent="0.2">
      <c r="A1801" s="5">
        <v>1740</v>
      </c>
      <c r="B1801" s="1832">
        <f>'Tax Sched 23'!F12</f>
        <v>0</v>
      </c>
      <c r="C1801" s="2" t="s">
        <v>568</v>
      </c>
      <c r="D1801" s="2" t="str">
        <f t="shared" si="27"/>
        <v>Error?</v>
      </c>
    </row>
    <row r="1802" spans="1:4" x14ac:dyDescent="0.2">
      <c r="A1802" s="5">
        <v>1741</v>
      </c>
      <c r="B1802" s="1832">
        <f>'Tax Sched 23'!F14</f>
        <v>374524</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18282641</v>
      </c>
      <c r="C1807" s="2" t="s">
        <v>568</v>
      </c>
      <c r="D1807" s="2" t="str">
        <f t="shared" si="27"/>
        <v>Error?</v>
      </c>
    </row>
    <row r="1808" spans="1:4" x14ac:dyDescent="0.2">
      <c r="A1808" s="5">
        <v>1747</v>
      </c>
      <c r="B1808" s="1832">
        <f>'Tax Sched 23'!E4</f>
        <v>28144365</v>
      </c>
      <c r="D1808" s="2" t="str">
        <f t="shared" si="27"/>
        <v>Error?</v>
      </c>
    </row>
    <row r="1809" spans="1:4" x14ac:dyDescent="0.2">
      <c r="A1809" s="5">
        <v>1748</v>
      </c>
      <c r="B1809" s="1832">
        <f>'Tax Sched 23'!E5</f>
        <v>4168566</v>
      </c>
      <c r="D1809" s="2" t="str">
        <f t="shared" si="27"/>
        <v>Error?</v>
      </c>
    </row>
    <row r="1810" spans="1:4" x14ac:dyDescent="0.2">
      <c r="A1810" s="5">
        <v>1749</v>
      </c>
      <c r="B1810" s="1832">
        <f>'Tax Sched 23'!E6</f>
        <v>2633544</v>
      </c>
      <c r="D1810" s="2" t="str">
        <f t="shared" si="27"/>
        <v>Error?</v>
      </c>
    </row>
    <row r="1811" spans="1:4" x14ac:dyDescent="0.2">
      <c r="A1811" s="5">
        <v>1750</v>
      </c>
      <c r="B1811" s="1832">
        <f>'Tax Sched 23'!E7</f>
        <v>799452</v>
      </c>
      <c r="D1811" s="2" t="str">
        <f t="shared" si="27"/>
        <v>Error?</v>
      </c>
    </row>
    <row r="1812" spans="1:4" x14ac:dyDescent="0.2">
      <c r="A1812" s="5">
        <v>1751</v>
      </c>
      <c r="B1812" s="1832">
        <f>'Tax Sched 23'!E8</f>
        <v>428277</v>
      </c>
      <c r="D1812" s="2" t="str">
        <f t="shared" si="27"/>
        <v>Error?</v>
      </c>
    </row>
    <row r="1813" spans="1:4" x14ac:dyDescent="0.2">
      <c r="A1813" s="5">
        <v>1752</v>
      </c>
      <c r="B1813" s="1832">
        <f>'Tax Sched 23'!E10</f>
        <v>399725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193</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773854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37776253</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31776276</v>
      </c>
      <c r="C1939" s="2" t="s">
        <v>568</v>
      </c>
      <c r="D1939" s="2" t="str">
        <f t="shared" si="29"/>
        <v>Error?</v>
      </c>
    </row>
    <row r="1940" spans="1:5" x14ac:dyDescent="0.2">
      <c r="A1940" s="5">
        <v>1879</v>
      </c>
      <c r="B1940" s="1832">
        <f>'Short-Term Long-Term Debt 24'!F49</f>
        <v>7205000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1020493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1020493</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1020493</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767294</v>
      </c>
      <c r="D2008" s="2" t="str">
        <f t="shared" si="30"/>
        <v>Error?</v>
      </c>
    </row>
    <row r="2009" spans="1:4" x14ac:dyDescent="0.2">
      <c r="A2009" s="5">
        <v>1948</v>
      </c>
      <c r="B2009" s="1832">
        <f>'Cap Outlay Deprec 26'!C8</f>
        <v>58606022</v>
      </c>
      <c r="D2009" s="2" t="str">
        <f t="shared" si="30"/>
        <v>Error?</v>
      </c>
    </row>
    <row r="2010" spans="1:4" x14ac:dyDescent="0.2">
      <c r="A2010" s="5">
        <v>1949</v>
      </c>
      <c r="B2010" s="1832">
        <f>'Cap Outlay Deprec 26'!C10</f>
        <v>1981511</v>
      </c>
      <c r="D2010" s="2" t="str">
        <f t="shared" si="30"/>
        <v>Error?</v>
      </c>
    </row>
    <row r="2011" spans="1:4" x14ac:dyDescent="0.2">
      <c r="A2011" s="5">
        <v>1950</v>
      </c>
      <c r="B2011" s="1832">
        <f>'Cap Outlay Deprec 26'!C12</f>
        <v>3134794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64489621</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174968</v>
      </c>
      <c r="D2016" s="2" t="str">
        <f t="shared" si="30"/>
        <v>Error?</v>
      </c>
    </row>
    <row r="2017" spans="1:4" x14ac:dyDescent="0.2">
      <c r="A2017" s="5">
        <v>1956</v>
      </c>
      <c r="B2017" s="1832">
        <f>'Cap Outlay Deprec 26'!D12</f>
        <v>242444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417412</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767294</v>
      </c>
      <c r="C2026" s="2" t="s">
        <v>568</v>
      </c>
      <c r="D2026" s="2" t="str">
        <f t="shared" si="30"/>
        <v>Error?</v>
      </c>
    </row>
    <row r="2027" spans="1:4" x14ac:dyDescent="0.2">
      <c r="A2027" s="5">
        <v>1966</v>
      </c>
      <c r="B2027" s="1832">
        <f>'Cap Outlay Deprec 26'!F8</f>
        <v>58606022</v>
      </c>
      <c r="C2027" s="2" t="s">
        <v>568</v>
      </c>
      <c r="D2027" s="2" t="str">
        <f t="shared" si="30"/>
        <v>Error?</v>
      </c>
    </row>
    <row r="2028" spans="1:4" x14ac:dyDescent="0.2">
      <c r="A2028" s="5">
        <v>1967</v>
      </c>
      <c r="B2028" s="1832">
        <f>'Cap Outlay Deprec 26'!F10</f>
        <v>2156479</v>
      </c>
      <c r="C2028" s="2" t="s">
        <v>568</v>
      </c>
      <c r="D2028" s="2" t="str">
        <f t="shared" si="30"/>
        <v>Error?</v>
      </c>
    </row>
    <row r="2029" spans="1:4" x14ac:dyDescent="0.2">
      <c r="A2029" s="5">
        <v>1968</v>
      </c>
      <c r="B2029" s="1832">
        <f>'Cap Outlay Deprec 26'!F12</f>
        <v>3377238</v>
      </c>
      <c r="C2029" s="2" t="s">
        <v>568</v>
      </c>
      <c r="D2029" s="2" t="str">
        <f t="shared" si="30"/>
        <v>Error?</v>
      </c>
    </row>
    <row r="2030" spans="1:4" x14ac:dyDescent="0.2">
      <c r="A2030" s="5">
        <v>1969</v>
      </c>
      <c r="B2030" s="1832">
        <f>'Cap Outlay Deprec 26'!F13</f>
        <v>0</v>
      </c>
      <c r="C2030" s="2" t="s">
        <v>568</v>
      </c>
      <c r="D2030" s="2" t="str">
        <f t="shared" si="30"/>
        <v>Error?</v>
      </c>
    </row>
    <row r="2031" spans="1:4" x14ac:dyDescent="0.2">
      <c r="A2031" s="5">
        <v>1970</v>
      </c>
      <c r="B2031" s="1832">
        <f>'Cap Outlay Deprec 26'!F16</f>
        <v>64907033</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20860640</v>
      </c>
      <c r="D2033" s="2" t="str">
        <f t="shared" si="30"/>
        <v>Error?</v>
      </c>
    </row>
    <row r="2034" spans="1:4" x14ac:dyDescent="0.2">
      <c r="A2034" s="5">
        <v>1973</v>
      </c>
      <c r="B2034" s="1832">
        <f>'Cap Outlay Deprec 26'!H10</f>
        <v>1690380</v>
      </c>
      <c r="D2034" s="2" t="str">
        <f t="shared" si="30"/>
        <v>Error?</v>
      </c>
    </row>
    <row r="2035" spans="1:4" x14ac:dyDescent="0.2">
      <c r="A2035" s="5">
        <v>1974</v>
      </c>
      <c r="B2035" s="1832">
        <f>'Cap Outlay Deprec 26'!H12</f>
        <v>1989685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24540705</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1179693</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187554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1367247</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22040333</v>
      </c>
      <c r="C2051" s="2" t="s">
        <v>568</v>
      </c>
      <c r="D2051" s="2" t="str">
        <f t="shared" si="31"/>
        <v>Error?</v>
      </c>
    </row>
    <row r="2052" spans="1:4" x14ac:dyDescent="0.2">
      <c r="A2052" s="5">
        <v>1991</v>
      </c>
      <c r="B2052" s="1832">
        <f>'Cap Outlay Deprec 26'!K10</f>
        <v>1690380</v>
      </c>
      <c r="C2052" s="2" t="s">
        <v>568</v>
      </c>
      <c r="D2052" s="2" t="str">
        <f t="shared" si="31"/>
        <v>Error?</v>
      </c>
    </row>
    <row r="2053" spans="1:4" x14ac:dyDescent="0.2">
      <c r="A2053" s="5">
        <v>1992</v>
      </c>
      <c r="B2053" s="1832">
        <f>'Cap Outlay Deprec 26'!K12</f>
        <v>2177239</v>
      </c>
      <c r="C2053" s="2" t="s">
        <v>568</v>
      </c>
      <c r="D2053" s="2" t="str">
        <f t="shared" si="31"/>
        <v>Error?</v>
      </c>
    </row>
    <row r="2054" spans="1:4" x14ac:dyDescent="0.2">
      <c r="A2054" s="5">
        <v>1993</v>
      </c>
      <c r="B2054" s="1832">
        <f>'Cap Outlay Deprec 26'!K13</f>
        <v>0</v>
      </c>
      <c r="C2054" s="2" t="s">
        <v>568</v>
      </c>
      <c r="D2054" s="2" t="str">
        <f t="shared" si="31"/>
        <v>Error?</v>
      </c>
    </row>
    <row r="2055" spans="1:4" x14ac:dyDescent="0.2">
      <c r="A2055" s="5">
        <v>1994</v>
      </c>
      <c r="B2055" s="1832">
        <f>'Cap Outlay Deprec 26'!K16</f>
        <v>25907952</v>
      </c>
      <c r="C2055" s="2" t="s">
        <v>568</v>
      </c>
      <c r="D2055" s="2" t="str">
        <f t="shared" si="31"/>
        <v>Error?</v>
      </c>
    </row>
    <row r="2056" spans="1:4" x14ac:dyDescent="0.2">
      <c r="A2056" s="5">
        <v>1995</v>
      </c>
      <c r="B2056" s="1832">
        <f>'Cap Outlay Deprec 26'!L5</f>
        <v>767294</v>
      </c>
      <c r="C2056" s="2" t="s">
        <v>568</v>
      </c>
      <c r="D2056" s="2" t="str">
        <f t="shared" si="31"/>
        <v>Error?</v>
      </c>
    </row>
    <row r="2057" spans="1:4" x14ac:dyDescent="0.2">
      <c r="A2057" s="5">
        <v>1996</v>
      </c>
      <c r="B2057" s="1832">
        <f>'Cap Outlay Deprec 26'!L8</f>
        <v>36565689</v>
      </c>
      <c r="C2057" s="2" t="s">
        <v>568</v>
      </c>
      <c r="D2057" s="2" t="str">
        <f t="shared" si="31"/>
        <v>Error?</v>
      </c>
    </row>
    <row r="2058" spans="1:4" x14ac:dyDescent="0.2">
      <c r="A2058" s="5">
        <v>1997</v>
      </c>
      <c r="B2058" s="1832">
        <f>'Cap Outlay Deprec 26'!L10</f>
        <v>466099</v>
      </c>
      <c r="C2058" s="2" t="s">
        <v>568</v>
      </c>
      <c r="D2058" s="2" t="str">
        <f t="shared" si="31"/>
        <v>Error?</v>
      </c>
    </row>
    <row r="2059" spans="1:4" x14ac:dyDescent="0.2">
      <c r="A2059" s="5">
        <v>1998</v>
      </c>
      <c r="B2059" s="1832">
        <f>'Cap Outlay Deprec 26'!L12</f>
        <v>1199999</v>
      </c>
      <c r="C2059" s="2" t="s">
        <v>568</v>
      </c>
      <c r="D2059" s="2" t="str">
        <f t="shared" si="31"/>
        <v>Error?</v>
      </c>
    </row>
    <row r="2060" spans="1:4" x14ac:dyDescent="0.2">
      <c r="A2060" s="5">
        <v>1999</v>
      </c>
      <c r="B2060" s="1832">
        <f>'Cap Outlay Deprec 26'!L13</f>
        <v>0</v>
      </c>
      <c r="C2060" s="2" t="s">
        <v>568</v>
      </c>
      <c r="D2060" s="2" t="str">
        <f t="shared" si="31"/>
        <v>Error?</v>
      </c>
    </row>
    <row r="2061" spans="1:4" x14ac:dyDescent="0.2">
      <c r="A2061" s="5">
        <v>2000</v>
      </c>
      <c r="B2061" s="1832">
        <f>'Cap Outlay Deprec 26'!L16</f>
        <v>38999081</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504866</v>
      </c>
      <c r="C2088" s="2" t="s">
        <v>568</v>
      </c>
      <c r="D2088" s="2" t="str">
        <f t="shared" si="31"/>
        <v>Error?</v>
      </c>
    </row>
    <row r="2089" spans="1:4" x14ac:dyDescent="0.2">
      <c r="A2089" s="5">
        <v>2028</v>
      </c>
      <c r="B2089" s="1832">
        <f>'Expenditures 15-22'!K92</f>
        <v>879005</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772687</v>
      </c>
      <c r="D2475" s="2" t="str">
        <f t="shared" si="37"/>
        <v>Error?</v>
      </c>
    </row>
    <row r="2476" spans="1:4" x14ac:dyDescent="0.2">
      <c r="A2476" s="10">
        <v>2415</v>
      </c>
      <c r="B2476" s="1832"/>
      <c r="D2476" s="2" t="str">
        <f t="shared" si="37"/>
        <v>OK</v>
      </c>
    </row>
    <row r="2477" spans="1:4" x14ac:dyDescent="0.2">
      <c r="A2477" s="5">
        <v>2416</v>
      </c>
      <c r="B2477" s="1832">
        <f>'Assets-Liab 5-6'!G38</f>
        <v>875001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2832613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29412474</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3833283</v>
      </c>
      <c r="C2553" s="2" t="s">
        <v>568</v>
      </c>
      <c r="D2553" s="2" t="str">
        <f t="shared" si="38"/>
        <v>Error?</v>
      </c>
    </row>
    <row r="2554" spans="1:4" x14ac:dyDescent="0.2">
      <c r="A2554" s="5">
        <v>2493</v>
      </c>
      <c r="B2554" s="1832">
        <f>'Acct Summary 7-8'!C7</f>
        <v>1361219</v>
      </c>
      <c r="C2554" s="2" t="s">
        <v>568</v>
      </c>
      <c r="D2554" s="2" t="str">
        <f t="shared" si="38"/>
        <v>Error?</v>
      </c>
    </row>
    <row r="2555" spans="1:4" x14ac:dyDescent="0.2">
      <c r="A2555" s="5">
        <v>2494</v>
      </c>
      <c r="B2555" s="1832">
        <f>'Acct Summary 7-8'!C8</f>
        <v>34606976</v>
      </c>
      <c r="C2555" s="2" t="s">
        <v>568</v>
      </c>
      <c r="D2555" s="2" t="str">
        <f t="shared" si="38"/>
        <v>Error?</v>
      </c>
    </row>
    <row r="2556" spans="1:4" x14ac:dyDescent="0.2">
      <c r="A2556" s="5">
        <v>2495</v>
      </c>
      <c r="B2556" s="1832">
        <f>'Acct Summary 7-8'!C12</f>
        <v>23426070</v>
      </c>
      <c r="C2556" s="2" t="s">
        <v>568</v>
      </c>
      <c r="D2556" s="2" t="str">
        <f t="shared" si="38"/>
        <v>Error?</v>
      </c>
    </row>
    <row r="2557" spans="1:4" x14ac:dyDescent="0.2">
      <c r="A2557" s="5">
        <v>2496</v>
      </c>
      <c r="B2557" s="1832">
        <f>'Acct Summary 7-8'!C13</f>
        <v>9622655</v>
      </c>
      <c r="C2557" s="2" t="s">
        <v>568</v>
      </c>
      <c r="D2557" s="2" t="str">
        <f t="shared" si="38"/>
        <v>Error?</v>
      </c>
    </row>
    <row r="2558" spans="1:4" x14ac:dyDescent="0.2">
      <c r="A2558" s="5">
        <v>2497</v>
      </c>
      <c r="B2558" s="1832">
        <f>'Acct Summary 7-8'!C14</f>
        <v>117103</v>
      </c>
      <c r="C2558" s="2" t="s">
        <v>568</v>
      </c>
      <c r="D2558" s="2" t="str">
        <f t="shared" si="38"/>
        <v>Error?</v>
      </c>
    </row>
    <row r="2559" spans="1:4" x14ac:dyDescent="0.2">
      <c r="A2559" s="5">
        <v>2498</v>
      </c>
      <c r="B2559" s="1832">
        <f>'Acct Summary 7-8'!C15</f>
        <v>1383871</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34549699</v>
      </c>
      <c r="C2561" s="2" t="s">
        <v>568</v>
      </c>
      <c r="D2561" s="2" t="str">
        <f t="shared" si="39"/>
        <v>Error?</v>
      </c>
    </row>
    <row r="2562" spans="1:4" x14ac:dyDescent="0.2">
      <c r="A2562" s="5">
        <v>2501</v>
      </c>
      <c r="B2562" s="1832">
        <f>'Acct Summary 7-8'!C20</f>
        <v>57277</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4102170</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4152170</v>
      </c>
      <c r="C2568" s="2" t="s">
        <v>568</v>
      </c>
      <c r="D2568" s="2" t="str">
        <f t="shared" si="39"/>
        <v>Error?</v>
      </c>
    </row>
    <row r="2569" spans="1:4" x14ac:dyDescent="0.2">
      <c r="A2569" s="5">
        <v>2508</v>
      </c>
      <c r="B2569" s="1832">
        <f>'Acct Summary 7-8'!D13</f>
        <v>3985771</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3985771</v>
      </c>
      <c r="C2573" s="2" t="s">
        <v>568</v>
      </c>
      <c r="D2573" s="2" t="str">
        <f t="shared" si="39"/>
        <v>Error?</v>
      </c>
    </row>
    <row r="2574" spans="1:4" x14ac:dyDescent="0.2">
      <c r="A2574" s="5">
        <v>2513</v>
      </c>
      <c r="B2574" s="1832">
        <f>'Acct Summary 7-8'!D20</f>
        <v>166399</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862419</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416655</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1279074</v>
      </c>
      <c r="C2595" s="2" t="s">
        <v>568</v>
      </c>
      <c r="D2595" s="2" t="str">
        <f t="shared" si="39"/>
        <v>Error?</v>
      </c>
    </row>
    <row r="2596" spans="1:4" x14ac:dyDescent="0.2">
      <c r="A2596" s="5">
        <v>2535</v>
      </c>
      <c r="B2596" s="1832">
        <f>'Acct Summary 7-8'!F13</f>
        <v>1176977</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1176977</v>
      </c>
      <c r="C2600" s="2" t="s">
        <v>568</v>
      </c>
      <c r="D2600" s="2" t="str">
        <f t="shared" si="39"/>
        <v>Error?</v>
      </c>
    </row>
    <row r="2601" spans="1:4" x14ac:dyDescent="0.2">
      <c r="A2601" s="5">
        <v>2540</v>
      </c>
      <c r="B2601" s="1832">
        <f>'Acct Summary 7-8'!F20</f>
        <v>102097</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1270652</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1270652</v>
      </c>
      <c r="C2606" s="2" t="s">
        <v>568</v>
      </c>
      <c r="D2606" s="2" t="str">
        <f t="shared" si="39"/>
        <v>Error?</v>
      </c>
    </row>
    <row r="2607" spans="1:4" x14ac:dyDescent="0.2">
      <c r="A2607" s="5">
        <v>2546</v>
      </c>
      <c r="B2607" s="1832">
        <f>'Acct Summary 7-8'!G12</f>
        <v>548949</v>
      </c>
      <c r="C2607" s="2" t="s">
        <v>568</v>
      </c>
      <c r="D2607" s="2" t="str">
        <f t="shared" si="39"/>
        <v>Error?</v>
      </c>
    </row>
    <row r="2608" spans="1:4" x14ac:dyDescent="0.2">
      <c r="A2608" s="5">
        <v>2547</v>
      </c>
      <c r="B2608" s="1832">
        <f>'Acct Summary 7-8'!G13</f>
        <v>556671</v>
      </c>
      <c r="C2608" s="2" t="s">
        <v>568</v>
      </c>
      <c r="D2608" s="2" t="str">
        <f t="shared" si="39"/>
        <v>Error?</v>
      </c>
    </row>
    <row r="2609" spans="1:4" x14ac:dyDescent="0.2">
      <c r="A2609" s="5">
        <v>2548</v>
      </c>
      <c r="B2609" s="1832">
        <f>'Acct Summary 7-8'!G14</f>
        <v>14704</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1120324</v>
      </c>
      <c r="C2612" s="2" t="s">
        <v>568</v>
      </c>
      <c r="D2612" s="2" t="str">
        <f t="shared" si="39"/>
        <v>Error?</v>
      </c>
    </row>
    <row r="2613" spans="1:4" x14ac:dyDescent="0.2">
      <c r="A2613" s="5">
        <v>2552</v>
      </c>
      <c r="B2613" s="1832">
        <f>'Acct Summary 7-8'!G20</f>
        <v>150328</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2651635</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2651635</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5365062</v>
      </c>
      <c r="C2634" s="2" t="s">
        <v>568</v>
      </c>
      <c r="D2634" s="2" t="str">
        <f t="shared" si="40"/>
        <v>Error?</v>
      </c>
    </row>
    <row r="2635" spans="1:4" x14ac:dyDescent="0.2">
      <c r="A2635" s="5">
        <v>2574</v>
      </c>
      <c r="B2635" s="1832">
        <f>'Acct Summary 7-8'!E17</f>
        <v>5365062</v>
      </c>
      <c r="C2635" s="2" t="s">
        <v>568</v>
      </c>
      <c r="D2635" s="2" t="str">
        <f t="shared" si="40"/>
        <v>Error?</v>
      </c>
    </row>
    <row r="2636" spans="1:4" x14ac:dyDescent="0.2">
      <c r="A2636" s="5">
        <v>2575</v>
      </c>
      <c r="B2636" s="1832">
        <f>'Acct Summary 7-8'!E20</f>
        <v>-2713427</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1769</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1769</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1769</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504866</v>
      </c>
      <c r="C2789" s="2" t="s">
        <v>568</v>
      </c>
      <c r="D2789" s="2" t="str">
        <f t="shared" si="42"/>
        <v>Error?</v>
      </c>
    </row>
    <row r="2790" spans="1:4" x14ac:dyDescent="0.2">
      <c r="A2790" s="5">
        <v>2729</v>
      </c>
      <c r="B2790" s="1832">
        <f>'Expenditures 15-22'!E102</f>
        <v>504866</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1108093</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204968</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1108093</v>
      </c>
      <c r="D2912" s="2" t="str">
        <f t="shared" si="44"/>
        <v>Error?</v>
      </c>
    </row>
    <row r="2913" spans="1:4" x14ac:dyDescent="0.2">
      <c r="A2913" s="5">
        <v>2852</v>
      </c>
      <c r="B2913" s="1832">
        <f>'Assets-Liab 5-6'!I41</f>
        <v>1108093</v>
      </c>
      <c r="C2913" s="2" t="s">
        <v>568</v>
      </c>
      <c r="D2913" s="2" t="str">
        <f t="shared" si="44"/>
        <v>Error?</v>
      </c>
    </row>
    <row r="2914" spans="1:4" x14ac:dyDescent="0.2">
      <c r="A2914" s="5">
        <v>2853</v>
      </c>
      <c r="B2914" s="1832">
        <f>'Assets-Liab 5-6'!L33</f>
        <v>204968</v>
      </c>
      <c r="D2914" s="2" t="str">
        <f t="shared" si="44"/>
        <v>Error?</v>
      </c>
    </row>
    <row r="2915" spans="1:4" x14ac:dyDescent="0.2">
      <c r="A2915" s="10">
        <v>2854</v>
      </c>
      <c r="B2915" s="1832"/>
      <c r="D2915" s="2" t="str">
        <f t="shared" si="44"/>
        <v>OK</v>
      </c>
    </row>
    <row r="2916" spans="1:4" x14ac:dyDescent="0.2">
      <c r="A2916" s="5">
        <v>2855</v>
      </c>
      <c r="B2916" s="1832">
        <f>'Assets-Liab 5-6'!L34</f>
        <v>204968</v>
      </c>
      <c r="C2916" s="2" t="s">
        <v>568</v>
      </c>
      <c r="D2916" s="2" t="str">
        <f t="shared" si="44"/>
        <v>Error?</v>
      </c>
    </row>
    <row r="2917" spans="1:4" x14ac:dyDescent="0.2">
      <c r="A2917" s="5">
        <v>2856</v>
      </c>
      <c r="B2917" s="1832">
        <f>'Assets-Liab 5-6'!L41</f>
        <v>204968</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504866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504866</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160890</v>
      </c>
      <c r="D3055" s="2" t="str">
        <f t="shared" si="46"/>
        <v>Error?</v>
      </c>
    </row>
    <row r="3056" spans="1:4" x14ac:dyDescent="0.2">
      <c r="A3056" s="5">
        <v>2995</v>
      </c>
      <c r="B3056" s="1832">
        <f>'Expenditures 15-22'!D10</f>
        <v>25719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60222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246831</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2295</v>
      </c>
      <c r="D3064" s="2" t="str">
        <f t="shared" si="46"/>
        <v>Error?</v>
      </c>
    </row>
    <row r="3065" spans="1:4" x14ac:dyDescent="0.2">
      <c r="A3065" s="5">
        <v>3004</v>
      </c>
      <c r="B3065" s="1832">
        <f>'Expenditures 15-22'!K219</f>
        <v>2295</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7205000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401196</v>
      </c>
      <c r="C3225" s="2" t="s">
        <v>568</v>
      </c>
      <c r="D3225" s="2" t="str">
        <f t="shared" si="49"/>
        <v>Error?</v>
      </c>
    </row>
    <row r="3226" spans="1:4" x14ac:dyDescent="0.2">
      <c r="A3226" s="5">
        <v>3165</v>
      </c>
      <c r="B3226" s="1832">
        <f>'Acct Summary 7-8'!I8</f>
        <v>401196</v>
      </c>
      <c r="C3226" s="2" t="s">
        <v>568</v>
      </c>
      <c r="D3226" s="2" t="str">
        <f t="shared" si="49"/>
        <v>Error?</v>
      </c>
    </row>
    <row r="3227" spans="1:4" x14ac:dyDescent="0.2">
      <c r="A3227" s="5">
        <v>3166</v>
      </c>
      <c r="B3227" s="1832">
        <f>'Acct Summary 7-8'!I20</f>
        <v>401196</v>
      </c>
      <c r="C3227" s="2" t="s">
        <v>568</v>
      </c>
      <c r="D3227" s="2" t="str">
        <f t="shared" si="49"/>
        <v>Error?</v>
      </c>
    </row>
    <row r="3228" spans="1:4" x14ac:dyDescent="0.2">
      <c r="A3228" s="5">
        <v>3167</v>
      </c>
      <c r="B3228" s="1832">
        <f>'Acct Summary 7-8'!C43</f>
        <v>176950</v>
      </c>
      <c r="D3228" s="2" t="str">
        <f t="shared" si="49"/>
        <v>Error?</v>
      </c>
    </row>
    <row r="3229" spans="1:4" x14ac:dyDescent="0.2">
      <c r="A3229" s="5">
        <v>3168</v>
      </c>
      <c r="B3229" s="1832">
        <f>'Acct Summary 7-8'!C44</f>
        <v>176950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163081</v>
      </c>
      <c r="C3231" s="2" t="s">
        <v>568</v>
      </c>
      <c r="D3231" s="2" t="str">
        <f t="shared" si="49"/>
        <v>Error?</v>
      </c>
    </row>
    <row r="3232" spans="1:4" x14ac:dyDescent="0.2">
      <c r="A3232" s="5">
        <v>3171</v>
      </c>
      <c r="B3232" s="1832">
        <f>'Acct Summary 7-8'!C77</f>
        <v>13869</v>
      </c>
      <c r="C3232" s="2" t="s">
        <v>568</v>
      </c>
      <c r="D3232" s="2" t="str">
        <f t="shared" si="49"/>
        <v>Error?</v>
      </c>
    </row>
    <row r="3233" spans="1:4" x14ac:dyDescent="0.2">
      <c r="A3233" s="5">
        <v>3172</v>
      </c>
      <c r="B3233" s="1832">
        <f>'Acct Summary 7-8'!C78</f>
        <v>71146</v>
      </c>
      <c r="C3233" s="2" t="s">
        <v>568</v>
      </c>
      <c r="D3233" s="2" t="str">
        <f t="shared" si="49"/>
        <v>Error?</v>
      </c>
    </row>
    <row r="3234" spans="1:4" x14ac:dyDescent="0.2">
      <c r="A3234" s="5">
        <v>3173</v>
      </c>
      <c r="B3234" s="1832">
        <f>'Acct Summary 7-8'!D43</f>
        <v>724865</v>
      </c>
      <c r="D3234" s="2" t="str">
        <f t="shared" si="49"/>
        <v>Error?</v>
      </c>
    </row>
    <row r="3235" spans="1:4" x14ac:dyDescent="0.2">
      <c r="A3235" s="5">
        <v>3174</v>
      </c>
      <c r="B3235" s="1832">
        <f>'Acct Summary 7-8'!D44</f>
        <v>724865</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408625</v>
      </c>
      <c r="C3237" s="2" t="s">
        <v>568</v>
      </c>
      <c r="D3237" s="2" t="str">
        <f t="shared" si="49"/>
        <v>Error?</v>
      </c>
    </row>
    <row r="3238" spans="1:4" x14ac:dyDescent="0.2">
      <c r="A3238" s="5">
        <v>3177</v>
      </c>
      <c r="B3238" s="1832">
        <f>'Acct Summary 7-8'!D77</f>
        <v>316240</v>
      </c>
      <c r="C3238" s="2" t="s">
        <v>568</v>
      </c>
      <c r="D3238" s="2" t="str">
        <f t="shared" si="49"/>
        <v>Error?</v>
      </c>
    </row>
    <row r="3239" spans="1:4" x14ac:dyDescent="0.2">
      <c r="A3239" s="5">
        <v>3178</v>
      </c>
      <c r="B3239" s="1832">
        <f>'Acct Summary 7-8'!D78</f>
        <v>482639</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102097</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150328</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8632955</v>
      </c>
      <c r="C3274" s="2" t="s">
        <v>568</v>
      </c>
      <c r="D3274" s="2" t="str">
        <f t="shared" si="50"/>
        <v>Error?</v>
      </c>
    </row>
    <row r="3275" spans="1:4" x14ac:dyDescent="0.2">
      <c r="A3275" s="5">
        <v>3214</v>
      </c>
      <c r="B3275" s="1832">
        <f>'Acct Summary 7-8'!E75</f>
        <v>7914600</v>
      </c>
      <c r="D3275" s="2" t="str">
        <f t="shared" si="50"/>
        <v>Error?</v>
      </c>
    </row>
    <row r="3276" spans="1:4" x14ac:dyDescent="0.2">
      <c r="A3276" s="5">
        <v>3215</v>
      </c>
      <c r="B3276" s="1832">
        <f>'Acct Summary 7-8'!E76</f>
        <v>7914600</v>
      </c>
      <c r="C3276" s="2" t="s">
        <v>568</v>
      </c>
      <c r="D3276" s="2" t="str">
        <f t="shared" si="50"/>
        <v>Error?</v>
      </c>
    </row>
    <row r="3277" spans="1:4" x14ac:dyDescent="0.2">
      <c r="A3277" s="5">
        <v>3216</v>
      </c>
      <c r="B3277" s="1832">
        <f>'Acct Summary 7-8'!E77</f>
        <v>718355</v>
      </c>
      <c r="C3277" s="2" t="s">
        <v>568</v>
      </c>
      <c r="D3277" s="2" t="str">
        <f t="shared" si="50"/>
        <v>Error?</v>
      </c>
    </row>
    <row r="3278" spans="1:4" x14ac:dyDescent="0.2">
      <c r="A3278" s="5">
        <v>3217</v>
      </c>
      <c r="B3278" s="1832">
        <f>'Acct Summary 7-8'!E78</f>
        <v>-1995072</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1769</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401196</v>
      </c>
      <c r="C3320" s="2" t="s">
        <v>568</v>
      </c>
      <c r="D3320" s="2" t="str">
        <f t="shared" si="50"/>
        <v>Error?</v>
      </c>
    </row>
    <row r="3321" spans="1:4" x14ac:dyDescent="0.2">
      <c r="A3321" s="5">
        <v>3260</v>
      </c>
      <c r="B3321" s="1832">
        <f>'Acct Summary 7-8'!I79</f>
        <v>706897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1108093</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4120760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431587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46399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30593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4629339</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189210</v>
      </c>
      <c r="D3387" s="2" t="str">
        <f t="shared" si="51"/>
        <v>Error?</v>
      </c>
    </row>
    <row r="3388" spans="1:4" x14ac:dyDescent="0.2">
      <c r="A3388" s="5">
        <v>3327</v>
      </c>
      <c r="B3388" s="1832">
        <f>'Expenditures 15-22'!D217</f>
        <v>285734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189210</v>
      </c>
      <c r="C3390" s="2" t="s">
        <v>568</v>
      </c>
      <c r="D3390" s="2" t="str">
        <f t="shared" si="51"/>
        <v>Error?</v>
      </c>
    </row>
    <row r="3391" spans="1:4" x14ac:dyDescent="0.2">
      <c r="A3391" s="5">
        <v>3330</v>
      </c>
      <c r="B3391" s="1832">
        <f>'Expenditures 15-22'!K217</f>
        <v>285734</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5025392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1763689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665562</v>
      </c>
      <c r="D3417" s="2" t="str">
        <f t="shared" si="52"/>
        <v>Error?</v>
      </c>
    </row>
    <row r="3418" spans="1:4" x14ac:dyDescent="0.2">
      <c r="A3418" s="10">
        <v>3357</v>
      </c>
      <c r="B3418" s="1832"/>
      <c r="D3418" s="2" t="str">
        <f t="shared" si="52"/>
        <v>OK</v>
      </c>
    </row>
    <row r="3419" spans="1:4" x14ac:dyDescent="0.2">
      <c r="A3419" s="5">
        <v>3358</v>
      </c>
      <c r="B3419" s="1832">
        <f>'Assets-Liab 5-6'!F4</f>
        <v>572687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1425001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78839</v>
      </c>
      <c r="D3425" s="2" t="str">
        <f t="shared" si="52"/>
        <v>Error?</v>
      </c>
    </row>
    <row r="3426" spans="1:4" x14ac:dyDescent="0.2">
      <c r="A3426" s="10">
        <v>3365</v>
      </c>
      <c r="B3426" s="1832"/>
      <c r="D3426" s="2" t="str">
        <f t="shared" si="52"/>
        <v>OK</v>
      </c>
    </row>
    <row r="3427" spans="1:4" x14ac:dyDescent="0.2">
      <c r="A3427" s="5">
        <v>3366</v>
      </c>
      <c r="B3427" s="1832">
        <f>'Assets-Liab 5-6'!I4</f>
        <v>558093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204968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593701</v>
      </c>
      <c r="C3446" s="2" t="s">
        <v>568</v>
      </c>
      <c r="D3446" s="2" t="str">
        <f t="shared" si="52"/>
        <v>Error?</v>
      </c>
    </row>
    <row r="3447" spans="1:4" x14ac:dyDescent="0.2">
      <c r="A3447" s="5">
        <v>3386</v>
      </c>
      <c r="B3447" s="1832">
        <f>'Tax Sched 23'!D16</f>
        <v>372698</v>
      </c>
      <c r="C3447" s="2" t="s">
        <v>568</v>
      </c>
      <c r="D3447" s="2" t="str">
        <f t="shared" si="52"/>
        <v>Error?</v>
      </c>
    </row>
    <row r="3448" spans="1:4" x14ac:dyDescent="0.2">
      <c r="A3448" s="5">
        <v>3387</v>
      </c>
      <c r="B3448" s="1832">
        <f>'Tax Sched 23'!C16</f>
        <v>221003</v>
      </c>
      <c r="D3448" s="2" t="str">
        <f t="shared" si="52"/>
        <v>Error?</v>
      </c>
    </row>
    <row r="3449" spans="1:4" x14ac:dyDescent="0.2">
      <c r="A3449" s="5">
        <v>3388</v>
      </c>
      <c r="B3449" s="1832">
        <f>'Tax Sched 23'!F16</f>
        <v>207274</v>
      </c>
      <c r="C3449" s="2" t="s">
        <v>568</v>
      </c>
      <c r="D3449" s="2" t="str">
        <f t="shared" si="52"/>
        <v>Error?</v>
      </c>
    </row>
    <row r="3450" spans="1:4" x14ac:dyDescent="0.2">
      <c r="A3450" s="5">
        <v>3389</v>
      </c>
      <c r="B3450" s="1832">
        <f>'Tax Sched 23'!E16</f>
        <v>428277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568</v>
      </c>
      <c r="D3568" s="2" t="str">
        <f t="shared" si="54"/>
        <v>Error?</v>
      </c>
    </row>
    <row r="3569" spans="1:4" x14ac:dyDescent="0.2">
      <c r="A3569" s="5">
        <v>3508</v>
      </c>
      <c r="B3569" s="1832">
        <f>'Acct Summary 7-8'!K4</f>
        <v>0</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0</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0</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0</v>
      </c>
      <c r="C3588" s="2" t="s">
        <v>568</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0</v>
      </c>
      <c r="C3725" s="2" t="s">
        <v>568</v>
      </c>
      <c r="D3725" s="2" t="str">
        <f t="shared" si="57"/>
        <v>Error?</v>
      </c>
    </row>
    <row r="3726" spans="1:4" x14ac:dyDescent="0.2">
      <c r="A3726" s="5">
        <v>3665</v>
      </c>
      <c r="B3726" s="1832">
        <f>'Tax Sched 23'!D13</f>
        <v>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568</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143206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16605627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51212603</v>
      </c>
      <c r="C4122" s="2" t="s">
        <v>568</v>
      </c>
      <c r="D4122" s="2" t="str">
        <f t="shared" si="63"/>
        <v>Error?</v>
      </c>
    </row>
    <row r="4123" spans="1:4" x14ac:dyDescent="0.2">
      <c r="A4123" s="5">
        <v>4062</v>
      </c>
      <c r="B4123" s="1832">
        <f>'Acct Summary 7-8'!D10</f>
        <v>4152170</v>
      </c>
      <c r="C4123" s="2" t="s">
        <v>568</v>
      </c>
      <c r="D4123" s="2" t="str">
        <f t="shared" si="63"/>
        <v>Error?</v>
      </c>
    </row>
    <row r="4124" spans="1:4" x14ac:dyDescent="0.2">
      <c r="A4124" s="5">
        <v>4063</v>
      </c>
      <c r="B4124" s="1832">
        <f>'Acct Summary 7-8'!E10</f>
        <v>2651635</v>
      </c>
      <c r="C4124" s="2" t="s">
        <v>568</v>
      </c>
      <c r="D4124" s="2" t="str">
        <f t="shared" si="63"/>
        <v>Error?</v>
      </c>
    </row>
    <row r="4125" spans="1:4" x14ac:dyDescent="0.2">
      <c r="A4125" s="5">
        <v>4064</v>
      </c>
      <c r="B4125" s="1832">
        <f>'Acct Summary 7-8'!F10</f>
        <v>1279074</v>
      </c>
      <c r="C4125" s="2" t="s">
        <v>568</v>
      </c>
      <c r="D4125" s="2" t="str">
        <f t="shared" si="63"/>
        <v>Error?</v>
      </c>
    </row>
    <row r="4126" spans="1:4" x14ac:dyDescent="0.2">
      <c r="A4126" s="5">
        <v>4065</v>
      </c>
      <c r="B4126" s="1832">
        <f>'Acct Summary 7-8'!G10</f>
        <v>1270652</v>
      </c>
      <c r="C4126" s="2" t="s">
        <v>568</v>
      </c>
      <c r="D4126" s="2" t="str">
        <f t="shared" si="63"/>
        <v>Error?</v>
      </c>
    </row>
    <row r="4127" spans="1:4" x14ac:dyDescent="0.2">
      <c r="A4127" s="5">
        <v>4066</v>
      </c>
      <c r="B4127" s="1832">
        <f>'Acct Summary 7-8'!H10</f>
        <v>1769</v>
      </c>
      <c r="C4127" s="2" t="s">
        <v>568</v>
      </c>
      <c r="D4127" s="2" t="str">
        <f t="shared" si="63"/>
        <v>Error?</v>
      </c>
    </row>
    <row r="4128" spans="1:4" x14ac:dyDescent="0.2">
      <c r="A4128" s="5">
        <v>4067</v>
      </c>
      <c r="B4128" s="1832">
        <f>'Acct Summary 7-8'!I10</f>
        <v>401196</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0</v>
      </c>
      <c r="C4130" s="2" t="s">
        <v>568</v>
      </c>
      <c r="D4130" s="2" t="str">
        <f t="shared" si="63"/>
        <v>Error?</v>
      </c>
    </row>
    <row r="4131" spans="1:4" x14ac:dyDescent="0.2">
      <c r="A4131" s="5">
        <v>4070</v>
      </c>
      <c r="B4131" s="1832">
        <f>'Acct Summary 7-8'!C18</f>
        <v>16605627</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51155326</v>
      </c>
      <c r="C4136" s="2" t="s">
        <v>568</v>
      </c>
      <c r="D4136" s="2" t="str">
        <f t="shared" si="63"/>
        <v>Error?</v>
      </c>
    </row>
    <row r="4137" spans="1:4" x14ac:dyDescent="0.2">
      <c r="A4137" s="5">
        <v>4076</v>
      </c>
      <c r="B4137" s="1832">
        <f>'Acct Summary 7-8'!D19</f>
        <v>3985771</v>
      </c>
      <c r="C4137" s="2" t="s">
        <v>568</v>
      </c>
      <c r="D4137" s="2" t="str">
        <f t="shared" si="63"/>
        <v>Error?</v>
      </c>
    </row>
    <row r="4138" spans="1:4" x14ac:dyDescent="0.2">
      <c r="A4138" s="5">
        <v>4077</v>
      </c>
      <c r="B4138" s="1832">
        <f>'Acct Summary 7-8'!E19</f>
        <v>5365062</v>
      </c>
      <c r="C4138" s="2" t="s">
        <v>568</v>
      </c>
      <c r="D4138" s="2" t="str">
        <f t="shared" si="63"/>
        <v>Error?</v>
      </c>
    </row>
    <row r="4139" spans="1:4" x14ac:dyDescent="0.2">
      <c r="A4139" s="5">
        <v>4078</v>
      </c>
      <c r="B4139" s="1832">
        <f>'Acct Summary 7-8'!F19</f>
        <v>1176977</v>
      </c>
      <c r="C4139" s="2" t="s">
        <v>568</v>
      </c>
      <c r="D4139" s="2" t="str">
        <f t="shared" si="63"/>
        <v>Error?</v>
      </c>
    </row>
    <row r="4140" spans="1:4" x14ac:dyDescent="0.2">
      <c r="A4140" s="5">
        <v>4079</v>
      </c>
      <c r="B4140" s="1832">
        <f>'Acct Summary 7-8'!G19</f>
        <v>1120324</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29589219</v>
      </c>
      <c r="C4171" s="2" t="s">
        <v>568</v>
      </c>
      <c r="D4171" s="2" t="str">
        <f t="shared" si="64"/>
        <v>Error?</v>
      </c>
    </row>
    <row r="4172" spans="1:4" x14ac:dyDescent="0.2">
      <c r="A4172" s="5">
        <v>4111</v>
      </c>
      <c r="B4172" s="1832">
        <f>'Short-Term Long-Term Debt 24'!J49</f>
        <v>26756606</v>
      </c>
      <c r="C4172" s="2" t="s">
        <v>568</v>
      </c>
      <c r="D4172" s="2" t="str">
        <f t="shared" si="64"/>
        <v>Error?</v>
      </c>
    </row>
    <row r="4173" spans="1:4" x14ac:dyDescent="0.2">
      <c r="A4173" s="5">
        <v>4112</v>
      </c>
      <c r="B4173" s="1832">
        <f>'Short-Term Long-Term Debt 24'!H49</f>
        <v>2372691</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-7019366</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2995</v>
      </c>
      <c r="C4265" s="2" t="s">
        <v>568</v>
      </c>
      <c r="D4265" s="2" t="str">
        <f t="shared" si="65"/>
        <v>Error?</v>
      </c>
      <c r="E4265" s="125"/>
    </row>
    <row r="4266" spans="1:5" x14ac:dyDescent="0.2">
      <c r="A4266" s="12">
        <v>4205</v>
      </c>
      <c r="B4266" s="1832">
        <f>('FP Info 3'!F10)*100000</f>
        <v>444.3</v>
      </c>
      <c r="C4266" s="2" t="s">
        <v>568</v>
      </c>
      <c r="D4266" s="2" t="str">
        <f t="shared" si="65"/>
        <v>Error?</v>
      </c>
      <c r="E4266" s="125"/>
    </row>
    <row r="4267" spans="1:5" x14ac:dyDescent="0.2">
      <c r="A4267" s="12">
        <v>4206</v>
      </c>
      <c r="B4267" s="1832">
        <f>('FP Info 3'!H10)*100000</f>
        <v>85.2</v>
      </c>
      <c r="C4267" s="2" t="s">
        <v>568</v>
      </c>
      <c r="D4267" s="2" t="str">
        <f t="shared" si="65"/>
        <v>Error?</v>
      </c>
      <c r="E4267" s="125"/>
    </row>
    <row r="4268" spans="1:5" x14ac:dyDescent="0.2">
      <c r="A4268" s="12">
        <v>4207</v>
      </c>
      <c r="B4268" s="1832">
        <f>('FP Info 3'!J10)*100000</f>
        <v>3524.9999999999995</v>
      </c>
      <c r="C4268" s="2" t="s">
        <v>568</v>
      </c>
      <c r="D4268" s="2" t="str">
        <f t="shared" si="65"/>
        <v>Error?</v>
      </c>
    </row>
    <row r="4269" spans="1:5" x14ac:dyDescent="0.2">
      <c r="A4269" s="12">
        <v>4208</v>
      </c>
      <c r="B4269" s="1832">
        <f>'FP Info 3'!J16</f>
        <v>8367306</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20917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134161</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26273</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120953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42.6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938313421</v>
      </c>
      <c r="D4995" s="2" t="str">
        <f t="shared" si="77"/>
        <v>Error?</v>
      </c>
    </row>
    <row r="4996" spans="1:4" x14ac:dyDescent="0.2">
      <c r="A4996" s="12">
        <v>4935</v>
      </c>
      <c r="B4996" s="1832">
        <f>'FP Info 3'!H31</f>
        <v>64743626.049000002</v>
      </c>
      <c r="D4996" s="2" t="str">
        <f t="shared" si="77"/>
        <v>Error?</v>
      </c>
    </row>
    <row r="4997" spans="1:4" x14ac:dyDescent="0.2">
      <c r="A4997" s="12">
        <v>4936</v>
      </c>
      <c r="B4997" s="1832">
        <f>'FP Info 3'!H37</f>
        <v>29589219</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26681460</v>
      </c>
      <c r="D5061" s="2" t="str">
        <f t="shared" si="78"/>
        <v>Error?</v>
      </c>
    </row>
    <row r="5062" spans="1:4" x14ac:dyDescent="0.2">
      <c r="A5062" s="10">
        <v>5001</v>
      </c>
      <c r="B5062" s="1832"/>
      <c r="D5062" s="2" t="str">
        <f t="shared" si="78"/>
        <v>OK</v>
      </c>
    </row>
    <row r="5063" spans="1:4" x14ac:dyDescent="0.2">
      <c r="A5063" s="5">
        <v>5002</v>
      </c>
      <c r="B5063" s="1832">
        <f>'Revenues 9-14'!C7</f>
        <v>1020493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27701953</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482324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482324</v>
      </c>
      <c r="C5071" s="2" t="s">
        <v>568</v>
      </c>
      <c r="D5071" s="2" t="str">
        <f t="shared" si="78"/>
        <v>Error?</v>
      </c>
    </row>
    <row r="5072" spans="1:4" x14ac:dyDescent="0.2">
      <c r="A5072" s="5">
        <v>5011</v>
      </c>
      <c r="B5072" s="1832">
        <f>'Revenues 9-14'!C20</f>
        <v>75026</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25433</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100459</v>
      </c>
      <c r="C5087" s="2" t="s">
        <v>568</v>
      </c>
      <c r="D5087" s="2" t="str">
        <f t="shared" si="78"/>
        <v>Error?</v>
      </c>
    </row>
    <row r="5088" spans="1:4" x14ac:dyDescent="0.2">
      <c r="A5088" s="5">
        <v>5027</v>
      </c>
      <c r="B5088" s="1832">
        <f>'Revenues 9-14'!C65</f>
        <v>174116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174116</v>
      </c>
      <c r="C5090" s="2" t="s">
        <v>568</v>
      </c>
      <c r="D5090" s="2" t="str">
        <f t="shared" si="78"/>
        <v>Error?</v>
      </c>
    </row>
    <row r="5091" spans="1:4" x14ac:dyDescent="0.2">
      <c r="A5091" s="5">
        <v>5030</v>
      </c>
      <c r="B5091" s="1832">
        <f>'Revenues 9-14'!C70</f>
        <v>942</v>
      </c>
      <c r="D5091" s="2" t="str">
        <f t="shared" si="78"/>
        <v>Error?</v>
      </c>
    </row>
    <row r="5092" spans="1:4" x14ac:dyDescent="0.2">
      <c r="A5092" s="5">
        <v>5031</v>
      </c>
      <c r="B5092" s="1832">
        <f>'Revenues 9-14'!C71</f>
        <v>93568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161246</v>
      </c>
      <c r="C5096" s="2" t="s">
        <v>568</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122334</v>
      </c>
      <c r="D5101" s="2" t="str">
        <f t="shared" si="78"/>
        <v>Error?</v>
      </c>
    </row>
    <row r="5102" spans="1:4" x14ac:dyDescent="0.2">
      <c r="A5102" s="5">
        <v>5041</v>
      </c>
      <c r="B5102" s="1832">
        <f>'Revenues 9-14'!C82</f>
        <v>122334</v>
      </c>
      <c r="C5102" s="2" t="s">
        <v>568</v>
      </c>
      <c r="D5102" s="2" t="str">
        <f t="shared" si="78"/>
        <v>Error?</v>
      </c>
    </row>
    <row r="5103" spans="1:4" x14ac:dyDescent="0.2">
      <c r="A5103" s="5">
        <v>5042</v>
      </c>
      <c r="B5103" s="1832">
        <f>'Revenues 9-14'!C84</f>
        <v>488498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488498</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180294</v>
      </c>
      <c r="D5119" s="2" t="str">
        <f t="shared" ref="D5119:D5182" si="79">IF(ISBLANK(B5119),"OK",IF(A5119-B5119=0,"OK","Error?"))</f>
        <v>Error?</v>
      </c>
    </row>
    <row r="5120" spans="1:4" x14ac:dyDescent="0.2">
      <c r="A5120" s="5">
        <v>5059</v>
      </c>
      <c r="B5120" s="1832">
        <f>'Revenues 9-14'!C108</f>
        <v>181544</v>
      </c>
      <c r="C5120" s="2" t="s">
        <v>568</v>
      </c>
      <c r="D5120" s="2" t="str">
        <f t="shared" si="79"/>
        <v>Error?</v>
      </c>
    </row>
    <row r="5121" spans="1:4" x14ac:dyDescent="0.2">
      <c r="A5121" s="5">
        <v>5060</v>
      </c>
      <c r="B5121" s="1832">
        <f>'Revenues 9-14'!C109</f>
        <v>29412474</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3546467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3546467</v>
      </c>
      <c r="C5132" s="2" t="s">
        <v>568</v>
      </c>
      <c r="D5132" s="2" t="str">
        <f t="shared" si="79"/>
        <v>Error?</v>
      </c>
    </row>
    <row r="5133" spans="1:4" x14ac:dyDescent="0.2">
      <c r="A5133" s="5">
        <v>5072</v>
      </c>
      <c r="B5133" s="1832">
        <f>'Revenues 9-14'!C125</f>
        <v>165630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112635</v>
      </c>
      <c r="D5137" s="2" t="str">
        <f t="shared" si="79"/>
        <v>Error?</v>
      </c>
    </row>
    <row r="5138" spans="1:4" x14ac:dyDescent="0.2">
      <c r="A5138" s="10">
        <v>5077</v>
      </c>
      <c r="B5138" s="1832"/>
      <c r="D5138" s="2" t="str">
        <f t="shared" si="79"/>
        <v>OK</v>
      </c>
    </row>
    <row r="5139" spans="1:4" x14ac:dyDescent="0.2">
      <c r="A5139" s="5">
        <v>5078</v>
      </c>
      <c r="B5139" s="1832">
        <f>'Revenues 9-14'!C129</f>
        <v>7167</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285432</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1384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286816</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3833283</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116111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7724</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123835</v>
      </c>
      <c r="C5246" s="2" t="s">
        <v>568</v>
      </c>
      <c r="D5246" s="2" t="str">
        <f t="shared" si="80"/>
        <v>Error?</v>
      </c>
    </row>
    <row r="5247" spans="1:4" x14ac:dyDescent="0.2">
      <c r="A5247" s="5">
        <v>5186</v>
      </c>
      <c r="B5247" s="1832">
        <f>'Revenues 9-14'!C200</f>
        <v>199333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199333</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25650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587711</v>
      </c>
      <c r="D5278" s="2" t="str">
        <f t="shared" si="81"/>
        <v>Error?</v>
      </c>
    </row>
    <row r="5279" spans="1:4" x14ac:dyDescent="0.2">
      <c r="A5279" s="5">
        <v>5218</v>
      </c>
      <c r="B5279" s="1832">
        <f>'Revenues 9-14'!C214</f>
        <v>122386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735747</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1361219</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1361219</v>
      </c>
      <c r="C5326" s="2" t="s">
        <v>568</v>
      </c>
      <c r="D5326" s="2" t="str">
        <f t="shared" si="82"/>
        <v>Error?</v>
      </c>
    </row>
    <row r="5327" spans="1:5" x14ac:dyDescent="0.2">
      <c r="A5327" s="5">
        <v>5266</v>
      </c>
      <c r="B5327" s="1832">
        <f>'Revenues 9-14'!C268</f>
        <v>34606976</v>
      </c>
      <c r="C5327" s="2" t="s">
        <v>568</v>
      </c>
      <c r="D5327" s="2" t="str">
        <f t="shared" si="82"/>
        <v>Error?</v>
      </c>
    </row>
    <row r="5328" spans="1:5" x14ac:dyDescent="0.2">
      <c r="A5328" s="5">
        <v>5267</v>
      </c>
      <c r="B5328" s="1832">
        <f>'Revenues 9-14'!D5</f>
        <v>3964893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3964893</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69243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69243</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44372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23662</v>
      </c>
      <c r="D5354" s="2" t="str">
        <f t="shared" si="82"/>
        <v>Error?</v>
      </c>
    </row>
    <row r="5355" spans="1:4" x14ac:dyDescent="0.2">
      <c r="A5355" s="5">
        <v>5294</v>
      </c>
      <c r="B5355" s="1832">
        <f>'Revenues 9-14'!D108</f>
        <v>68034</v>
      </c>
      <c r="C5355" s="2" t="s">
        <v>568</v>
      </c>
      <c r="D5355" s="2" t="str">
        <f t="shared" si="82"/>
        <v>Error?</v>
      </c>
    </row>
    <row r="5356" spans="1:4" x14ac:dyDescent="0.2">
      <c r="A5356" s="5">
        <v>5295</v>
      </c>
      <c r="B5356" s="1832">
        <f>'Revenues 9-14'!D109</f>
        <v>4102170</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4152170</v>
      </c>
      <c r="C5508" s="2" t="s">
        <v>568</v>
      </c>
      <c r="D5508" s="2" t="str">
        <f t="shared" si="85"/>
        <v>Error?</v>
      </c>
    </row>
    <row r="5509" spans="1:4" x14ac:dyDescent="0.2">
      <c r="A5509" s="5">
        <v>5448</v>
      </c>
      <c r="B5509" s="1832">
        <f>'Revenues 9-14'!E5</f>
        <v>2578999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2578999</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72636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72636</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2651635</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2651635</v>
      </c>
      <c r="C5552" s="2" t="s">
        <v>568</v>
      </c>
      <c r="D5552" s="2" t="str">
        <f t="shared" si="85"/>
        <v>Error?</v>
      </c>
    </row>
    <row r="5553" spans="1:4" x14ac:dyDescent="0.2">
      <c r="A5553" s="5">
        <v>5492</v>
      </c>
      <c r="B5553" s="1832">
        <f>'Revenues 9-14'!F5</f>
        <v>760391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760391</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82498</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-20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82478</v>
      </c>
      <c r="C5579" s="2" t="s">
        <v>568</v>
      </c>
      <c r="D5579" s="2" t="str">
        <f t="shared" si="86"/>
        <v>Error?</v>
      </c>
    </row>
    <row r="5580" spans="1:4" x14ac:dyDescent="0.2">
      <c r="A5580" s="5">
        <v>5519</v>
      </c>
      <c r="B5580" s="1832">
        <f>'Revenues 9-14'!F65</f>
        <v>19550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19550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568</v>
      </c>
      <c r="D5587" s="2" t="str">
        <f t="shared" si="86"/>
        <v>Error?</v>
      </c>
    </row>
    <row r="5588" spans="1:4" x14ac:dyDescent="0.2">
      <c r="A5588" s="5">
        <v>5527</v>
      </c>
      <c r="B5588" s="1832">
        <f>'Revenues 9-14'!F109</f>
        <v>862419</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14592</v>
      </c>
      <c r="D5615" s="2" t="str">
        <f t="shared" si="86"/>
        <v>Error?</v>
      </c>
    </row>
    <row r="5616" spans="1:4" x14ac:dyDescent="0.2">
      <c r="A5616" s="10">
        <v>5555</v>
      </c>
      <c r="B5616" s="1832"/>
      <c r="D5616" s="2" t="str">
        <f t="shared" si="86"/>
        <v>OK</v>
      </c>
    </row>
    <row r="5617" spans="1:5" x14ac:dyDescent="0.2">
      <c r="A5617" s="5">
        <v>5556</v>
      </c>
      <c r="B5617" s="1832">
        <f>'Revenues 9-14'!F153</f>
        <v>402063</v>
      </c>
      <c r="D5617" s="2" t="str">
        <f t="shared" si="86"/>
        <v>Error?</v>
      </c>
    </row>
    <row r="5618" spans="1:5" x14ac:dyDescent="0.2">
      <c r="A5618" s="5">
        <v>5557</v>
      </c>
      <c r="B5618" s="1832">
        <f>'Revenues 9-14'!F155</f>
        <v>416655</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416655</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416655</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1279074</v>
      </c>
      <c r="C5720" s="2" t="s">
        <v>568</v>
      </c>
      <c r="D5720" s="2" t="str">
        <f t="shared" si="88"/>
        <v>Error?</v>
      </c>
    </row>
    <row r="5721" spans="1:4" x14ac:dyDescent="0.2">
      <c r="A5721" s="5">
        <v>5660</v>
      </c>
      <c r="B5721" s="1832">
        <f>'Revenues 9-14'!G5</f>
        <v>593701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593701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1187402</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59000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59000</v>
      </c>
      <c r="C5730" s="2" t="s">
        <v>568</v>
      </c>
      <c r="D5730" s="2" t="str">
        <f t="shared" si="88"/>
        <v>Error?</v>
      </c>
    </row>
    <row r="5731" spans="1:4" x14ac:dyDescent="0.2">
      <c r="A5731" s="5">
        <v>5670</v>
      </c>
      <c r="B5731" s="1832">
        <f>'Revenues 9-14'!G65</f>
        <v>24250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24250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1270652</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1769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1769</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1769</v>
      </c>
      <c r="C5915" s="2" t="s">
        <v>568</v>
      </c>
      <c r="D5915" s="2" t="str">
        <f t="shared" si="91"/>
        <v>Error?</v>
      </c>
    </row>
    <row r="5916" spans="1:4" x14ac:dyDescent="0.2">
      <c r="A5916" s="5">
        <v>5855</v>
      </c>
      <c r="B5916" s="1832">
        <f>'Revenues 9-14'!I5</f>
        <v>380195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380195</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21001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21001</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401196</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0</v>
      </c>
      <c r="C6023" s="2" t="s">
        <v>568</v>
      </c>
      <c r="D6023" s="2" t="str">
        <f t="shared" si="93"/>
        <v>Error?</v>
      </c>
    </row>
    <row r="6024" spans="1:5" x14ac:dyDescent="0.2">
      <c r="A6024" s="5">
        <v>5963</v>
      </c>
      <c r="B6024" s="1832">
        <f>'Revenues 9-14'!G109</f>
        <v>1270652</v>
      </c>
      <c r="C6024" s="2" t="s">
        <v>568</v>
      </c>
      <c r="D6024" s="2" t="str">
        <f t="shared" si="93"/>
        <v>Error?</v>
      </c>
    </row>
    <row r="6025" spans="1:5" x14ac:dyDescent="0.2">
      <c r="A6025" s="5">
        <v>5964</v>
      </c>
      <c r="B6025" s="1832">
        <f>'Revenues 9-14'!H109</f>
        <v>1769</v>
      </c>
      <c r="C6025" s="2" t="s">
        <v>568</v>
      </c>
      <c r="D6025" s="2" t="str">
        <f t="shared" si="93"/>
        <v>Error?</v>
      </c>
    </row>
    <row r="6026" spans="1:5" x14ac:dyDescent="0.2">
      <c r="A6026" s="5">
        <v>5965</v>
      </c>
      <c r="B6026" s="1832">
        <f>'Revenues 9-14'!I109</f>
        <v>401196</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0</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66736</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19372</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3037.09</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1400000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200000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550000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804899</v>
      </c>
      <c r="D6124" s="2" t="str">
        <f t="shared" si="94"/>
        <v>Error?</v>
      </c>
      <c r="E6124" s="2" t="s">
        <v>189</v>
      </c>
    </row>
    <row r="6125" spans="1:5" x14ac:dyDescent="0.2">
      <c r="A6125">
        <v>6064</v>
      </c>
      <c r="B6125" s="1832">
        <f>'Assets-Liab 5-6'!C25</f>
        <v>1600000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550000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102555</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804899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804899</v>
      </c>
      <c r="D6216" s="2" t="str">
        <f t="shared" si="96"/>
        <v>Error?</v>
      </c>
      <c r="E6216" s="2" t="s">
        <v>189</v>
      </c>
    </row>
    <row r="6217" spans="1:5" x14ac:dyDescent="0.2">
      <c r="A6217">
        <v>6156</v>
      </c>
      <c r="B6217" s="1832">
        <f>'Assets-Liab 5-6'!J4</f>
        <v>804899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17951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17951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17951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251910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251910</v>
      </c>
      <c r="D6229" s="2" t="str">
        <f t="shared" si="96"/>
        <v>Error?</v>
      </c>
      <c r="E6229" s="2" t="s">
        <v>189</v>
      </c>
    </row>
    <row r="6230" spans="1:5" x14ac:dyDescent="0.2">
      <c r="A6230">
        <v>6169</v>
      </c>
      <c r="B6230" s="1832">
        <f>'Acct Summary 7-8'!J20</f>
        <v>-233959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163081</v>
      </c>
      <c r="D6240" s="2" t="str">
        <f t="shared" si="96"/>
        <v>Error?</v>
      </c>
      <c r="E6240" s="2" t="s">
        <v>189</v>
      </c>
    </row>
    <row r="6241" spans="1:5" x14ac:dyDescent="0.2">
      <c r="A6241">
        <v>6180</v>
      </c>
      <c r="B6241" s="1832">
        <f>'Acct Summary 7-8'!D54</f>
        <v>408625</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-233959</v>
      </c>
      <c r="D6263" s="2" t="str">
        <f t="shared" si="96"/>
        <v>Error?</v>
      </c>
      <c r="E6263" s="2" t="s">
        <v>189</v>
      </c>
    </row>
    <row r="6264" spans="1:5" x14ac:dyDescent="0.2">
      <c r="A6264">
        <v>6203</v>
      </c>
      <c r="B6264" s="1832">
        <f>'Acct Summary 7-8'!J79</f>
        <v>1038858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804899</v>
      </c>
      <c r="D6266" s="2" t="str">
        <f t="shared" si="96"/>
        <v>Error?</v>
      </c>
      <c r="E6266" s="2" t="s">
        <v>189</v>
      </c>
    </row>
    <row r="6267" spans="1:5" x14ac:dyDescent="0.2">
      <c r="A6267">
        <v>6206</v>
      </c>
      <c r="B6267" s="1832">
        <f>'Acct Summary 7-8'!C82</f>
        <v>71146</v>
      </c>
      <c r="D6267" s="2" t="str">
        <f t="shared" si="96"/>
        <v>Error?</v>
      </c>
      <c r="E6267" s="2" t="s">
        <v>189</v>
      </c>
    </row>
    <row r="6268" spans="1:5" x14ac:dyDescent="0.2">
      <c r="A6268">
        <v>6207</v>
      </c>
      <c r="B6268" s="1832">
        <f>'Acct Summary 7-8'!D82</f>
        <v>482639</v>
      </c>
      <c r="D6268" s="2" t="str">
        <f t="shared" si="96"/>
        <v>Error?</v>
      </c>
      <c r="E6268" s="2" t="s">
        <v>189</v>
      </c>
    </row>
    <row r="6269" spans="1:5" x14ac:dyDescent="0.2">
      <c r="A6269">
        <v>6208</v>
      </c>
      <c r="B6269" s="1832">
        <f>'Acct Summary 7-8'!E82</f>
        <v>-1995072</v>
      </c>
      <c r="D6269" s="2" t="str">
        <f t="shared" si="96"/>
        <v>Error?</v>
      </c>
      <c r="E6269" s="2" t="s">
        <v>189</v>
      </c>
    </row>
    <row r="6270" spans="1:5" x14ac:dyDescent="0.2">
      <c r="A6270">
        <v>6209</v>
      </c>
      <c r="B6270" s="1832">
        <f>'Acct Summary 7-8'!F82</f>
        <v>102097</v>
      </c>
      <c r="D6270" s="2" t="str">
        <f t="shared" si="96"/>
        <v>Error?</v>
      </c>
      <c r="E6270" s="2" t="s">
        <v>189</v>
      </c>
    </row>
    <row r="6271" spans="1:5" x14ac:dyDescent="0.2">
      <c r="A6271">
        <v>6210</v>
      </c>
      <c r="B6271" s="1832">
        <f>'Acct Summary 7-8'!G82</f>
        <v>150328</v>
      </c>
      <c r="D6271" s="2" t="str">
        <f t="shared" ref="D6271:D6334" si="97">IF(ISBLANK(B6271),"OK",IF(A6271-B6271=0,"OK","Error?"))</f>
        <v>Error?</v>
      </c>
      <c r="E6271" s="2" t="s">
        <v>189</v>
      </c>
    </row>
    <row r="6272" spans="1:5" x14ac:dyDescent="0.2">
      <c r="A6272">
        <v>6211</v>
      </c>
      <c r="B6272" s="1832">
        <f>'Acct Summary 7-8'!H82</f>
        <v>1769</v>
      </c>
      <c r="D6272" s="2" t="str">
        <f t="shared" si="97"/>
        <v>Error?</v>
      </c>
      <c r="E6272" s="2" t="s">
        <v>189</v>
      </c>
    </row>
    <row r="6273" spans="1:5" x14ac:dyDescent="0.2">
      <c r="A6273">
        <v>6212</v>
      </c>
      <c r="B6273" s="1832">
        <f>'Acct Summary 7-8'!I82</f>
        <v>401196</v>
      </c>
      <c r="D6273" s="2" t="str">
        <f t="shared" si="97"/>
        <v>Error?</v>
      </c>
      <c r="E6273" s="2" t="s">
        <v>189</v>
      </c>
    </row>
    <row r="6274" spans="1:5" x14ac:dyDescent="0.2">
      <c r="A6274">
        <v>6213</v>
      </c>
      <c r="B6274" s="1832">
        <f>'Acct Summary 7-8'!J82</f>
        <v>-233959</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2.1411221796314415E-2</v>
      </c>
      <c r="D6276" s="2" t="str">
        <f t="shared" si="97"/>
        <v>Error?</v>
      </c>
      <c r="E6276" s="2" t="s">
        <v>189</v>
      </c>
    </row>
    <row r="6277" spans="1:5" x14ac:dyDescent="0.2">
      <c r="A6277">
        <v>6216</v>
      </c>
      <c r="B6277" s="1832">
        <f>'Acct Summary 7-8'!D83</f>
        <v>0.15255576638538113</v>
      </c>
      <c r="D6277" s="2" t="str">
        <f t="shared" si="97"/>
        <v>Error?</v>
      </c>
      <c r="E6277" s="2" t="s">
        <v>189</v>
      </c>
    </row>
    <row r="6278" spans="1:5" x14ac:dyDescent="0.2">
      <c r="A6278">
        <v>6217</v>
      </c>
      <c r="B6278" s="1832">
        <f>'Acct Summary 7-8'!E83</f>
        <v>-0.70432212236546254</v>
      </c>
      <c r="D6278" s="2" t="str">
        <f t="shared" si="97"/>
        <v>Error?</v>
      </c>
      <c r="E6278" s="2" t="s">
        <v>189</v>
      </c>
    </row>
    <row r="6279" spans="1:5" x14ac:dyDescent="0.2">
      <c r="A6279">
        <v>6218</v>
      </c>
      <c r="B6279" s="1832">
        <f>'Acct Summary 7-8'!F83</f>
        <v>0.13213241584237861</v>
      </c>
      <c r="D6279" s="2" t="str">
        <f t="shared" si="97"/>
        <v>Error?</v>
      </c>
      <c r="E6279" s="2" t="s">
        <v>189</v>
      </c>
    </row>
    <row r="6280" spans="1:5" x14ac:dyDescent="0.2">
      <c r="A6280">
        <v>6219</v>
      </c>
      <c r="B6280" s="1832">
        <f>'Acct Summary 7-8'!G83</f>
        <v>0.17180323222487745</v>
      </c>
      <c r="D6280" s="2" t="str">
        <f t="shared" si="97"/>
        <v>Error?</v>
      </c>
      <c r="E6280" s="2" t="s">
        <v>189</v>
      </c>
    </row>
    <row r="6281" spans="1:5" x14ac:dyDescent="0.2">
      <c r="A6281">
        <v>6220</v>
      </c>
      <c r="B6281" s="1832">
        <f>'Acct Summary 7-8'!H83</f>
        <v>2.2438133411129008E-2</v>
      </c>
      <c r="D6281" s="2" t="str">
        <f t="shared" si="97"/>
        <v>Error?</v>
      </c>
      <c r="E6281" s="2" t="s">
        <v>189</v>
      </c>
    </row>
    <row r="6282" spans="1:5" x14ac:dyDescent="0.2">
      <c r="A6282">
        <v>6221</v>
      </c>
      <c r="B6282" s="1832">
        <f>'Acct Summary 7-8'!I83</f>
        <v>0.36205986320642763</v>
      </c>
      <c r="D6282" s="2" t="str">
        <f t="shared" si="97"/>
        <v>Error?</v>
      </c>
      <c r="E6282" s="2" t="s">
        <v>189</v>
      </c>
    </row>
    <row r="6283" spans="1:5" x14ac:dyDescent="0.2">
      <c r="A6283">
        <v>6222</v>
      </c>
      <c r="B6283" s="1832">
        <f>'Acct Summary 7-8'!J83</f>
        <v>-0.29066876713724332</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571706</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17804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17804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17951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294212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2006</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326917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69853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13419</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15425</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28360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28360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672127</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672127</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700487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879005</v>
      </c>
      <c r="D6983" s="2" t="str">
        <f t="shared" si="108"/>
        <v>Error?</v>
      </c>
    </row>
    <row r="6984" spans="1:4" x14ac:dyDescent="0.2">
      <c r="A6984">
        <v>6923</v>
      </c>
      <c r="B6984" s="1832">
        <f>'Expenditures 15-22'!K86</f>
        <v>879005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879005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715912</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52189</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52189</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52189</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251910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52189</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17951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4142</v>
      </c>
      <c r="D7073" s="2" t="str">
        <f t="shared" si="109"/>
        <v>Error?</v>
      </c>
    </row>
    <row r="7074" spans="1:4" x14ac:dyDescent="0.2">
      <c r="A7074">
        <v>7013</v>
      </c>
      <c r="B7074" s="1832">
        <f>'Expenditures 15-22'!K216</f>
        <v>4142</v>
      </c>
      <c r="D7074" s="2" t="str">
        <f t="shared" si="109"/>
        <v>Error?</v>
      </c>
    </row>
    <row r="7075" spans="1:4" x14ac:dyDescent="0.2">
      <c r="A7075">
        <v>7014</v>
      </c>
      <c r="B7075" s="1832">
        <f>'Expenditures 15-22'!D218</f>
        <v>11910</v>
      </c>
      <c r="D7075" s="2" t="str">
        <f t="shared" si="109"/>
        <v>Error?</v>
      </c>
    </row>
    <row r="7076" spans="1:4" x14ac:dyDescent="0.2">
      <c r="A7076">
        <v>7015</v>
      </c>
      <c r="B7076" s="1832">
        <f>'Expenditures 15-22'!K218</f>
        <v>11910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199</v>
      </c>
      <c r="D7093" s="2" t="str">
        <f t="shared" si="109"/>
        <v>Error?</v>
      </c>
    </row>
    <row r="7094" spans="1:4" x14ac:dyDescent="0.2">
      <c r="A7094">
        <v>7033</v>
      </c>
      <c r="B7094" s="1832">
        <f>'Expenditures 15-22'!K254</f>
        <v>199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153390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153390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97647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97647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873</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873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873</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251037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251910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873</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251037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251910</v>
      </c>
      <c r="D7224" s="2" t="str">
        <f t="shared" si="111"/>
        <v>Error?</v>
      </c>
    </row>
    <row r="7225" spans="1:4" x14ac:dyDescent="0.2">
      <c r="A7225">
        <v>7164</v>
      </c>
      <c r="B7225" s="1832">
        <f>'Expenditures 15-22'!K343</f>
        <v>-233959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32705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70028</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-175</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768101</v>
      </c>
      <c r="D7624" s="2" t="str">
        <f t="shared" si="124"/>
        <v>Error?</v>
      </c>
      <c r="E7624" s="2" t="s">
        <v>19</v>
      </c>
    </row>
    <row r="7625" spans="1:5" x14ac:dyDescent="0.2">
      <c r="A7625">
        <f t="shared" si="123"/>
        <v>7564</v>
      </c>
      <c r="B7625" s="1832">
        <f>'Cap Outlay Deprec 26'!I17</f>
        <v>76810.100000000006</v>
      </c>
      <c r="D7625" s="2" t="str">
        <f t="shared" si="124"/>
        <v>Error?</v>
      </c>
      <c r="E7625" s="2" t="s">
        <v>19</v>
      </c>
    </row>
    <row r="7626" spans="1:5" x14ac:dyDescent="0.2">
      <c r="A7626" s="126">
        <f t="shared" si="123"/>
        <v>7565</v>
      </c>
      <c r="B7626" s="1832"/>
      <c r="D7626" s="2" t="str">
        <f t="shared" si="124"/>
        <v>OK</v>
      </c>
      <c r="E7626" s="4" t="s">
        <v>1324</v>
      </c>
    </row>
    <row r="7627" spans="1:5" x14ac:dyDescent="0.2">
      <c r="A7627" s="126">
        <f t="shared" si="123"/>
        <v>7566</v>
      </c>
      <c r="B7627" s="1832"/>
      <c r="D7627" s="2" t="str">
        <f t="shared" si="124"/>
        <v>OK</v>
      </c>
      <c r="E7627" s="4" t="s">
        <v>1324</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1324</v>
      </c>
    </row>
    <row r="7630" spans="1:5" x14ac:dyDescent="0.2">
      <c r="A7630" s="126">
        <f t="shared" ref="A7630:A7650" si="125">A7629+1</f>
        <v>7569</v>
      </c>
      <c r="B7630" s="1832"/>
      <c r="D7630" s="2" t="str">
        <f t="shared" si="124"/>
        <v>OK</v>
      </c>
      <c r="E7630" s="4" t="s">
        <v>1324</v>
      </c>
    </row>
    <row r="7631" spans="1:5" x14ac:dyDescent="0.2">
      <c r="A7631">
        <f t="shared" si="125"/>
        <v>7570</v>
      </c>
      <c r="B7631" s="1832">
        <f>'Cap Outlay Deprec 26'!I18</f>
        <v>1444057.1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1324</v>
      </c>
    </row>
    <row r="7634" spans="1:6" x14ac:dyDescent="0.2">
      <c r="A7634" s="126">
        <f t="shared" si="125"/>
        <v>7573</v>
      </c>
      <c r="B7634" s="1832"/>
      <c r="D7634" s="2" t="str">
        <f t="shared" si="124"/>
        <v>OK</v>
      </c>
      <c r="E7634" s="4" t="s">
        <v>1324</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1020493</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1324</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1323</v>
      </c>
    </row>
    <row r="7749" spans="1:6" x14ac:dyDescent="0.2">
      <c r="A7749">
        <v>7688</v>
      </c>
      <c r="B7749" s="1832">
        <f>'Acct Summary 7-8'!D25</f>
        <v>0</v>
      </c>
      <c r="D7749" s="2" t="str">
        <f t="shared" si="127"/>
        <v>Error?</v>
      </c>
      <c r="E7749" s="4" t="s">
        <v>1323</v>
      </c>
    </row>
    <row r="7750" spans="1:6" x14ac:dyDescent="0.2">
      <c r="A7750">
        <v>7689</v>
      </c>
      <c r="B7750" s="1832">
        <f>'Acct Summary 7-8'!E25</f>
        <v>0</v>
      </c>
      <c r="D7750" s="2" t="str">
        <f t="shared" si="127"/>
        <v>Error?</v>
      </c>
      <c r="E7750" s="4" t="s">
        <v>1323</v>
      </c>
    </row>
    <row r="7751" spans="1:6" x14ac:dyDescent="0.2">
      <c r="A7751">
        <v>7690</v>
      </c>
      <c r="B7751" s="1832">
        <f>'Acct Summary 7-8'!F25</f>
        <v>0</v>
      </c>
      <c r="D7751" s="2" t="str">
        <f t="shared" si="127"/>
        <v>Error?</v>
      </c>
      <c r="E7751" s="4" t="s">
        <v>1323</v>
      </c>
    </row>
    <row r="7752" spans="1:6" x14ac:dyDescent="0.2">
      <c r="A7752">
        <v>7691</v>
      </c>
      <c r="B7752" s="1832">
        <f>'Acct Summary 7-8'!G25</f>
        <v>0</v>
      </c>
      <c r="D7752" s="2" t="str">
        <f t="shared" si="127"/>
        <v>Error?</v>
      </c>
      <c r="E7752" s="4" t="s">
        <v>1323</v>
      </c>
    </row>
    <row r="7753" spans="1:6" x14ac:dyDescent="0.2">
      <c r="A7753">
        <v>7692</v>
      </c>
      <c r="B7753" s="1832">
        <f>'Acct Summary 7-8'!H25</f>
        <v>0</v>
      </c>
      <c r="D7753" s="2" t="str">
        <f t="shared" si="127"/>
        <v>Error?</v>
      </c>
      <c r="E7753" s="4" t="s">
        <v>1323</v>
      </c>
    </row>
    <row r="7754" spans="1:6" x14ac:dyDescent="0.2">
      <c r="A7754">
        <v>7693</v>
      </c>
      <c r="B7754" s="1832">
        <f>'Acct Summary 7-8'!J25</f>
        <v>0</v>
      </c>
      <c r="D7754" s="2" t="str">
        <f t="shared" si="127"/>
        <v>Error?</v>
      </c>
      <c r="E7754" s="4" t="s">
        <v>1323</v>
      </c>
    </row>
    <row r="7755" spans="1:6" x14ac:dyDescent="0.2">
      <c r="A7755">
        <v>7694</v>
      </c>
      <c r="B7755" s="1832">
        <f>'Acct Summary 7-8'!K25</f>
        <v>0</v>
      </c>
      <c r="D7755" s="2" t="str">
        <f t="shared" si="127"/>
        <v>Error?</v>
      </c>
      <c r="E7755" s="4" t="s">
        <v>1323</v>
      </c>
    </row>
    <row r="7756" spans="1:6" x14ac:dyDescent="0.2">
      <c r="A7756" s="126">
        <v>7695</v>
      </c>
      <c r="B7756" s="1832"/>
      <c r="D7756" s="2" t="str">
        <f t="shared" si="127"/>
        <v>OK</v>
      </c>
      <c r="E7756" s="4" t="s">
        <v>1323</v>
      </c>
      <c r="F7756" t="s">
        <v>1430</v>
      </c>
    </row>
    <row r="7757" spans="1:6" x14ac:dyDescent="0.2">
      <c r="A7757" s="126">
        <v>7696</v>
      </c>
      <c r="B7757" s="1832"/>
      <c r="D7757" s="2" t="str">
        <f t="shared" si="127"/>
        <v>OK</v>
      </c>
      <c r="E7757" s="4" t="s">
        <v>1323</v>
      </c>
      <c r="F7757" t="s">
        <v>1430</v>
      </c>
    </row>
    <row r="7758" spans="1:6" x14ac:dyDescent="0.2">
      <c r="A7758">
        <v>7697</v>
      </c>
      <c r="B7758" s="1832">
        <f>'Aud Quest 2'!J85</f>
        <v>0</v>
      </c>
      <c r="D7758" s="2" t="str">
        <f t="shared" si="127"/>
        <v>Error?</v>
      </c>
      <c r="E7758" s="4" t="s">
        <v>1323</v>
      </c>
    </row>
    <row r="7759" spans="1:6" x14ac:dyDescent="0.2">
      <c r="A7759">
        <v>7698</v>
      </c>
      <c r="B7759" s="1832">
        <f>'Aud Quest 2'!J88</f>
        <v>0</v>
      </c>
      <c r="D7759" s="2" t="str">
        <f t="shared" si="127"/>
        <v>Error?</v>
      </c>
      <c r="E7759" s="4" t="s">
        <v>1323</v>
      </c>
    </row>
    <row r="7760" spans="1:6" x14ac:dyDescent="0.2">
      <c r="A7760">
        <v>7699</v>
      </c>
      <c r="B7760" s="1832">
        <f>'Aud Quest 2'!J90</f>
        <v>0</v>
      </c>
      <c r="D7760" s="2" t="str">
        <f t="shared" si="127"/>
        <v>Error?</v>
      </c>
      <c r="E7760" s="4" t="s">
        <v>1323</v>
      </c>
    </row>
    <row r="7761" spans="1:5" x14ac:dyDescent="0.2">
      <c r="A7761">
        <v>7700</v>
      </c>
      <c r="B7761" s="1832">
        <f>'Revenues 9-14'!C253</f>
        <v>0</v>
      </c>
      <c r="D7761" s="2" t="str">
        <f t="shared" si="127"/>
        <v>Error?</v>
      </c>
      <c r="E7761" s="4" t="s">
        <v>1407</v>
      </c>
    </row>
    <row r="7762" spans="1:5" x14ac:dyDescent="0.2">
      <c r="A7762">
        <v>7701</v>
      </c>
      <c r="B7762" s="1832">
        <f>'Expenditures 15-22'!E6</f>
        <v>0</v>
      </c>
      <c r="D7762" s="2" t="str">
        <f t="shared" si="127"/>
        <v>Error?</v>
      </c>
      <c r="E7762" s="4" t="s">
        <v>1417</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1445</v>
      </c>
    </row>
    <row r="7765" spans="1:5" x14ac:dyDescent="0.2">
      <c r="A7765">
        <v>7704</v>
      </c>
      <c r="B7765" s="1832">
        <f>'Revenues 9-14'!C254</f>
        <v>0</v>
      </c>
      <c r="D7765" s="2" t="str">
        <f t="shared" si="127"/>
        <v>Error?</v>
      </c>
      <c r="E7765" s="4" t="s">
        <v>1449</v>
      </c>
    </row>
    <row r="7766" spans="1:5" x14ac:dyDescent="0.2">
      <c r="A7766">
        <v>7705</v>
      </c>
      <c r="B7766" s="1832">
        <f>'Revenues 9-14'!D254</f>
        <v>0</v>
      </c>
      <c r="D7766" s="2" t="str">
        <f t="shared" si="127"/>
        <v>Error?</v>
      </c>
      <c r="E7766" s="4" t="s">
        <v>1449</v>
      </c>
    </row>
    <row r="7767" spans="1:5" x14ac:dyDescent="0.2">
      <c r="A7767" s="126">
        <v>7706</v>
      </c>
      <c r="B7767" s="1832"/>
      <c r="D7767" s="4" t="s">
        <v>1993</v>
      </c>
      <c r="E7767" s="4"/>
    </row>
    <row r="7768" spans="1:5" x14ac:dyDescent="0.2">
      <c r="A7768">
        <v>7707</v>
      </c>
      <c r="B7768" s="1832">
        <f>'Revenues 9-14'!F254</f>
        <v>0</v>
      </c>
      <c r="D7768" s="2" t="str">
        <f t="shared" si="127"/>
        <v>Error?</v>
      </c>
      <c r="E7768" s="4" t="s">
        <v>1449</v>
      </c>
    </row>
    <row r="7769" spans="1:5" x14ac:dyDescent="0.2">
      <c r="A7769">
        <v>7708</v>
      </c>
      <c r="B7769" s="1832">
        <f>'Revenues 9-14'!G254</f>
        <v>0</v>
      </c>
      <c r="D7769" s="2" t="str">
        <f t="shared" si="127"/>
        <v>Error?</v>
      </c>
      <c r="E7769" s="4" t="s">
        <v>1449</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1450</v>
      </c>
    </row>
    <row r="7773" spans="1:5" x14ac:dyDescent="0.2">
      <c r="A7773">
        <v>7712</v>
      </c>
      <c r="B7773" s="1832">
        <f>'Rest Tax Levies-Tort Im 25'!J22</f>
        <v>0</v>
      </c>
      <c r="D7773" s="2" t="str">
        <f t="shared" si="127"/>
        <v>Error?</v>
      </c>
      <c r="E7773" s="4" t="s">
        <v>1538</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0</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57941789</v>
      </c>
      <c r="D7817" s="2" t="str">
        <f t="shared" si="128"/>
        <v>Error?</v>
      </c>
      <c r="E7817" s="4" t="s">
        <v>1962</v>
      </c>
    </row>
    <row r="7818" spans="1:5" x14ac:dyDescent="0.2">
      <c r="A7818">
        <v>7757</v>
      </c>
      <c r="B7818" s="1832">
        <f>'PCTC-OEPP 27-28'!F172</f>
        <v>1190397</v>
      </c>
      <c r="D7818" s="2" t="str">
        <f t="shared" si="128"/>
        <v>Error?</v>
      </c>
      <c r="E7818" s="4" t="s">
        <v>1976</v>
      </c>
    </row>
    <row r="7819" spans="1:5" x14ac:dyDescent="0.2">
      <c r="A7819">
        <v>7758</v>
      </c>
      <c r="B7819" s="1832">
        <f>'PCTC-OEPP 27-28'!F173</f>
        <v>39043</v>
      </c>
      <c r="D7819" s="2" t="str">
        <f t="shared" si="128"/>
        <v>Error?</v>
      </c>
      <c r="E7819" s="4" t="s">
        <v>1976</v>
      </c>
    </row>
    <row r="7820" spans="1:5" x14ac:dyDescent="0.2">
      <c r="A7820">
        <v>7759</v>
      </c>
      <c r="B7820" s="1832">
        <f>'ICR Computation 30'!E40</f>
        <v>-1826378</v>
      </c>
      <c r="D7820" s="2" t="str">
        <f t="shared" si="128"/>
        <v>Error?</v>
      </c>
    </row>
    <row r="7821" spans="1:5" x14ac:dyDescent="0.2">
      <c r="A7821">
        <v>7760</v>
      </c>
      <c r="B7821" s="1832">
        <f>'ICR Computation 30'!G40</f>
        <v>-1826378</v>
      </c>
      <c r="D7821" s="2" t="str">
        <f t="shared" si="128"/>
        <v>Error?</v>
      </c>
    </row>
    <row r="7822" spans="1:5" x14ac:dyDescent="0.2">
      <c r="A7822" s="1">
        <v>7761</v>
      </c>
      <c r="B7822" s="1832">
        <f>'PCTC-OEPP 27-28'!F14</f>
        <v>46449743</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326917</v>
      </c>
      <c r="D7826" s="2" t="str">
        <f t="shared" si="129"/>
        <v>Error?</v>
      </c>
      <c r="E7826" s="4" t="s">
        <v>1994</v>
      </c>
    </row>
    <row r="7827" spans="1:5" x14ac:dyDescent="0.2">
      <c r="A7827">
        <v>7766</v>
      </c>
      <c r="B7827" s="1832">
        <f>'PCTC-OEPP 27-28'!F35</f>
        <v>69853</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78943</v>
      </c>
      <c r="D7830" s="2" t="str">
        <f t="shared" si="129"/>
        <v>Error?</v>
      </c>
      <c r="E7830" s="4" t="s">
        <v>1994</v>
      </c>
    </row>
    <row r="7831" spans="1:5" x14ac:dyDescent="0.2">
      <c r="A7831">
        <v>7770</v>
      </c>
      <c r="B7831" s="1832">
        <f>'PCTC-OEPP 27-28'!F52</f>
        <v>117103</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6470364</v>
      </c>
      <c r="D7834" s="2" t="str">
        <f t="shared" si="129"/>
        <v>Error?</v>
      </c>
      <c r="E7834" s="4" t="s">
        <v>1994</v>
      </c>
    </row>
    <row r="7835" spans="1:5" x14ac:dyDescent="0.2">
      <c r="A7835">
        <v>7774</v>
      </c>
      <c r="B7835" s="1832">
        <f>'PCTC-OEPP 27-28'!F78</f>
        <v>39979379</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13163.71230355373</v>
      </c>
      <c r="D7837" s="2" t="str">
        <f t="shared" si="129"/>
        <v>Error?</v>
      </c>
      <c r="E7837" s="4" t="s">
        <v>1994</v>
      </c>
    </row>
    <row r="7838" spans="1:5" x14ac:dyDescent="0.2">
      <c r="A7838">
        <v>7777</v>
      </c>
      <c r="B7838" s="1832">
        <f>'PCTC-OEPP 27-28'!F96</f>
        <v>122334</v>
      </c>
      <c r="D7838" s="2" t="str">
        <f t="shared" si="129"/>
        <v>Error?</v>
      </c>
      <c r="E7838" s="4" t="s">
        <v>1994</v>
      </c>
    </row>
    <row r="7839" spans="1:5" x14ac:dyDescent="0.2">
      <c r="A7839">
        <v>7778</v>
      </c>
      <c r="B7839" s="1832">
        <f>'PCTC-OEPP 27-28'!F102</f>
        <v>44372</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285432</v>
      </c>
      <c r="D7842" s="2" t="str">
        <f t="shared" si="129"/>
        <v>Error?</v>
      </c>
      <c r="E7842" s="4" t="s">
        <v>1994</v>
      </c>
    </row>
    <row r="7843" spans="1:5" x14ac:dyDescent="0.2">
      <c r="A7843">
        <v>7782</v>
      </c>
      <c r="B7843" s="1832">
        <f>'PCTC-OEPP 27-28'!F107</f>
        <v>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0</v>
      </c>
      <c r="D7846" s="2" t="str">
        <f t="shared" si="129"/>
        <v>Error?</v>
      </c>
      <c r="E7846" s="4" t="s">
        <v>1994</v>
      </c>
    </row>
    <row r="7847" spans="1:5" x14ac:dyDescent="0.2">
      <c r="A7847">
        <v>7786</v>
      </c>
      <c r="B7847" s="1832">
        <f>'PCTC-OEPP 27-28'!F112</f>
        <v>416655</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123835</v>
      </c>
      <c r="D7858" s="2" t="str">
        <f t="shared" si="129"/>
        <v>Error?</v>
      </c>
      <c r="E7858" s="4" t="s">
        <v>1994</v>
      </c>
    </row>
    <row r="7859" spans="1:5" x14ac:dyDescent="0.2">
      <c r="A7859">
        <v>7798</v>
      </c>
      <c r="B7859" s="1832">
        <f>'PCTC-OEPP 27-28'!F127</f>
        <v>199333</v>
      </c>
      <c r="D7859" s="2" t="str">
        <f t="shared" si="129"/>
        <v>Error?</v>
      </c>
      <c r="E7859" s="4" t="s">
        <v>1994</v>
      </c>
    </row>
    <row r="7860" spans="1:5" x14ac:dyDescent="0.2">
      <c r="A7860">
        <v>7799</v>
      </c>
      <c r="B7860" s="1832">
        <f>'PCTC-OEPP 27-28'!F128</f>
        <v>0</v>
      </c>
      <c r="D7860" s="2" t="str">
        <f t="shared" si="129"/>
        <v>Error?</v>
      </c>
      <c r="E7860" s="4" t="s">
        <v>1994</v>
      </c>
    </row>
    <row r="7861" spans="1:5" x14ac:dyDescent="0.2">
      <c r="A7861">
        <v>7800</v>
      </c>
      <c r="B7861" s="1832">
        <f>'PCTC-OEPP 27-28'!F129</f>
        <v>587711</v>
      </c>
      <c r="D7861" s="2" t="str">
        <f t="shared" si="129"/>
        <v>Error?</v>
      </c>
      <c r="E7861" s="4" t="s">
        <v>1994</v>
      </c>
    </row>
    <row r="7862" spans="1:5" x14ac:dyDescent="0.2">
      <c r="A7862">
        <v>7801</v>
      </c>
      <c r="B7862" s="1832">
        <f>'PCTC-OEPP 27-28'!F130</f>
        <v>122386</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26273</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120953</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20917</v>
      </c>
      <c r="D7874" s="2" t="str">
        <f t="shared" si="129"/>
        <v>Error?</v>
      </c>
      <c r="E7874" s="4" t="s">
        <v>1994</v>
      </c>
    </row>
    <row r="7875" spans="1:5" x14ac:dyDescent="0.2">
      <c r="A7875">
        <v>7814</v>
      </c>
      <c r="B7875" s="1832">
        <f>'PCTC-OEPP 27-28'!F170</f>
        <v>134161</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4217428</v>
      </c>
      <c r="D7877" s="2" t="str">
        <f t="shared" si="129"/>
        <v>Error?</v>
      </c>
      <c r="E7877" s="4" t="s">
        <v>1994</v>
      </c>
    </row>
    <row r="7878" spans="1:5" x14ac:dyDescent="0.2">
      <c r="A7878">
        <v>7817</v>
      </c>
      <c r="B7878" s="1832">
        <f>'PCTC-OEPP 27-28'!F176</f>
        <v>35761951</v>
      </c>
      <c r="D7878" s="2" t="str">
        <f t="shared" si="129"/>
        <v>Error?</v>
      </c>
      <c r="E7878" s="4" t="s">
        <v>1994</v>
      </c>
    </row>
    <row r="7879" spans="1:5" x14ac:dyDescent="0.2">
      <c r="A7879">
        <v>7818</v>
      </c>
      <c r="B7879" s="1832">
        <f>'PCTC-OEPP 27-28'!F178</f>
        <v>37206008.100000001</v>
      </c>
      <c r="D7879" s="2" t="str">
        <f t="shared" si="129"/>
        <v>Error?</v>
      </c>
      <c r="E7879" s="4" t="s">
        <v>1994</v>
      </c>
    </row>
    <row r="7880" spans="1:5" x14ac:dyDescent="0.2">
      <c r="A7880">
        <v>7819</v>
      </c>
      <c r="B7880" s="1832">
        <f>'PCTC-OEPP 27-28'!F180</f>
        <v>12250.545127078882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S30" sqref="S3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1182</v>
      </c>
      <c r="B2" s="2544"/>
      <c r="C2" s="2544"/>
      <c r="D2" s="2544"/>
      <c r="E2" s="2544"/>
      <c r="F2" s="2544"/>
      <c r="G2" s="2544"/>
      <c r="H2" s="2544"/>
      <c r="I2" s="2544"/>
      <c r="J2" s="2544"/>
      <c r="K2" s="2544"/>
      <c r="L2" s="2544"/>
    </row>
    <row r="3" spans="1:29" ht="13.5" customHeight="1" x14ac:dyDescent="0.2">
      <c r="A3" s="2530" t="s">
        <v>1181</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24" t="str">
        <f>COVER!A17</f>
        <v>LaGrange SD 102</v>
      </c>
      <c r="B7" s="2525"/>
      <c r="C7" s="2525"/>
      <c r="D7" s="2563"/>
      <c r="E7" s="2564">
        <f>COVER!A13</f>
        <v>6016102002</v>
      </c>
      <c r="F7" s="2565"/>
      <c r="G7" s="2531" t="str">
        <f>COVER!T23</f>
        <v>066-003328</v>
      </c>
      <c r="H7" s="2532"/>
      <c r="I7" s="2532"/>
      <c r="J7" s="2532"/>
      <c r="K7" s="2532"/>
      <c r="L7" s="2533"/>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34"/>
      <c r="B9" s="2535"/>
      <c r="C9" s="2535"/>
      <c r="D9" s="2535"/>
      <c r="E9" s="2535"/>
      <c r="F9" s="2536"/>
      <c r="G9" s="2537" t="str">
        <f>COVER!T13</f>
        <v>MUELLER &amp; CO., LLP</v>
      </c>
      <c r="H9" s="2538"/>
      <c r="I9" s="2538"/>
      <c r="J9" s="2538"/>
      <c r="K9" s="2538"/>
      <c r="L9" s="2539"/>
    </row>
    <row r="10" spans="1:29" ht="13.5" customHeight="1" x14ac:dyDescent="0.2">
      <c r="A10" s="2521" t="str">
        <f>COVER!A38</f>
        <v>DR. KYLE SCHUMACHER</v>
      </c>
      <c r="B10" s="2522"/>
      <c r="C10" s="2522"/>
      <c r="D10" s="2522"/>
      <c r="E10" s="2522"/>
      <c r="F10" s="2523"/>
      <c r="G10" s="2537" t="str">
        <f>COVER!T17</f>
        <v>14300 RAVINIA AVE. SUITE 200</v>
      </c>
      <c r="H10" s="2550"/>
      <c r="I10" s="2550"/>
      <c r="J10" s="2550"/>
      <c r="K10" s="2550"/>
      <c r="L10" s="2551"/>
    </row>
    <row r="11" spans="1:29" ht="13.5" customHeight="1" x14ac:dyDescent="0.2">
      <c r="A11" s="963" t="s">
        <v>1504</v>
      </c>
      <c r="B11" s="964"/>
      <c r="C11" s="965"/>
      <c r="D11" s="970"/>
      <c r="E11" s="965"/>
      <c r="F11" s="969"/>
      <c r="G11" s="2537" t="str">
        <f>COVER!T19</f>
        <v>ORLAND PARK</v>
      </c>
      <c r="H11" s="2550"/>
      <c r="I11" s="2550"/>
      <c r="J11" s="2550"/>
      <c r="K11" s="2550"/>
      <c r="L11" s="2551"/>
    </row>
    <row r="12" spans="1:29" ht="13.5" customHeight="1" x14ac:dyDescent="0.2">
      <c r="A12" s="2555" t="s">
        <v>1503</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1505</v>
      </c>
      <c r="H13" s="2546"/>
      <c r="I13" s="2558" t="str">
        <f>COVER!T25</f>
        <v>KBISSELL@MUELLERCPA.COM</v>
      </c>
      <c r="J13" s="2559"/>
      <c r="K13" s="2559"/>
      <c r="L13" s="2560"/>
    </row>
    <row r="14" spans="1:29" ht="13.5" customHeight="1" x14ac:dyDescent="0.2">
      <c r="A14" s="2537" t="str">
        <f>COVER!A19</f>
        <v>333 N. PARK RD</v>
      </c>
      <c r="B14" s="2550"/>
      <c r="C14" s="2550"/>
      <c r="D14" s="2550"/>
      <c r="E14" s="2550"/>
      <c r="F14" s="2551"/>
      <c r="G14" s="974" t="s">
        <v>1176</v>
      </c>
      <c r="H14" s="972"/>
      <c r="I14" s="972"/>
      <c r="J14" s="972"/>
      <c r="K14" s="972"/>
      <c r="L14" s="973"/>
    </row>
    <row r="15" spans="1:29" ht="13.5" customHeight="1" x14ac:dyDescent="0.2">
      <c r="A15" s="2537" t="str">
        <f>COVER!A21</f>
        <v>LAGRANGE PARK</v>
      </c>
      <c r="B15" s="2550"/>
      <c r="C15" s="2550"/>
      <c r="D15" s="2550"/>
      <c r="E15" s="2550"/>
      <c r="F15" s="2551"/>
      <c r="G15" s="2547" t="str">
        <f>COVER!T15</f>
        <v>KEVIN BISSELL</v>
      </c>
      <c r="H15" s="2548"/>
      <c r="I15" s="2548"/>
      <c r="J15" s="2548"/>
      <c r="K15" s="2548"/>
      <c r="L15" s="2549"/>
    </row>
    <row r="16" spans="1:29" ht="12.2" customHeight="1" x14ac:dyDescent="0.2">
      <c r="A16" s="2527">
        <f>COVER!A25</f>
        <v>60526</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1175</v>
      </c>
      <c r="H17" s="972"/>
      <c r="I17" s="972"/>
      <c r="J17" s="972"/>
      <c r="K17" s="976" t="s">
        <v>1174</v>
      </c>
      <c r="L17" s="969"/>
      <c r="M17" s="962"/>
    </row>
    <row r="18" spans="1:13" ht="12.2" customHeight="1" x14ac:dyDescent="0.2">
      <c r="A18" s="2521"/>
      <c r="B18" s="2522"/>
      <c r="C18" s="2522"/>
      <c r="D18" s="2522"/>
      <c r="E18" s="2522"/>
      <c r="F18" s="2523"/>
      <c r="G18" s="2524" t="str">
        <f>COVER!T21</f>
        <v>708-428-5305</v>
      </c>
      <c r="H18" s="2525"/>
      <c r="I18" s="2525"/>
      <c r="J18" s="2525"/>
      <c r="K18" s="2524" t="str">
        <f>COVER!X21</f>
        <v>708-349-6639</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t="s">
        <v>2047</v>
      </c>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t="s">
        <v>2047</v>
      </c>
      <c r="C26" s="981" t="s">
        <v>1679</v>
      </c>
    </row>
    <row r="27" spans="1:13" s="977" customFormat="1" ht="9" customHeight="1" x14ac:dyDescent="0.2">
      <c r="B27" s="982"/>
      <c r="C27" s="981"/>
    </row>
    <row r="28" spans="1:13" s="977" customFormat="1" ht="12.2" customHeight="1" x14ac:dyDescent="0.2">
      <c r="A28" s="984"/>
      <c r="B28" s="980" t="s">
        <v>2047</v>
      </c>
      <c r="C28" s="981" t="s">
        <v>1680</v>
      </c>
    </row>
    <row r="29" spans="1:13" s="977" customFormat="1" ht="9" customHeight="1" x14ac:dyDescent="0.2">
      <c r="A29" s="984"/>
      <c r="B29" s="982"/>
      <c r="C29" s="981"/>
    </row>
    <row r="30" spans="1:13" s="977" customFormat="1" ht="12.2" customHeight="1" x14ac:dyDescent="0.2">
      <c r="B30" s="980" t="s">
        <v>2047</v>
      </c>
      <c r="C30" s="981" t="s">
        <v>1547</v>
      </c>
      <c r="D30" s="975"/>
      <c r="E30" s="975"/>
    </row>
    <row r="31" spans="1:13" s="977" customFormat="1" ht="9" customHeight="1" x14ac:dyDescent="0.2">
      <c r="B31" s="982"/>
      <c r="C31" s="981"/>
      <c r="D31" s="975"/>
      <c r="E31" s="975"/>
    </row>
    <row r="32" spans="1:13" s="977" customFormat="1" ht="12.2" customHeight="1" x14ac:dyDescent="0.2">
      <c r="B32" s="980" t="s">
        <v>2047</v>
      </c>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t="s">
        <v>2047</v>
      </c>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t="s">
        <v>2047</v>
      </c>
      <c r="C38" s="981" t="s">
        <v>1551</v>
      </c>
    </row>
    <row r="39" spans="1:8" ht="9" customHeight="1" x14ac:dyDescent="0.2">
      <c r="B39" s="982"/>
      <c r="C39" s="985"/>
    </row>
    <row r="40" spans="1:8" s="977" customFormat="1" ht="13.5" customHeight="1" x14ac:dyDescent="0.2">
      <c r="B40" s="980" t="s">
        <v>2047</v>
      </c>
      <c r="C40" s="981" t="s">
        <v>1552</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31" zoomScale="125" zoomScaleNormal="125" workbookViewId="0">
      <selection activeCell="K25" sqref="K2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LaGrange SD 102</v>
      </c>
      <c r="B1" s="2567"/>
      <c r="C1" s="2567"/>
      <c r="D1" s="2567"/>
    </row>
    <row r="2" spans="1:11" s="991" customFormat="1" ht="12.75" x14ac:dyDescent="0.2">
      <c r="A2" s="2568">
        <f>'Single Audit Cover'!E7</f>
        <v>6016102002</v>
      </c>
      <c r="B2" s="2569"/>
      <c r="C2" s="2569"/>
      <c r="D2" s="2569"/>
    </row>
    <row r="3" spans="1:11" s="991" customFormat="1" ht="12.75" x14ac:dyDescent="0.2">
      <c r="A3" s="2566" t="s">
        <v>1498</v>
      </c>
      <c r="B3" s="2567"/>
      <c r="C3" s="2567"/>
      <c r="D3" s="2567"/>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t="s">
        <v>2047</v>
      </c>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2047</v>
      </c>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2047</v>
      </c>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2047</v>
      </c>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2047</v>
      </c>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2047</v>
      </c>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2047</v>
      </c>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t="s">
        <v>2047</v>
      </c>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t="s">
        <v>2047</v>
      </c>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t="s">
        <v>2188</v>
      </c>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t="s">
        <v>2188</v>
      </c>
      <c r="C42" s="1008">
        <v>11</v>
      </c>
      <c r="D42" s="1019" t="s">
        <v>1559</v>
      </c>
      <c r="E42" s="290"/>
    </row>
    <row r="43" spans="1:5" ht="3" customHeight="1" x14ac:dyDescent="0.2">
      <c r="A43" s="998"/>
      <c r="B43" s="1015"/>
      <c r="C43" s="1016"/>
      <c r="D43" s="997"/>
    </row>
    <row r="44" spans="1:5" x14ac:dyDescent="0.2">
      <c r="A44" s="998"/>
      <c r="B44" s="1001" t="s">
        <v>2047</v>
      </c>
      <c r="C44" s="1002">
        <f>C42+1</f>
        <v>12</v>
      </c>
      <c r="D44" s="1013" t="s">
        <v>1205</v>
      </c>
    </row>
    <row r="45" spans="1:5" ht="10.5" customHeight="1" x14ac:dyDescent="0.2">
      <c r="A45" s="998"/>
      <c r="B45" s="1014"/>
      <c r="C45" s="1002"/>
      <c r="D45" s="1013" t="s">
        <v>1965</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t="s">
        <v>2047</v>
      </c>
      <c r="C48" s="1002">
        <f>C44+1</f>
        <v>13</v>
      </c>
      <c r="D48" s="1013" t="s">
        <v>1560</v>
      </c>
    </row>
    <row r="49" spans="1:4" ht="3" customHeight="1" x14ac:dyDescent="0.2">
      <c r="A49" s="998"/>
      <c r="B49" s="1005"/>
      <c r="C49" s="1002"/>
      <c r="D49" s="1013"/>
    </row>
    <row r="50" spans="1:4" x14ac:dyDescent="0.2">
      <c r="A50" s="998"/>
      <c r="B50" s="1001" t="s">
        <v>2047</v>
      </c>
      <c r="C50" s="1002">
        <f>C48+1</f>
        <v>14</v>
      </c>
      <c r="D50" s="1013" t="s">
        <v>1203</v>
      </c>
    </row>
    <row r="51" spans="1:4" ht="3" customHeight="1" x14ac:dyDescent="0.2">
      <c r="A51" s="998"/>
      <c r="B51" s="1005"/>
      <c r="C51" s="1002"/>
      <c r="D51" s="1013"/>
    </row>
    <row r="52" spans="1:4" x14ac:dyDescent="0.2">
      <c r="A52" s="998"/>
      <c r="B52" s="1001" t="s">
        <v>2047</v>
      </c>
      <c r="C52" s="1002">
        <f>C50+1</f>
        <v>15</v>
      </c>
      <c r="D52" s="1013" t="s">
        <v>1202</v>
      </c>
    </row>
    <row r="53" spans="1:4" ht="3" customHeight="1" x14ac:dyDescent="0.2">
      <c r="A53" s="998"/>
      <c r="B53" s="1005"/>
      <c r="C53" s="1002"/>
      <c r="D53" s="1013"/>
    </row>
    <row r="54" spans="1:4" x14ac:dyDescent="0.2">
      <c r="A54" s="998"/>
      <c r="B54" s="1001" t="s">
        <v>2188</v>
      </c>
      <c r="C54" s="1002">
        <f>C52+1</f>
        <v>16</v>
      </c>
      <c r="D54" s="1013" t="s">
        <v>1201</v>
      </c>
    </row>
    <row r="55" spans="1:4" ht="3" customHeight="1" x14ac:dyDescent="0.2">
      <c r="A55" s="998"/>
      <c r="B55" s="1005"/>
      <c r="C55" s="1002"/>
      <c r="D55" s="1013"/>
    </row>
    <row r="56" spans="1:4" x14ac:dyDescent="0.2">
      <c r="A56" s="998"/>
      <c r="B56" s="1001" t="s">
        <v>2047</v>
      </c>
      <c r="C56" s="1002">
        <f>C54+1</f>
        <v>17</v>
      </c>
      <c r="D56" s="997" t="s">
        <v>1688</v>
      </c>
    </row>
    <row r="57" spans="1:4" ht="10.5" customHeight="1" x14ac:dyDescent="0.2">
      <c r="A57" s="998"/>
      <c r="D57" s="1013" t="s">
        <v>1689</v>
      </c>
    </row>
    <row r="58" spans="1:4" x14ac:dyDescent="0.2">
      <c r="A58" s="998"/>
      <c r="C58" s="1020" t="s">
        <v>2047</v>
      </c>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t="s">
        <v>2047</v>
      </c>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t="s">
        <v>2047</v>
      </c>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t="s">
        <v>2188</v>
      </c>
      <c r="D69" s="1013" t="s">
        <v>1693</v>
      </c>
    </row>
    <row r="70" spans="1:4" x14ac:dyDescent="0.2">
      <c r="A70" s="998"/>
      <c r="D70" s="1022" t="s">
        <v>1197</v>
      </c>
    </row>
    <row r="71" spans="1:4" ht="3" customHeight="1" x14ac:dyDescent="0.2">
      <c r="A71" s="998"/>
      <c r="D71" s="997"/>
    </row>
    <row r="72" spans="1:4" x14ac:dyDescent="0.2">
      <c r="A72" s="998"/>
      <c r="B72" s="1001" t="s">
        <v>2047</v>
      </c>
      <c r="C72" s="1002">
        <f>C56+1</f>
        <v>18</v>
      </c>
      <c r="D72" s="1023" t="s">
        <v>1694</v>
      </c>
    </row>
    <row r="73" spans="1:4" ht="3" customHeight="1" x14ac:dyDescent="0.2">
      <c r="A73" s="998"/>
      <c r="B73" s="1005"/>
      <c r="C73" s="1002"/>
      <c r="D73" s="1023"/>
    </row>
    <row r="74" spans="1:4" x14ac:dyDescent="0.2">
      <c r="A74" s="998"/>
      <c r="B74" s="1001" t="s">
        <v>2047</v>
      </c>
      <c r="C74" s="1002">
        <f>C72+1</f>
        <v>19</v>
      </c>
      <c r="D74" s="1013" t="s">
        <v>1196</v>
      </c>
    </row>
    <row r="75" spans="1:4" ht="3" customHeight="1" x14ac:dyDescent="0.2">
      <c r="A75" s="998"/>
      <c r="B75" s="1005"/>
      <c r="C75" s="1002"/>
      <c r="D75" s="1013"/>
    </row>
    <row r="76" spans="1:4" x14ac:dyDescent="0.2">
      <c r="A76" s="998"/>
      <c r="B76" s="1001" t="s">
        <v>2047</v>
      </c>
      <c r="C76" s="1002">
        <f>C74+1</f>
        <v>20</v>
      </c>
      <c r="D76" s="1024" t="s">
        <v>1695</v>
      </c>
    </row>
    <row r="77" spans="1:4" ht="3" customHeight="1" x14ac:dyDescent="0.2">
      <c r="A77" s="998"/>
      <c r="B77" s="1005"/>
      <c r="C77" s="1002"/>
      <c r="D77" s="1024"/>
    </row>
    <row r="78" spans="1:4" x14ac:dyDescent="0.2">
      <c r="A78" s="998"/>
      <c r="B78" s="1001" t="s">
        <v>2047</v>
      </c>
      <c r="C78" s="1002">
        <f>C76+1</f>
        <v>21</v>
      </c>
      <c r="D78" s="997" t="s">
        <v>1696</v>
      </c>
    </row>
    <row r="79" spans="1:4" ht="3" customHeight="1" x14ac:dyDescent="0.2">
      <c r="A79" s="998"/>
      <c r="B79" s="1005"/>
      <c r="C79" s="1002"/>
      <c r="D79" s="997"/>
    </row>
    <row r="80" spans="1:4" x14ac:dyDescent="0.2">
      <c r="A80" s="998"/>
      <c r="B80" s="1001" t="s">
        <v>2047</v>
      </c>
      <c r="C80" s="1002">
        <f>C78+1</f>
        <v>22</v>
      </c>
      <c r="D80" s="1025" t="s">
        <v>1697</v>
      </c>
    </row>
    <row r="81" spans="1:4" ht="3" customHeight="1" x14ac:dyDescent="0.2">
      <c r="A81" s="998"/>
      <c r="B81" s="1005"/>
      <c r="C81" s="1002"/>
      <c r="D81" s="1025"/>
    </row>
    <row r="82" spans="1:4" x14ac:dyDescent="0.2">
      <c r="A82" s="998"/>
      <c r="B82" s="1001" t="s">
        <v>2047</v>
      </c>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t="s">
        <v>2047</v>
      </c>
      <c r="C85" s="1002">
        <f>C82+1</f>
        <v>24</v>
      </c>
      <c r="D85" s="1013" t="s">
        <v>1194</v>
      </c>
    </row>
    <row r="86" spans="1:4" ht="3" customHeight="1" x14ac:dyDescent="0.2">
      <c r="A86" s="998"/>
      <c r="B86" s="1005"/>
      <c r="C86" s="1002"/>
      <c r="D86" s="1013"/>
    </row>
    <row r="87" spans="1:4" x14ac:dyDescent="0.2">
      <c r="A87" s="998"/>
      <c r="B87" s="1001" t="s">
        <v>2047</v>
      </c>
      <c r="C87" s="1002">
        <f>C85+1</f>
        <v>25</v>
      </c>
      <c r="D87" s="1013" t="s">
        <v>1193</v>
      </c>
    </row>
    <row r="88" spans="1:4" ht="3" customHeight="1" x14ac:dyDescent="0.2">
      <c r="A88" s="998"/>
      <c r="B88" s="1005"/>
      <c r="C88" s="1002"/>
      <c r="D88" s="1013"/>
    </row>
    <row r="89" spans="1:4" x14ac:dyDescent="0.2">
      <c r="A89" s="998"/>
      <c r="B89" s="1001" t="s">
        <v>2047</v>
      </c>
      <c r="C89" s="1002">
        <f>C87+1</f>
        <v>26</v>
      </c>
      <c r="D89" s="1013" t="s">
        <v>1192</v>
      </c>
    </row>
    <row r="90" spans="1:4" ht="3" customHeight="1" x14ac:dyDescent="0.2">
      <c r="A90" s="998"/>
      <c r="B90" s="1005"/>
      <c r="C90" s="1002"/>
      <c r="D90" s="1013"/>
    </row>
    <row r="91" spans="1:4" x14ac:dyDescent="0.2">
      <c r="A91" s="998"/>
      <c r="B91" s="1001" t="s">
        <v>2188</v>
      </c>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t="s">
        <v>2047</v>
      </c>
      <c r="C96" s="1002">
        <f>C91+1</f>
        <v>28</v>
      </c>
      <c r="D96" s="1013" t="s">
        <v>1700</v>
      </c>
    </row>
    <row r="97" spans="1:4" ht="3" customHeight="1" x14ac:dyDescent="0.2">
      <c r="A97" s="998"/>
      <c r="B97" s="1005"/>
      <c r="C97" s="1002"/>
      <c r="D97" s="1013"/>
    </row>
    <row r="98" spans="1:4" x14ac:dyDescent="0.2">
      <c r="A98" s="998"/>
      <c r="B98" s="1001" t="s">
        <v>2047</v>
      </c>
      <c r="C98" s="1002">
        <f>C96+1</f>
        <v>29</v>
      </c>
      <c r="D98" s="1027" t="s">
        <v>1701</v>
      </c>
    </row>
    <row r="99" spans="1:4" ht="3" customHeight="1" x14ac:dyDescent="0.2">
      <c r="A99" s="998"/>
      <c r="B99" s="1005"/>
      <c r="C99" s="1002"/>
      <c r="D99" s="1027"/>
    </row>
    <row r="100" spans="1:4" x14ac:dyDescent="0.2">
      <c r="A100" s="998"/>
      <c r="B100" s="1001" t="s">
        <v>2047</v>
      </c>
      <c r="C100" s="1002">
        <f>C98+1</f>
        <v>30</v>
      </c>
      <c r="D100" s="1013" t="s">
        <v>1702</v>
      </c>
    </row>
    <row r="101" spans="1:4" ht="3" customHeight="1" x14ac:dyDescent="0.2">
      <c r="A101" s="998"/>
      <c r="B101" s="1005"/>
      <c r="C101" s="1002"/>
      <c r="D101" s="1028"/>
    </row>
    <row r="102" spans="1:4" x14ac:dyDescent="0.2">
      <c r="A102" s="998"/>
      <c r="B102" s="1001" t="s">
        <v>2047</v>
      </c>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t="s">
        <v>2047</v>
      </c>
      <c r="C106" s="1002">
        <f>C102+1</f>
        <v>32</v>
      </c>
      <c r="D106" s="997" t="s">
        <v>1565</v>
      </c>
    </row>
    <row r="107" spans="1:4" ht="3" customHeight="1" x14ac:dyDescent="0.2">
      <c r="A107" s="998"/>
      <c r="B107" s="1005"/>
      <c r="C107" s="1002"/>
      <c r="D107" s="997"/>
    </row>
    <row r="108" spans="1:4" x14ac:dyDescent="0.2">
      <c r="A108" s="998"/>
      <c r="B108" s="1001" t="s">
        <v>2047</v>
      </c>
      <c r="C108" s="1002">
        <v>33</v>
      </c>
      <c r="D108" s="997" t="s">
        <v>1703</v>
      </c>
    </row>
    <row r="109" spans="1:4" ht="3" customHeight="1" x14ac:dyDescent="0.2">
      <c r="A109" s="998"/>
      <c r="B109" s="1005"/>
      <c r="C109" s="1002"/>
      <c r="D109" s="997"/>
    </row>
    <row r="110" spans="1:4" x14ac:dyDescent="0.2">
      <c r="A110" s="998"/>
      <c r="B110" s="1001" t="s">
        <v>2047</v>
      </c>
      <c r="C110" s="1002">
        <f>C108+1</f>
        <v>34</v>
      </c>
      <c r="D110" s="997" t="s">
        <v>1189</v>
      </c>
    </row>
    <row r="111" spans="1:4" ht="3" customHeight="1" x14ac:dyDescent="0.2">
      <c r="A111" s="998"/>
      <c r="B111" s="1005"/>
      <c r="C111" s="1002"/>
      <c r="D111" s="997"/>
    </row>
    <row r="112" spans="1:4" x14ac:dyDescent="0.2">
      <c r="A112" s="998"/>
      <c r="B112" s="1001" t="s">
        <v>2047</v>
      </c>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t="s">
        <v>2188</v>
      </c>
      <c r="C115" s="1002">
        <f>C112+1</f>
        <v>36</v>
      </c>
      <c r="D115" s="1013" t="s">
        <v>1186</v>
      </c>
    </row>
    <row r="116" spans="1:4" ht="3" customHeight="1" x14ac:dyDescent="0.2">
      <c r="A116" s="998"/>
      <c r="B116" s="1005"/>
      <c r="C116" s="1002"/>
      <c r="D116" s="1013"/>
    </row>
    <row r="117" spans="1:4" x14ac:dyDescent="0.2">
      <c r="A117" s="998"/>
      <c r="B117" s="1001" t="s">
        <v>2188</v>
      </c>
      <c r="C117" s="1002">
        <f>C115+1</f>
        <v>37</v>
      </c>
      <c r="D117" s="1013" t="s">
        <v>1704</v>
      </c>
    </row>
    <row r="118" spans="1:4" ht="3" customHeight="1" x14ac:dyDescent="0.2">
      <c r="A118" s="998"/>
      <c r="B118" s="1005"/>
      <c r="C118" s="1002"/>
      <c r="D118" s="1013"/>
    </row>
    <row r="119" spans="1:4" x14ac:dyDescent="0.2">
      <c r="A119" s="998"/>
      <c r="B119" s="1001" t="s">
        <v>2188</v>
      </c>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t="s">
        <v>2047</v>
      </c>
      <c r="C123" s="1002">
        <f>C119+1</f>
        <v>39</v>
      </c>
      <c r="D123" s="1023" t="s">
        <v>1806</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7" sqref="D4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LaGrange SD 102</v>
      </c>
      <c r="B1" s="2571"/>
      <c r="C1" s="2571"/>
      <c r="D1" s="2571"/>
      <c r="E1" s="2571"/>
    </row>
    <row r="2" spans="1:5" x14ac:dyDescent="0.2">
      <c r="A2" s="2572">
        <f>'Single Audit Cover'!E7</f>
        <v>6016102002</v>
      </c>
      <c r="B2" s="2572"/>
      <c r="C2" s="2572"/>
      <c r="D2" s="2572"/>
      <c r="E2" s="2572"/>
    </row>
    <row r="3" spans="1:5" ht="4.5" customHeight="1" x14ac:dyDescent="0.2"/>
    <row r="4" spans="1:5" x14ac:dyDescent="0.2">
      <c r="A4" s="2571" t="s">
        <v>1235</v>
      </c>
      <c r="B4" s="2571"/>
      <c r="C4" s="2571"/>
      <c r="D4" s="2571"/>
      <c r="E4" s="2571"/>
    </row>
    <row r="5" spans="1:5" x14ac:dyDescent="0.2">
      <c r="A5" s="2574" t="str">
        <f>'Single Audit Cover'!A4</f>
        <v>Year Ending June 30, 2020</v>
      </c>
      <c r="B5" s="2574"/>
      <c r="C5" s="2574"/>
      <c r="D5" s="2574"/>
      <c r="E5" s="2574"/>
    </row>
    <row r="6" spans="1:5" x14ac:dyDescent="0.2">
      <c r="A6" s="2571" t="s">
        <v>1234</v>
      </c>
      <c r="B6" s="2571"/>
      <c r="C6" s="2571"/>
      <c r="D6" s="2571"/>
      <c r="E6" s="2571"/>
    </row>
    <row r="8" spans="1:5" x14ac:dyDescent="0.2">
      <c r="A8" s="1036" t="s">
        <v>1233</v>
      </c>
    </row>
    <row r="10" spans="1:5" x14ac:dyDescent="0.2">
      <c r="A10" s="1037" t="s">
        <v>1232</v>
      </c>
      <c r="B10" s="1038" t="s">
        <v>1231</v>
      </c>
      <c r="C10" s="1038"/>
      <c r="D10" s="1039">
        <f>SUM('Acct Summary 7-8'!C7:K7)</f>
        <v>1361219</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2000</v>
      </c>
      <c r="B14" s="1038"/>
      <c r="C14" s="1038"/>
      <c r="D14" s="1040">
        <f>'ICR Computation 30'!E11</f>
        <v>19372</v>
      </c>
    </row>
    <row r="15" spans="1:5" x14ac:dyDescent="0.2">
      <c r="A15" s="1037"/>
      <c r="B15" s="1038"/>
      <c r="C15" s="1038"/>
    </row>
    <row r="16" spans="1:5" x14ac:dyDescent="0.2">
      <c r="A16" s="1037" t="s">
        <v>1811</v>
      </c>
      <c r="B16" s="1038"/>
      <c r="C16" s="1038"/>
    </row>
    <row r="17" spans="1:4" x14ac:dyDescent="0.2">
      <c r="A17" s="1037" t="s">
        <v>1960</v>
      </c>
      <c r="B17" s="1038" t="s">
        <v>1226</v>
      </c>
      <c r="C17" s="1038"/>
      <c r="D17" s="1040">
        <f>-SUM('Revenues 9-14'!C264:D264,'Revenues 9-14'!F264:G264)</f>
        <v>-134161</v>
      </c>
    </row>
    <row r="19" spans="1:4" ht="13.5" thickBot="1" x14ac:dyDescent="0.25">
      <c r="A19" s="1041" t="s">
        <v>1225</v>
      </c>
      <c r="D19" s="1042">
        <f>SUM(D10:D17)</f>
        <v>1246430</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1223</v>
      </c>
      <c r="D32" s="1039">
        <f>SUM(D19:D30)</f>
        <v>1246430</v>
      </c>
    </row>
    <row r="33" spans="1:4" x14ac:dyDescent="0.2">
      <c r="D33" s="1045"/>
    </row>
    <row r="34" spans="1:4" x14ac:dyDescent="0.2">
      <c r="A34" s="295" t="s">
        <v>1222</v>
      </c>
    </row>
    <row r="35" spans="1:4" x14ac:dyDescent="0.2">
      <c r="A35" s="295" t="s">
        <v>1221</v>
      </c>
      <c r="B35" s="1034" t="s">
        <v>1220</v>
      </c>
      <c r="D35" s="1046">
        <v>1246430</v>
      </c>
    </row>
    <row r="37" spans="1:4" x14ac:dyDescent="0.2">
      <c r="A37" s="1036" t="s">
        <v>1219</v>
      </c>
    </row>
    <row r="39" spans="1:4" ht="13.35" customHeight="1" x14ac:dyDescent="0.2">
      <c r="A39" s="1043" t="s">
        <v>1218</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1217</v>
      </c>
      <c r="C47" s="1048"/>
      <c r="D47" s="1049">
        <f>SUM(D35:D45)</f>
        <v>1246430</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156"/>
  <sheetViews>
    <sheetView showGridLines="0" topLeftCell="A7" zoomScaleNormal="100" workbookViewId="0">
      <selection activeCell="E30" sqref="E3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LaGrange SD 102</v>
      </c>
      <c r="C1" s="2575"/>
      <c r="D1" s="2575"/>
      <c r="E1" s="2575"/>
      <c r="F1" s="2575"/>
      <c r="G1" s="2575"/>
      <c r="H1" s="2575"/>
      <c r="I1" s="2575"/>
      <c r="J1" s="2575"/>
      <c r="K1" s="2575"/>
      <c r="L1" s="2575"/>
      <c r="M1" s="2575"/>
    </row>
    <row r="2" spans="2:14" ht="15" x14ac:dyDescent="0.2">
      <c r="B2" s="2576">
        <f>'Single Audit Cover'!E7</f>
        <v>6016102002</v>
      </c>
      <c r="C2" s="2576"/>
      <c r="D2" s="2576"/>
      <c r="E2" s="2576"/>
      <c r="F2" s="2576"/>
      <c r="G2" s="2576"/>
      <c r="H2" s="2576"/>
      <c r="I2" s="2576"/>
      <c r="J2" s="2576"/>
      <c r="K2" s="2576"/>
      <c r="L2" s="2576"/>
      <c r="M2" s="2576"/>
      <c r="N2" s="1078"/>
    </row>
    <row r="3" spans="2:14" ht="15" x14ac:dyDescent="0.2">
      <c r="B3" s="2577" t="s">
        <v>1209</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1255</v>
      </c>
      <c r="E6" s="1082" t="s">
        <v>523</v>
      </c>
      <c r="F6" s="1083"/>
      <c r="G6" s="1084" t="s">
        <v>1710</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2150</v>
      </c>
      <c r="C11" s="1821"/>
      <c r="D11" s="1822"/>
      <c r="E11" s="1823"/>
      <c r="F11" s="1823"/>
      <c r="G11" s="1823"/>
      <c r="H11" s="1823"/>
      <c r="I11" s="1823"/>
      <c r="J11" s="1823"/>
      <c r="K11" s="1823"/>
      <c r="L11" s="1823">
        <f>+G11+I11+K11</f>
        <v>0</v>
      </c>
      <c r="M11" s="1823"/>
    </row>
    <row r="12" spans="2:14" ht="20.100000000000001" customHeight="1" x14ac:dyDescent="0.2">
      <c r="B12" s="1113" t="s">
        <v>2133</v>
      </c>
      <c r="C12" s="1824"/>
      <c r="D12" s="1825"/>
      <c r="E12" s="1826"/>
      <c r="F12" s="1826"/>
      <c r="G12" s="1826"/>
      <c r="H12" s="1826"/>
      <c r="I12" s="1826"/>
      <c r="J12" s="1826"/>
      <c r="K12" s="1826"/>
      <c r="L12" s="1823">
        <f t="shared" ref="L12:L31" si="0">+G12+I12+K12</f>
        <v>0</v>
      </c>
      <c r="M12" s="1826"/>
    </row>
    <row r="13" spans="2:14" ht="20.100000000000001" customHeight="1" x14ac:dyDescent="0.2">
      <c r="B13" s="2040" t="s">
        <v>2167</v>
      </c>
      <c r="C13" s="1824"/>
      <c r="D13" s="1825"/>
      <c r="E13" s="1826"/>
      <c r="F13" s="1826"/>
      <c r="G13" s="1826"/>
      <c r="H13" s="1826"/>
      <c r="I13" s="1826"/>
      <c r="J13" s="1826"/>
      <c r="K13" s="1826"/>
      <c r="L13" s="1823">
        <f t="shared" si="0"/>
        <v>0</v>
      </c>
      <c r="M13" s="1826"/>
    </row>
    <row r="14" spans="2:14" ht="20.100000000000001" customHeight="1" x14ac:dyDescent="0.2">
      <c r="B14" s="2041" t="s">
        <v>2134</v>
      </c>
      <c r="C14" s="1824">
        <v>84.027000000000001</v>
      </c>
      <c r="D14" s="1825" t="s">
        <v>2137</v>
      </c>
      <c r="E14" s="1826">
        <v>191037</v>
      </c>
      <c r="F14" s="1826"/>
      <c r="G14" s="1826">
        <v>13753</v>
      </c>
      <c r="H14" s="1826"/>
      <c r="I14" s="1826"/>
      <c r="J14" s="1826"/>
      <c r="K14" s="1826"/>
      <c r="L14" s="1823">
        <f t="shared" si="0"/>
        <v>13753</v>
      </c>
      <c r="M14" s="1826">
        <v>691977</v>
      </c>
    </row>
    <row r="15" spans="2:14" ht="20.100000000000001" customHeight="1" x14ac:dyDescent="0.2">
      <c r="B15" s="2041" t="s">
        <v>2134</v>
      </c>
      <c r="C15" s="1824">
        <v>84.027000000000001</v>
      </c>
      <c r="D15" s="1825" t="s">
        <v>2138</v>
      </c>
      <c r="E15" s="1826">
        <v>435177</v>
      </c>
      <c r="F15" s="1826">
        <v>167616</v>
      </c>
      <c r="G15" s="1826">
        <v>602793</v>
      </c>
      <c r="H15" s="1826"/>
      <c r="I15" s="1826"/>
      <c r="J15" s="1826"/>
      <c r="K15" s="1826"/>
      <c r="L15" s="1823">
        <f t="shared" si="0"/>
        <v>602793</v>
      </c>
      <c r="M15" s="1826">
        <v>632240</v>
      </c>
    </row>
    <row r="16" spans="2:14" ht="20.100000000000001" customHeight="1" x14ac:dyDescent="0.2">
      <c r="B16" s="2041" t="s">
        <v>2135</v>
      </c>
      <c r="C16" s="1824">
        <v>84.173000000000002</v>
      </c>
      <c r="D16" s="1825" t="s">
        <v>2140</v>
      </c>
      <c r="E16" s="1826">
        <v>17535</v>
      </c>
      <c r="F16" s="1826"/>
      <c r="G16" s="1826"/>
      <c r="H16" s="1826"/>
      <c r="I16" s="1826"/>
      <c r="J16" s="1826"/>
      <c r="K16" s="1826"/>
      <c r="L16" s="1823">
        <f t="shared" si="0"/>
        <v>0</v>
      </c>
      <c r="M16" s="1826">
        <v>73259</v>
      </c>
    </row>
    <row r="17" spans="1:14" ht="20.100000000000001" customHeight="1" x14ac:dyDescent="0.2">
      <c r="B17" s="2041" t="s">
        <v>2135</v>
      </c>
      <c r="C17" s="1824">
        <v>84.173000000000002</v>
      </c>
      <c r="D17" s="1825" t="s">
        <v>2141</v>
      </c>
      <c r="E17" s="1826">
        <v>40777</v>
      </c>
      <c r="F17" s="1826">
        <v>15498</v>
      </c>
      <c r="G17" s="1826">
        <v>56275</v>
      </c>
      <c r="H17" s="1826"/>
      <c r="I17" s="1826"/>
      <c r="J17" s="1826"/>
      <c r="K17" s="1826"/>
      <c r="L17" s="1823">
        <f t="shared" si="0"/>
        <v>56275</v>
      </c>
      <c r="M17" s="1826">
        <v>67393</v>
      </c>
    </row>
    <row r="18" spans="1:14" ht="20.100000000000001" customHeight="1" x14ac:dyDescent="0.2">
      <c r="B18" s="2042" t="s">
        <v>2136</v>
      </c>
      <c r="C18" s="1824"/>
      <c r="D18" s="1825"/>
      <c r="E18" s="1826">
        <f t="shared" ref="E18:L18" si="1">SUM(E14:E17)</f>
        <v>684526</v>
      </c>
      <c r="F18" s="1826">
        <f t="shared" si="1"/>
        <v>183114</v>
      </c>
      <c r="G18" s="1826">
        <f t="shared" si="1"/>
        <v>672821</v>
      </c>
      <c r="H18" s="1826">
        <f t="shared" si="1"/>
        <v>0</v>
      </c>
      <c r="I18" s="1826">
        <f t="shared" si="1"/>
        <v>0</v>
      </c>
      <c r="J18" s="1826">
        <f t="shared" si="1"/>
        <v>0</v>
      </c>
      <c r="K18" s="1826">
        <f t="shared" si="1"/>
        <v>0</v>
      </c>
      <c r="L18" s="1823">
        <f t="shared" si="1"/>
        <v>672821</v>
      </c>
      <c r="M18" s="1826"/>
    </row>
    <row r="19" spans="1:14" ht="20.100000000000001" customHeight="1" x14ac:dyDescent="0.2">
      <c r="B19" s="1113"/>
      <c r="C19" s="1824"/>
      <c r="D19" s="1825"/>
      <c r="E19" s="1826"/>
      <c r="F19" s="1826"/>
      <c r="G19" s="1826"/>
      <c r="H19" s="1826"/>
      <c r="I19" s="1826"/>
      <c r="J19" s="1826"/>
      <c r="K19" s="1826"/>
      <c r="L19" s="1823">
        <f t="shared" si="0"/>
        <v>0</v>
      </c>
      <c r="M19" s="1826"/>
    </row>
    <row r="20" spans="1:14" ht="20.100000000000001" customHeight="1" x14ac:dyDescent="0.2">
      <c r="B20" s="2040" t="s">
        <v>2166</v>
      </c>
      <c r="C20" s="1824"/>
      <c r="D20" s="1825"/>
      <c r="E20" s="1826"/>
      <c r="F20" s="1826"/>
      <c r="G20" s="1826"/>
      <c r="H20" s="1826"/>
      <c r="I20" s="1826"/>
      <c r="J20" s="1826"/>
      <c r="K20" s="1826"/>
      <c r="L20" s="1823">
        <f t="shared" si="0"/>
        <v>0</v>
      </c>
      <c r="M20" s="1826"/>
    </row>
    <row r="21" spans="1:14" ht="20.100000000000001" customHeight="1" x14ac:dyDescent="0.2">
      <c r="B21" s="2041" t="s">
        <v>2143</v>
      </c>
      <c r="C21" s="1824">
        <v>84.027000000000001</v>
      </c>
      <c r="D21" s="1825" t="s">
        <v>2146</v>
      </c>
      <c r="E21" s="1826">
        <v>12765</v>
      </c>
      <c r="F21" s="1826"/>
      <c r="G21" s="1826">
        <v>12765</v>
      </c>
      <c r="H21" s="1826"/>
      <c r="I21" s="1826"/>
      <c r="J21" s="1826"/>
      <c r="K21" s="1826"/>
      <c r="L21" s="1823">
        <f t="shared" ref="L21:L27" si="2">+G21+I21+K21</f>
        <v>12765</v>
      </c>
      <c r="M21" s="1826" t="s">
        <v>2188</v>
      </c>
    </row>
    <row r="22" spans="1:14" ht="20.100000000000001" customHeight="1" x14ac:dyDescent="0.2">
      <c r="B22" s="2041" t="s">
        <v>2143</v>
      </c>
      <c r="C22" s="1824">
        <v>84.027000000000001</v>
      </c>
      <c r="D22" s="1825" t="s">
        <v>2147</v>
      </c>
      <c r="E22" s="1826"/>
      <c r="F22" s="1826">
        <v>41561</v>
      </c>
      <c r="G22" s="1826">
        <v>16588</v>
      </c>
      <c r="H22" s="1826"/>
      <c r="I22" s="1826">
        <v>24973</v>
      </c>
      <c r="J22" s="1826"/>
      <c r="K22" s="1826"/>
      <c r="L22" s="1823">
        <f t="shared" si="2"/>
        <v>41561</v>
      </c>
      <c r="M22" s="1826" t="s">
        <v>2188</v>
      </c>
    </row>
    <row r="23" spans="1:14" ht="20.100000000000001" customHeight="1" x14ac:dyDescent="0.2">
      <c r="B23" s="2041" t="s">
        <v>2144</v>
      </c>
      <c r="C23" s="1824">
        <v>84.027000000000001</v>
      </c>
      <c r="D23" s="1825" t="s">
        <v>2148</v>
      </c>
      <c r="E23" s="1826">
        <v>7438</v>
      </c>
      <c r="F23" s="1826"/>
      <c r="G23" s="1826"/>
      <c r="H23" s="1826"/>
      <c r="I23" s="1826"/>
      <c r="J23" s="1826"/>
      <c r="K23" s="1826"/>
      <c r="L23" s="1823">
        <f t="shared" si="2"/>
        <v>0</v>
      </c>
      <c r="M23" s="1826" t="s">
        <v>2188</v>
      </c>
    </row>
    <row r="24" spans="1:14" ht="20.100000000000001" customHeight="1" x14ac:dyDescent="0.2">
      <c r="A24" s="295" t="s">
        <v>2187</v>
      </c>
      <c r="B24" s="2041" t="s">
        <v>2144</v>
      </c>
      <c r="C24" s="1824">
        <v>84.027000000000001</v>
      </c>
      <c r="D24" s="1825" t="s">
        <v>2186</v>
      </c>
      <c r="E24" s="1826"/>
      <c r="F24" s="1826">
        <v>28415</v>
      </c>
      <c r="G24" s="1826"/>
      <c r="H24" s="1826"/>
      <c r="I24" s="1826">
        <v>28415</v>
      </c>
      <c r="J24" s="1826"/>
      <c r="K24" s="1826"/>
      <c r="L24" s="1823">
        <f t="shared" si="2"/>
        <v>28415</v>
      </c>
      <c r="M24" s="1826" t="s">
        <v>2188</v>
      </c>
    </row>
    <row r="25" spans="1:14" ht="20.100000000000001" customHeight="1" x14ac:dyDescent="0.2">
      <c r="B25" s="2041" t="s">
        <v>2143</v>
      </c>
      <c r="C25" s="1824">
        <v>84.027000000000001</v>
      </c>
      <c r="D25" s="1825" t="s">
        <v>2151</v>
      </c>
      <c r="E25" s="1826"/>
      <c r="F25" s="1826">
        <v>52410</v>
      </c>
      <c r="G25" s="1826"/>
      <c r="H25" s="1826"/>
      <c r="I25" s="1826">
        <v>52411</v>
      </c>
      <c r="J25" s="1826"/>
      <c r="K25" s="1826"/>
      <c r="L25" s="1823">
        <f t="shared" si="2"/>
        <v>52411</v>
      </c>
      <c r="M25" s="1826" t="s">
        <v>2188</v>
      </c>
    </row>
    <row r="26" spans="1:14" ht="20.100000000000001" customHeight="1" x14ac:dyDescent="0.2">
      <c r="B26" s="2041" t="s">
        <v>2134</v>
      </c>
      <c r="C26" s="1824">
        <v>84.027000000000001</v>
      </c>
      <c r="D26" s="1825" t="s">
        <v>2139</v>
      </c>
      <c r="E26" s="1826"/>
      <c r="F26" s="1826">
        <v>420095</v>
      </c>
      <c r="G26" s="1826"/>
      <c r="H26" s="1826"/>
      <c r="I26" s="1826">
        <v>733452</v>
      </c>
      <c r="J26" s="1826"/>
      <c r="K26" s="1826"/>
      <c r="L26" s="1823">
        <f t="shared" si="2"/>
        <v>733452</v>
      </c>
      <c r="M26" s="1826">
        <v>746751</v>
      </c>
    </row>
    <row r="27" spans="1:14" ht="20.100000000000001" customHeight="1" x14ac:dyDescent="0.2">
      <c r="B27" s="2041" t="s">
        <v>2135</v>
      </c>
      <c r="C27" s="1824">
        <v>84.173000000000002</v>
      </c>
      <c r="D27" s="1825" t="s">
        <v>2142</v>
      </c>
      <c r="E27" s="1826"/>
      <c r="F27" s="1826">
        <v>10152</v>
      </c>
      <c r="G27" s="1826"/>
      <c r="H27" s="1826"/>
      <c r="I27" s="1826">
        <v>15852</v>
      </c>
      <c r="J27" s="1826"/>
      <c r="K27" s="1826"/>
      <c r="L27" s="1823">
        <f t="shared" si="2"/>
        <v>15852</v>
      </c>
      <c r="M27" s="1826">
        <v>45101</v>
      </c>
    </row>
    <row r="28" spans="1:14" ht="20.100000000000001" customHeight="1" x14ac:dyDescent="0.2">
      <c r="B28" s="2042" t="s">
        <v>2145</v>
      </c>
      <c r="C28" s="1824"/>
      <c r="D28" s="1825"/>
      <c r="E28" s="1826">
        <f t="shared" ref="E28:L28" si="3">SUM(E21:E27)</f>
        <v>20203</v>
      </c>
      <c r="F28" s="1826">
        <f t="shared" si="3"/>
        <v>552633</v>
      </c>
      <c r="G28" s="1826">
        <f t="shared" si="3"/>
        <v>29353</v>
      </c>
      <c r="H28" s="1826">
        <f t="shared" si="3"/>
        <v>0</v>
      </c>
      <c r="I28" s="1826">
        <f t="shared" si="3"/>
        <v>855103</v>
      </c>
      <c r="J28" s="1826">
        <f t="shared" si="3"/>
        <v>0</v>
      </c>
      <c r="K28" s="1826">
        <f t="shared" si="3"/>
        <v>0</v>
      </c>
      <c r="L28" s="1823">
        <f t="shared" si="3"/>
        <v>884456</v>
      </c>
      <c r="M28" s="1826"/>
    </row>
    <row r="29" spans="1:14" ht="20.100000000000001" customHeight="1" x14ac:dyDescent="0.2">
      <c r="B29" s="1113"/>
      <c r="C29" s="1824"/>
      <c r="D29" s="1825"/>
      <c r="E29" s="1826"/>
      <c r="F29" s="1826"/>
      <c r="G29" s="1826"/>
      <c r="H29" s="1826"/>
      <c r="I29" s="1826"/>
      <c r="J29" s="1826"/>
      <c r="K29" s="1826"/>
      <c r="L29" s="1823"/>
      <c r="M29" s="1826"/>
    </row>
    <row r="30" spans="1:14" ht="20.100000000000001" customHeight="1" x14ac:dyDescent="0.2">
      <c r="B30" s="2043" t="s">
        <v>2149</v>
      </c>
      <c r="C30" s="1824"/>
      <c r="D30" s="1825"/>
      <c r="E30" s="1826">
        <f t="shared" ref="E30:L30" si="4">E18+E28</f>
        <v>704729</v>
      </c>
      <c r="F30" s="1826">
        <f t="shared" si="4"/>
        <v>735747</v>
      </c>
      <c r="G30" s="1826">
        <f t="shared" si="4"/>
        <v>702174</v>
      </c>
      <c r="H30" s="1826">
        <f t="shared" si="4"/>
        <v>0</v>
      </c>
      <c r="I30" s="1826">
        <f t="shared" si="4"/>
        <v>855103</v>
      </c>
      <c r="J30" s="1826">
        <f t="shared" si="4"/>
        <v>0</v>
      </c>
      <c r="K30" s="1826">
        <f t="shared" si="4"/>
        <v>0</v>
      </c>
      <c r="L30" s="1823">
        <f t="shared" si="4"/>
        <v>1557277</v>
      </c>
      <c r="M30" s="1826"/>
    </row>
    <row r="31" spans="1:14" ht="20.100000000000001" customHeight="1" x14ac:dyDescent="0.2">
      <c r="B31" s="1113"/>
      <c r="C31" s="1824"/>
      <c r="D31" s="1825"/>
      <c r="E31" s="1826"/>
      <c r="F31" s="1826"/>
      <c r="G31" s="1826"/>
      <c r="H31" s="1826"/>
      <c r="I31" s="1826"/>
      <c r="J31" s="1826"/>
      <c r="K31" s="1826"/>
      <c r="L31" s="1823">
        <f t="shared" si="0"/>
        <v>0</v>
      </c>
      <c r="M31" s="1826"/>
      <c r="N31" s="1114"/>
    </row>
    <row r="32" spans="1:14" ht="12.75" customHeight="1" x14ac:dyDescent="0.2">
      <c r="B32" s="1115"/>
      <c r="C32" s="1116"/>
      <c r="D32" s="1117"/>
      <c r="E32" s="1118"/>
      <c r="F32" s="1118"/>
      <c r="G32" s="1118"/>
      <c r="H32" s="1118"/>
      <c r="I32" s="1118"/>
      <c r="J32" s="1118"/>
      <c r="K32" s="1118"/>
      <c r="L32" s="1118"/>
      <c r="M32" s="1118"/>
      <c r="N32" s="1114"/>
    </row>
    <row r="33" spans="2:14" x14ac:dyDescent="0.2">
      <c r="B33" s="1033"/>
      <c r="C33" s="1119"/>
      <c r="D33" s="1120"/>
      <c r="E33" s="1033"/>
      <c r="F33" s="1033"/>
      <c r="G33" s="1026"/>
      <c r="H33" s="1026"/>
      <c r="I33" s="1026"/>
      <c r="J33" s="1026"/>
      <c r="K33" s="1026"/>
      <c r="L33" s="1026"/>
      <c r="M33" s="1033"/>
      <c r="N33" s="1114"/>
    </row>
    <row r="34" spans="2:14" ht="13.5" customHeight="1" x14ac:dyDescent="0.2">
      <c r="B34" s="1058" t="s">
        <v>1713</v>
      </c>
      <c r="C34" s="1119"/>
      <c r="D34" s="1120"/>
      <c r="E34" s="1033"/>
      <c r="F34" s="1033"/>
      <c r="G34" s="1026"/>
      <c r="H34" s="1026"/>
      <c r="I34" s="1026"/>
      <c r="J34" s="1026"/>
      <c r="K34" s="1026"/>
      <c r="L34" s="1026"/>
      <c r="M34" s="1033"/>
      <c r="N34" s="1114"/>
    </row>
    <row r="35" spans="2:14" ht="8.25" customHeight="1" x14ac:dyDescent="0.2">
      <c r="B35" s="1058"/>
      <c r="C35" s="1119"/>
      <c r="D35" s="1120"/>
      <c r="E35" s="1033"/>
      <c r="F35" s="1033"/>
      <c r="G35" s="1026"/>
      <c r="H35" s="1026"/>
      <c r="I35" s="1026"/>
      <c r="J35" s="1026"/>
      <c r="K35" s="1026"/>
      <c r="L35" s="1026"/>
      <c r="M35" s="1033"/>
      <c r="N35" s="1114"/>
    </row>
    <row r="36" spans="2:14" x14ac:dyDescent="0.2">
      <c r="B36" s="1121" t="s">
        <v>1808</v>
      </c>
      <c r="C36" s="1122"/>
      <c r="D36" s="1123"/>
      <c r="E36" s="1124"/>
      <c r="F36" s="1124"/>
      <c r="G36" s="1124"/>
      <c r="H36" s="1124"/>
      <c r="I36" s="295"/>
      <c r="J36" s="295"/>
    </row>
    <row r="37" spans="2:14" x14ac:dyDescent="0.2">
      <c r="B37" s="1053"/>
      <c r="C37" s="1125"/>
      <c r="D37" s="1126"/>
      <c r="E37" s="1054"/>
      <c r="F37" s="1054"/>
      <c r="G37" s="295"/>
      <c r="H37" s="295"/>
      <c r="I37" s="295"/>
      <c r="J37" s="295"/>
    </row>
    <row r="38" spans="2:14" ht="13.5" customHeight="1" x14ac:dyDescent="0.2">
      <c r="B38" s="1052" t="s">
        <v>1236</v>
      </c>
      <c r="G38" s="295"/>
      <c r="H38" s="295"/>
      <c r="I38" s="295"/>
      <c r="J38" s="295"/>
    </row>
    <row r="39" spans="2:14" ht="13.5" customHeight="1" x14ac:dyDescent="0.2">
      <c r="B39" s="1129"/>
      <c r="C39" s="1130"/>
      <c r="D39" s="1131"/>
      <c r="E39" s="1073"/>
      <c r="F39" s="1073"/>
      <c r="G39" s="1073"/>
      <c r="H39" s="1073"/>
      <c r="I39" s="1073"/>
      <c r="J39" s="1073"/>
      <c r="K39" s="1132"/>
      <c r="L39" s="1132"/>
      <c r="M39" s="1073"/>
    </row>
    <row r="40" spans="2:14" ht="9.6" customHeight="1" x14ac:dyDescent="0.2">
      <c r="B40" s="1133"/>
      <c r="G40" s="295"/>
      <c r="H40" s="295"/>
      <c r="I40" s="295"/>
      <c r="J40" s="295"/>
    </row>
    <row r="41" spans="2:14" ht="11.25" customHeight="1" x14ac:dyDescent="0.2">
      <c r="B41" s="1134" t="s">
        <v>1714</v>
      </c>
      <c r="C41" s="1135"/>
      <c r="D41" s="1135"/>
      <c r="E41" s="1135"/>
      <c r="F41" s="1135"/>
      <c r="G41" s="1135"/>
      <c r="H41" s="1135"/>
      <c r="I41" s="1136"/>
      <c r="J41" s="1136"/>
      <c r="K41" s="1136"/>
      <c r="L41" s="1136"/>
      <c r="M41" s="1136"/>
    </row>
    <row r="42" spans="2:14" ht="11.25" customHeight="1" x14ac:dyDescent="0.2">
      <c r="B42" s="1137" t="s">
        <v>1569</v>
      </c>
      <c r="C42" s="1136"/>
      <c r="D42" s="1136"/>
      <c r="E42" s="1136"/>
      <c r="F42" s="1136"/>
      <c r="G42" s="1136"/>
      <c r="H42" s="1136"/>
      <c r="I42" s="1136"/>
      <c r="J42" s="1136"/>
      <c r="K42" s="1136"/>
      <c r="L42" s="1136"/>
      <c r="M42" s="1136"/>
    </row>
    <row r="43" spans="2:14" ht="3.95" customHeight="1" x14ac:dyDescent="0.2">
      <c r="B43" s="1137"/>
      <c r="C43" s="1136"/>
      <c r="D43" s="1136"/>
      <c r="E43" s="1136"/>
      <c r="F43" s="1136"/>
      <c r="G43" s="1136"/>
      <c r="H43" s="1136"/>
      <c r="I43" s="1136"/>
      <c r="J43" s="1136"/>
      <c r="K43" s="1136"/>
      <c r="L43" s="1136"/>
      <c r="M43" s="1136"/>
    </row>
    <row r="44" spans="2:14" ht="11.25" customHeight="1" x14ac:dyDescent="0.2">
      <c r="B44" s="1134" t="s">
        <v>1715</v>
      </c>
      <c r="C44" s="1136"/>
      <c r="D44" s="1136"/>
      <c r="E44" s="1136"/>
      <c r="F44" s="1136"/>
      <c r="G44" s="1136"/>
      <c r="H44" s="1136"/>
      <c r="I44" s="1136"/>
      <c r="J44" s="1136"/>
      <c r="K44" s="1136"/>
      <c r="L44" s="1136"/>
      <c r="M44" s="1136"/>
    </row>
    <row r="45" spans="2:14" ht="11.25" customHeight="1" x14ac:dyDescent="0.2">
      <c r="B45" s="1076" t="s">
        <v>1570</v>
      </c>
      <c r="C45" s="1138"/>
      <c r="D45" s="1139"/>
      <c r="E45" s="1076"/>
      <c r="F45" s="1076"/>
      <c r="G45" s="1076"/>
      <c r="H45" s="1076"/>
      <c r="I45" s="1076"/>
      <c r="J45" s="1076"/>
      <c r="K45" s="1140"/>
      <c r="L45" s="1140"/>
      <c r="M45" s="1076"/>
    </row>
    <row r="46" spans="2:14" ht="3.95" customHeight="1" x14ac:dyDescent="0.2">
      <c r="B46" s="1076"/>
      <c r="C46" s="1138"/>
      <c r="D46" s="1139"/>
      <c r="E46" s="1076"/>
      <c r="F46" s="1076"/>
      <c r="G46" s="1076"/>
      <c r="H46" s="1076"/>
      <c r="I46" s="1076"/>
      <c r="J46" s="1076"/>
      <c r="K46" s="1140"/>
      <c r="L46" s="1140"/>
      <c r="M46" s="1076"/>
    </row>
    <row r="47" spans="2:14" ht="11.25" customHeight="1" x14ac:dyDescent="0.2">
      <c r="B47" s="1141" t="s">
        <v>1716</v>
      </c>
      <c r="C47" s="1138"/>
      <c r="D47" s="1139"/>
      <c r="E47" s="1076"/>
      <c r="F47" s="1076"/>
      <c r="G47" s="1076"/>
      <c r="H47" s="1076"/>
      <c r="I47" s="1076"/>
      <c r="J47" s="1076"/>
      <c r="K47" s="1140"/>
      <c r="L47" s="1140"/>
      <c r="M47" s="1076"/>
    </row>
    <row r="48" spans="2:14" ht="3.95" customHeight="1" x14ac:dyDescent="0.2">
      <c r="B48" s="1141"/>
      <c r="C48" s="1138"/>
      <c r="D48" s="1139"/>
      <c r="E48" s="1076"/>
      <c r="F48" s="1076"/>
      <c r="G48" s="1076"/>
      <c r="H48" s="1076"/>
      <c r="I48" s="1076"/>
      <c r="J48" s="1076"/>
      <c r="K48" s="1140"/>
      <c r="L48" s="1140"/>
      <c r="M48" s="1076"/>
    </row>
    <row r="49" spans="2:13" ht="11.25" customHeight="1" x14ac:dyDescent="0.2">
      <c r="B49" s="1142" t="s">
        <v>1717</v>
      </c>
      <c r="C49" s="1138"/>
      <c r="D49" s="1139"/>
      <c r="E49" s="1076"/>
      <c r="F49" s="1076"/>
      <c r="G49" s="1076"/>
      <c r="H49" s="1076"/>
      <c r="I49" s="1076"/>
      <c r="J49" s="1076"/>
      <c r="K49" s="1140"/>
      <c r="L49" s="1140"/>
      <c r="M49" s="1076"/>
    </row>
    <row r="50" spans="2:13" ht="11.25" customHeight="1" x14ac:dyDescent="0.2">
      <c r="B50" s="1076" t="s">
        <v>1571</v>
      </c>
      <c r="G50" s="295"/>
      <c r="H50" s="295"/>
      <c r="I50" s="295"/>
      <c r="J50" s="295"/>
    </row>
    <row r="51" spans="2:13" ht="11.1" customHeight="1" x14ac:dyDescent="0.2">
      <c r="B51" s="1076"/>
      <c r="G51" s="295"/>
      <c r="H51" s="295"/>
      <c r="I51" s="295"/>
      <c r="J51" s="295"/>
    </row>
    <row r="52" spans="2:13" ht="11.1" customHeight="1" x14ac:dyDescent="0.2">
      <c r="B52" s="1076"/>
      <c r="G52" s="295"/>
      <c r="H52" s="295"/>
      <c r="I52" s="295"/>
      <c r="J52" s="295"/>
    </row>
    <row r="53" spans="2:13" ht="13.5" customHeight="1" x14ac:dyDescent="0.2">
      <c r="M53" s="1143"/>
    </row>
    <row r="54" spans="2:13" ht="13.5" customHeight="1" x14ac:dyDescent="0.2">
      <c r="M54" s="1143"/>
    </row>
    <row r="55" spans="2:13" ht="13.5" customHeight="1" x14ac:dyDescent="0.2">
      <c r="M55" s="1143"/>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E1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157"/>
  <sheetViews>
    <sheetView showGridLines="0" topLeftCell="A8" zoomScaleNormal="100" workbookViewId="0">
      <selection activeCell="M31" sqref="M3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LaGrange SD 102</v>
      </c>
      <c r="C1" s="2575"/>
      <c r="D1" s="2575"/>
      <c r="E1" s="2575"/>
      <c r="F1" s="2575"/>
      <c r="G1" s="2575"/>
      <c r="H1" s="2575"/>
      <c r="I1" s="2575"/>
      <c r="J1" s="2575"/>
      <c r="K1" s="2575"/>
      <c r="L1" s="2575"/>
      <c r="M1" s="2575"/>
    </row>
    <row r="2" spans="2:14" ht="15" x14ac:dyDescent="0.2">
      <c r="B2" s="2576">
        <f>'Single Audit Cover'!E7</f>
        <v>6016102002</v>
      </c>
      <c r="C2" s="2576"/>
      <c r="D2" s="2576"/>
      <c r="E2" s="2576"/>
      <c r="F2" s="2576"/>
      <c r="G2" s="2576"/>
      <c r="H2" s="2576"/>
      <c r="I2" s="2576"/>
      <c r="J2" s="2576"/>
      <c r="K2" s="2576"/>
      <c r="L2" s="2576"/>
      <c r="M2" s="2576"/>
      <c r="N2" s="1078"/>
    </row>
    <row r="3" spans="2:14" ht="15" x14ac:dyDescent="0.2">
      <c r="B3" s="2577" t="s">
        <v>1209</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1255</v>
      </c>
      <c r="E6" s="1082" t="s">
        <v>523</v>
      </c>
      <c r="F6" s="1083"/>
      <c r="G6" s="1084" t="s">
        <v>1710</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2152</v>
      </c>
      <c r="C11" s="1821"/>
      <c r="D11" s="1822"/>
      <c r="E11" s="1823"/>
      <c r="F11" s="1823"/>
      <c r="G11" s="1823"/>
      <c r="H11" s="1823"/>
      <c r="I11" s="1823"/>
      <c r="J11" s="1823"/>
      <c r="K11" s="1823"/>
      <c r="L11" s="1823">
        <f>+G11+I11+K11</f>
        <v>0</v>
      </c>
      <c r="M11" s="1823"/>
    </row>
    <row r="12" spans="2:14" ht="20.100000000000001" customHeight="1" x14ac:dyDescent="0.2">
      <c r="B12" s="1113" t="s">
        <v>2153</v>
      </c>
      <c r="C12" s="1824"/>
      <c r="D12" s="1825"/>
      <c r="E12" s="1826"/>
      <c r="F12" s="1826"/>
      <c r="G12" s="1826"/>
      <c r="H12" s="1826"/>
      <c r="I12" s="1826"/>
      <c r="J12" s="1826"/>
      <c r="K12" s="1826"/>
      <c r="L12" s="1823">
        <f t="shared" ref="L12:L32" si="0">+G12+I12+K12</f>
        <v>0</v>
      </c>
      <c r="M12" s="1826"/>
    </row>
    <row r="13" spans="2:14" ht="20.100000000000001" customHeight="1" x14ac:dyDescent="0.2">
      <c r="B13" s="2040" t="s">
        <v>2166</v>
      </c>
      <c r="C13" s="1824"/>
      <c r="D13" s="1825"/>
      <c r="E13" s="1826"/>
      <c r="F13" s="1826"/>
      <c r="G13" s="1826"/>
      <c r="H13" s="1826"/>
      <c r="I13" s="1826"/>
      <c r="J13" s="1826"/>
      <c r="K13" s="1826"/>
      <c r="L13" s="1823">
        <f t="shared" si="0"/>
        <v>0</v>
      </c>
      <c r="M13" s="1826"/>
    </row>
    <row r="14" spans="2:14" ht="20.100000000000001" customHeight="1" x14ac:dyDescent="0.2">
      <c r="B14" s="2041" t="s">
        <v>2154</v>
      </c>
      <c r="C14" s="1824">
        <v>10.555</v>
      </c>
      <c r="D14" s="1825" t="s">
        <v>2156</v>
      </c>
      <c r="E14" s="1826">
        <v>37804</v>
      </c>
      <c r="F14" s="1826"/>
      <c r="G14" s="1826">
        <v>37804</v>
      </c>
      <c r="H14" s="1826"/>
      <c r="I14" s="1826"/>
      <c r="J14" s="1826"/>
      <c r="K14" s="1826"/>
      <c r="L14" s="1823">
        <f t="shared" si="0"/>
        <v>37804</v>
      </c>
      <c r="M14" s="1826" t="s">
        <v>2188</v>
      </c>
    </row>
    <row r="15" spans="2:14" ht="20.100000000000001" customHeight="1" x14ac:dyDescent="0.2">
      <c r="B15" s="2041" t="s">
        <v>2154</v>
      </c>
      <c r="C15" s="1824">
        <v>10.555</v>
      </c>
      <c r="D15" s="1825" t="s">
        <v>2157</v>
      </c>
      <c r="E15" s="1826">
        <v>95128</v>
      </c>
      <c r="F15" s="1826">
        <v>37210</v>
      </c>
      <c r="G15" s="1826">
        <v>95128</v>
      </c>
      <c r="H15" s="1826"/>
      <c r="I15" s="1826">
        <v>37210</v>
      </c>
      <c r="J15" s="1826"/>
      <c r="K15" s="1826"/>
      <c r="L15" s="1823">
        <f t="shared" si="0"/>
        <v>132338</v>
      </c>
      <c r="M15" s="1826" t="s">
        <v>2188</v>
      </c>
    </row>
    <row r="16" spans="2:14" ht="20.100000000000001" customHeight="1" x14ac:dyDescent="0.2">
      <c r="B16" s="2041" t="s">
        <v>2154</v>
      </c>
      <c r="C16" s="1824">
        <v>10.555</v>
      </c>
      <c r="D16" s="1825" t="s">
        <v>2158</v>
      </c>
      <c r="E16" s="1826"/>
      <c r="F16" s="1826">
        <v>78901</v>
      </c>
      <c r="G16" s="1826"/>
      <c r="H16" s="1826"/>
      <c r="I16" s="1826">
        <v>78901</v>
      </c>
      <c r="J16" s="1826"/>
      <c r="K16" s="1826"/>
      <c r="L16" s="1823">
        <f t="shared" si="0"/>
        <v>78901</v>
      </c>
      <c r="M16" s="1826" t="s">
        <v>2188</v>
      </c>
    </row>
    <row r="17" spans="1:14" ht="20.100000000000001" customHeight="1" x14ac:dyDescent="0.2">
      <c r="B17" s="2041" t="s">
        <v>2162</v>
      </c>
      <c r="C17" s="1824">
        <v>10.555</v>
      </c>
      <c r="D17" s="1825">
        <v>2019</v>
      </c>
      <c r="E17" s="1826">
        <v>7177</v>
      </c>
      <c r="F17" s="1826"/>
      <c r="G17" s="1826">
        <v>7177</v>
      </c>
      <c r="H17" s="1826"/>
      <c r="I17" s="1826"/>
      <c r="J17" s="1826"/>
      <c r="K17" s="1826"/>
      <c r="L17" s="1823">
        <f>+G16+I16+K16</f>
        <v>78901</v>
      </c>
      <c r="M17" s="1826" t="s">
        <v>2188</v>
      </c>
    </row>
    <row r="18" spans="1:14" ht="20.100000000000001" customHeight="1" x14ac:dyDescent="0.2">
      <c r="B18" s="2041" t="s">
        <v>2162</v>
      </c>
      <c r="C18" s="1824">
        <v>10.555</v>
      </c>
      <c r="D18" s="1825">
        <v>2020</v>
      </c>
      <c r="E18" s="1826"/>
      <c r="F18" s="1826">
        <v>10672</v>
      </c>
      <c r="G18" s="1826"/>
      <c r="H18" s="1826"/>
      <c r="I18" s="1826">
        <v>10672</v>
      </c>
      <c r="J18" s="1826"/>
      <c r="K18" s="1826"/>
      <c r="L18" s="1823">
        <f>+G16+I16+K16</f>
        <v>78901</v>
      </c>
      <c r="M18" s="1826" t="s">
        <v>2188</v>
      </c>
    </row>
    <row r="19" spans="1:14" ht="20.100000000000001" customHeight="1" x14ac:dyDescent="0.2">
      <c r="B19" s="2041" t="s">
        <v>2163</v>
      </c>
      <c r="C19" s="1824">
        <v>10.555</v>
      </c>
      <c r="D19" s="1825">
        <v>2019</v>
      </c>
      <c r="E19" s="1826">
        <v>9496</v>
      </c>
      <c r="F19" s="1826"/>
      <c r="G19" s="1826">
        <v>9496</v>
      </c>
      <c r="H19" s="1826"/>
      <c r="I19" s="1826"/>
      <c r="J19" s="1826"/>
      <c r="K19" s="1826"/>
      <c r="L19" s="1823">
        <f>+G16+I16+K16</f>
        <v>78901</v>
      </c>
      <c r="M19" s="1826" t="s">
        <v>2188</v>
      </c>
    </row>
    <row r="20" spans="1:14" ht="20.100000000000001" customHeight="1" x14ac:dyDescent="0.2">
      <c r="B20" s="2041" t="s">
        <v>2163</v>
      </c>
      <c r="C20" s="1824">
        <v>10.555</v>
      </c>
      <c r="D20" s="1825">
        <v>2020</v>
      </c>
      <c r="E20" s="1826"/>
      <c r="F20" s="1826">
        <v>8700</v>
      </c>
      <c r="G20" s="1826"/>
      <c r="H20" s="1826"/>
      <c r="I20" s="1826">
        <v>8700</v>
      </c>
      <c r="J20" s="1826"/>
      <c r="K20" s="1826"/>
      <c r="L20" s="1823">
        <f>+G16+I16+K16</f>
        <v>78901</v>
      </c>
      <c r="M20" s="1826" t="s">
        <v>2188</v>
      </c>
    </row>
    <row r="21" spans="1:14" ht="20.100000000000001" customHeight="1" x14ac:dyDescent="0.2">
      <c r="B21" s="2041" t="s">
        <v>2155</v>
      </c>
      <c r="C21" s="1824">
        <v>10.555999999999999</v>
      </c>
      <c r="D21" s="1825" t="s">
        <v>2159</v>
      </c>
      <c r="E21" s="1826">
        <v>2360</v>
      </c>
      <c r="F21" s="1826"/>
      <c r="G21" s="1826">
        <v>2360</v>
      </c>
      <c r="H21" s="1826"/>
      <c r="I21" s="1826"/>
      <c r="J21" s="1826"/>
      <c r="K21" s="1826"/>
      <c r="L21" s="1823">
        <f t="shared" si="0"/>
        <v>2360</v>
      </c>
      <c r="M21" s="1826" t="s">
        <v>2188</v>
      </c>
    </row>
    <row r="22" spans="1:14" ht="20.100000000000001" customHeight="1" x14ac:dyDescent="0.2">
      <c r="B22" s="2041" t="s">
        <v>2155</v>
      </c>
      <c r="C22" s="1824">
        <v>10.555999999999999</v>
      </c>
      <c r="D22" s="1825" t="s">
        <v>2160</v>
      </c>
      <c r="E22" s="1826">
        <v>5836</v>
      </c>
      <c r="F22" s="1826">
        <v>2266</v>
      </c>
      <c r="G22" s="1826">
        <v>5836</v>
      </c>
      <c r="H22" s="1826"/>
      <c r="I22" s="1826">
        <v>2265</v>
      </c>
      <c r="J22" s="1826"/>
      <c r="K22" s="1826"/>
      <c r="L22" s="1823">
        <f t="shared" si="0"/>
        <v>8101</v>
      </c>
      <c r="M22" s="1826" t="s">
        <v>2188</v>
      </c>
    </row>
    <row r="23" spans="1:14" ht="20.100000000000001" customHeight="1" x14ac:dyDescent="0.2">
      <c r="B23" s="2041" t="s">
        <v>2155</v>
      </c>
      <c r="C23" s="1824">
        <v>10.555999999999999</v>
      </c>
      <c r="D23" s="1825" t="s">
        <v>2161</v>
      </c>
      <c r="E23" s="1826"/>
      <c r="F23" s="1826">
        <v>5458</v>
      </c>
      <c r="G23" s="1826"/>
      <c r="H23" s="1826"/>
      <c r="I23" s="1826">
        <v>5458</v>
      </c>
      <c r="J23" s="1826"/>
      <c r="K23" s="1826"/>
      <c r="L23" s="1823">
        <f t="shared" si="0"/>
        <v>5458</v>
      </c>
      <c r="M23" s="1826" t="s">
        <v>2188</v>
      </c>
    </row>
    <row r="24" spans="1:14" ht="20.100000000000001" customHeight="1" x14ac:dyDescent="0.2">
      <c r="B24" s="2042" t="s">
        <v>2164</v>
      </c>
      <c r="C24" s="1824"/>
      <c r="D24" s="1825"/>
      <c r="E24" s="1826">
        <f t="shared" ref="E24:L24" si="1">SUM(E14:E23)</f>
        <v>157801</v>
      </c>
      <c r="F24" s="1826">
        <f t="shared" si="1"/>
        <v>143207</v>
      </c>
      <c r="G24" s="1826">
        <f t="shared" si="1"/>
        <v>157801</v>
      </c>
      <c r="H24" s="1826">
        <f t="shared" si="1"/>
        <v>0</v>
      </c>
      <c r="I24" s="1826">
        <f t="shared" si="1"/>
        <v>143206</v>
      </c>
      <c r="J24" s="1826">
        <f t="shared" si="1"/>
        <v>0</v>
      </c>
      <c r="K24" s="1826">
        <f t="shared" si="1"/>
        <v>0</v>
      </c>
      <c r="L24" s="1823">
        <f t="shared" si="1"/>
        <v>580566</v>
      </c>
      <c r="M24" s="1826"/>
    </row>
    <row r="25" spans="1:14" ht="20.100000000000001" customHeight="1" x14ac:dyDescent="0.2">
      <c r="B25" s="1113"/>
      <c r="C25" s="1824"/>
      <c r="D25" s="1825"/>
      <c r="E25" s="1826"/>
      <c r="F25" s="1826"/>
      <c r="G25" s="1826"/>
      <c r="H25" s="1826"/>
      <c r="I25" s="1826"/>
      <c r="J25" s="1826"/>
      <c r="K25" s="1826"/>
      <c r="L25" s="1823">
        <f t="shared" si="0"/>
        <v>0</v>
      </c>
      <c r="M25" s="1826"/>
    </row>
    <row r="26" spans="1:14" ht="20.100000000000001" customHeight="1" x14ac:dyDescent="0.2">
      <c r="B26" s="1113" t="s">
        <v>2165</v>
      </c>
      <c r="C26" s="1824"/>
      <c r="D26" s="1825"/>
      <c r="E26" s="1826"/>
      <c r="F26" s="1826"/>
      <c r="G26" s="1826"/>
      <c r="H26" s="1826"/>
      <c r="I26" s="1826"/>
      <c r="J26" s="1826"/>
      <c r="K26" s="1826"/>
      <c r="L26" s="1823">
        <f t="shared" si="0"/>
        <v>0</v>
      </c>
      <c r="M26" s="1826"/>
    </row>
    <row r="27" spans="1:14" ht="20.100000000000001" customHeight="1" x14ac:dyDescent="0.2">
      <c r="B27" s="2040" t="s">
        <v>2168</v>
      </c>
      <c r="C27" s="1824"/>
      <c r="D27" s="1825"/>
      <c r="E27" s="1826"/>
      <c r="F27" s="1826"/>
      <c r="G27" s="1826"/>
      <c r="H27" s="1826"/>
      <c r="I27" s="1826"/>
      <c r="J27" s="1826"/>
      <c r="K27" s="1826"/>
      <c r="L27" s="1823">
        <f t="shared" si="0"/>
        <v>0</v>
      </c>
      <c r="M27" s="1826"/>
    </row>
    <row r="28" spans="1:14" ht="20.100000000000001" customHeight="1" x14ac:dyDescent="0.2">
      <c r="A28" s="295" t="s">
        <v>2169</v>
      </c>
      <c r="B28" s="2041" t="s">
        <v>2170</v>
      </c>
      <c r="C28" s="1824">
        <v>93.778000000000006</v>
      </c>
      <c r="D28" s="1825">
        <v>2018</v>
      </c>
      <c r="E28" s="1826">
        <v>8875</v>
      </c>
      <c r="F28" s="1826"/>
      <c r="G28" s="1826"/>
      <c r="H28" s="1826"/>
      <c r="I28" s="1826"/>
      <c r="J28" s="1826"/>
      <c r="K28" s="1826"/>
      <c r="L28" s="1823">
        <f>+G28+I28+K28</f>
        <v>0</v>
      </c>
      <c r="M28" s="1826" t="s">
        <v>2188</v>
      </c>
    </row>
    <row r="29" spans="1:14" ht="20.100000000000001" customHeight="1" x14ac:dyDescent="0.2">
      <c r="B29" s="2041" t="s">
        <v>2170</v>
      </c>
      <c r="C29" s="1824">
        <v>93.778000000000006</v>
      </c>
      <c r="D29" s="1825">
        <v>2019</v>
      </c>
      <c r="E29" s="1826">
        <v>2899</v>
      </c>
      <c r="F29" s="1826">
        <v>5672</v>
      </c>
      <c r="G29" s="1826">
        <v>18143</v>
      </c>
      <c r="H29" s="1826"/>
      <c r="I29" s="1826"/>
      <c r="J29" s="1826"/>
      <c r="K29" s="1826"/>
      <c r="L29" s="1823">
        <f>+G29+I29+K29</f>
        <v>18143</v>
      </c>
      <c r="M29" s="1826" t="s">
        <v>2188</v>
      </c>
    </row>
    <row r="30" spans="1:14" ht="20.100000000000001" customHeight="1" x14ac:dyDescent="0.2">
      <c r="B30" s="2041" t="s">
        <v>2170</v>
      </c>
      <c r="C30" s="1824">
        <v>93.778000000000006</v>
      </c>
      <c r="D30" s="1825">
        <v>2020</v>
      </c>
      <c r="E30" s="1826"/>
      <c r="F30" s="1826">
        <v>15245</v>
      </c>
      <c r="G30" s="1826"/>
      <c r="H30" s="1826"/>
      <c r="I30" s="1826">
        <v>35910</v>
      </c>
      <c r="J30" s="1826"/>
      <c r="K30" s="1826"/>
      <c r="L30" s="2044">
        <f>+G30+I30+K30</f>
        <v>35910</v>
      </c>
      <c r="M30" s="1826" t="s">
        <v>2188</v>
      </c>
    </row>
    <row r="31" spans="1:14" ht="19.899999999999999" customHeight="1" x14ac:dyDescent="0.2">
      <c r="B31" s="2042" t="s">
        <v>2171</v>
      </c>
      <c r="C31" s="1824"/>
      <c r="D31" s="1825"/>
      <c r="E31" s="1826">
        <f t="shared" ref="E31:L31" si="2">SUM(E28:E30)</f>
        <v>11774</v>
      </c>
      <c r="F31" s="1826">
        <f t="shared" si="2"/>
        <v>20917</v>
      </c>
      <c r="G31" s="1826">
        <f t="shared" si="2"/>
        <v>18143</v>
      </c>
      <c r="H31" s="1826">
        <f t="shared" si="2"/>
        <v>0</v>
      </c>
      <c r="I31" s="1826">
        <f t="shared" si="2"/>
        <v>35910</v>
      </c>
      <c r="J31" s="1826">
        <f t="shared" si="2"/>
        <v>0</v>
      </c>
      <c r="K31" s="1826">
        <f t="shared" si="2"/>
        <v>0</v>
      </c>
      <c r="L31" s="1823">
        <f t="shared" si="2"/>
        <v>54053</v>
      </c>
      <c r="M31" s="1826"/>
    </row>
    <row r="32" spans="1:14" ht="20.100000000000001" customHeight="1" x14ac:dyDescent="0.2">
      <c r="B32" s="1113"/>
      <c r="C32" s="1824"/>
      <c r="D32" s="1825"/>
      <c r="E32" s="1826"/>
      <c r="F32" s="1826"/>
      <c r="G32" s="1826"/>
      <c r="H32" s="1826"/>
      <c r="I32" s="1826"/>
      <c r="J32" s="1826"/>
      <c r="K32" s="1826"/>
      <c r="L32" s="1823">
        <f t="shared" si="0"/>
        <v>0</v>
      </c>
      <c r="M32" s="1826"/>
      <c r="N32" s="1114"/>
    </row>
    <row r="33" spans="2:14" ht="12.75" customHeight="1" x14ac:dyDescent="0.2">
      <c r="B33" s="1115"/>
      <c r="C33" s="1116"/>
      <c r="D33" s="1117"/>
      <c r="E33" s="1118"/>
      <c r="F33" s="1118"/>
      <c r="G33" s="1118"/>
      <c r="H33" s="1118"/>
      <c r="I33" s="1118"/>
      <c r="J33" s="1118"/>
      <c r="K33" s="1118"/>
      <c r="L33" s="1118"/>
      <c r="M33" s="1118"/>
      <c r="N33" s="1114"/>
    </row>
    <row r="34" spans="2:14" x14ac:dyDescent="0.2">
      <c r="B34" s="1033"/>
      <c r="C34" s="1119"/>
      <c r="D34" s="1120"/>
      <c r="E34" s="1033"/>
      <c r="F34" s="1033"/>
      <c r="G34" s="1026"/>
      <c r="H34" s="1026"/>
      <c r="I34" s="1026"/>
      <c r="J34" s="1026"/>
      <c r="K34" s="1026"/>
      <c r="L34" s="1026"/>
      <c r="M34" s="1033"/>
      <c r="N34" s="1114"/>
    </row>
    <row r="35" spans="2:14" ht="13.5" customHeight="1" x14ac:dyDescent="0.2">
      <c r="B35" s="1058" t="s">
        <v>1713</v>
      </c>
      <c r="C35" s="1119"/>
      <c r="D35" s="1120"/>
      <c r="E35" s="1033"/>
      <c r="F35" s="1033"/>
      <c r="G35" s="1026"/>
      <c r="H35" s="1026"/>
      <c r="I35" s="1026"/>
      <c r="J35" s="1026"/>
      <c r="K35" s="1026"/>
      <c r="L35" s="1026"/>
      <c r="M35" s="1033"/>
      <c r="N35" s="1114"/>
    </row>
    <row r="36" spans="2:14" ht="8.25" customHeight="1" x14ac:dyDescent="0.2">
      <c r="B36" s="1058"/>
      <c r="C36" s="1119"/>
      <c r="D36" s="1120"/>
      <c r="E36" s="1033"/>
      <c r="F36" s="1033"/>
      <c r="G36" s="1026"/>
      <c r="H36" s="1026"/>
      <c r="I36" s="1026"/>
      <c r="J36" s="1026"/>
      <c r="K36" s="1026"/>
      <c r="L36" s="1026"/>
      <c r="M36" s="1033"/>
      <c r="N36" s="1114"/>
    </row>
    <row r="37" spans="2:14" x14ac:dyDescent="0.2">
      <c r="B37" s="1121" t="s">
        <v>1808</v>
      </c>
      <c r="C37" s="1122"/>
      <c r="D37" s="1123"/>
      <c r="E37" s="1124"/>
      <c r="F37" s="1124"/>
      <c r="G37" s="1124"/>
      <c r="H37" s="1124"/>
      <c r="I37" s="295"/>
      <c r="J37" s="295"/>
    </row>
    <row r="38" spans="2:14" x14ac:dyDescent="0.2">
      <c r="B38" s="1053"/>
      <c r="C38" s="1125"/>
      <c r="D38" s="1126"/>
      <c r="E38" s="1054"/>
      <c r="F38" s="1054"/>
      <c r="G38" s="295"/>
      <c r="H38" s="295"/>
      <c r="I38" s="295"/>
      <c r="J38" s="295"/>
    </row>
    <row r="39" spans="2:14" ht="13.5" customHeight="1" x14ac:dyDescent="0.2">
      <c r="B39" s="1052" t="s">
        <v>1236</v>
      </c>
      <c r="G39" s="295"/>
      <c r="H39" s="295"/>
      <c r="I39" s="295"/>
      <c r="J39" s="295"/>
    </row>
    <row r="40" spans="2:14" ht="13.5" customHeight="1" x14ac:dyDescent="0.2">
      <c r="B40" s="1129"/>
      <c r="C40" s="1130"/>
      <c r="D40" s="1131"/>
      <c r="E40" s="1073"/>
      <c r="F40" s="1073"/>
      <c r="G40" s="1073"/>
      <c r="H40" s="1073"/>
      <c r="I40" s="1073"/>
      <c r="J40" s="1073"/>
      <c r="K40" s="1132"/>
      <c r="L40" s="1132"/>
      <c r="M40" s="1073"/>
    </row>
    <row r="41" spans="2:14" ht="9.6" customHeight="1" x14ac:dyDescent="0.2">
      <c r="B41" s="1133"/>
      <c r="G41" s="295"/>
      <c r="H41" s="295"/>
      <c r="I41" s="295"/>
      <c r="J41" s="295"/>
    </row>
    <row r="42" spans="2:14" ht="11.25" customHeight="1" x14ac:dyDescent="0.2">
      <c r="B42" s="1134" t="s">
        <v>1714</v>
      </c>
      <c r="C42" s="1135"/>
      <c r="D42" s="1135"/>
      <c r="E42" s="1135"/>
      <c r="F42" s="1135"/>
      <c r="G42" s="1135"/>
      <c r="H42" s="1135"/>
      <c r="I42" s="1136"/>
      <c r="J42" s="1136"/>
      <c r="K42" s="1136"/>
      <c r="L42" s="1136"/>
      <c r="M42" s="1136"/>
    </row>
    <row r="43" spans="2:14" ht="11.25" customHeight="1" x14ac:dyDescent="0.2">
      <c r="B43" s="1137" t="s">
        <v>1569</v>
      </c>
      <c r="C43" s="1136"/>
      <c r="D43" s="1136"/>
      <c r="E43" s="1136"/>
      <c r="F43" s="1136"/>
      <c r="G43" s="1136"/>
      <c r="H43" s="1136"/>
      <c r="I43" s="1136"/>
      <c r="J43" s="1136"/>
      <c r="K43" s="1136"/>
      <c r="L43" s="1136"/>
      <c r="M43" s="1136"/>
    </row>
    <row r="44" spans="2:14" ht="3.95" customHeight="1" x14ac:dyDescent="0.2">
      <c r="B44" s="1137"/>
      <c r="C44" s="1136"/>
      <c r="D44" s="1136"/>
      <c r="E44" s="1136"/>
      <c r="F44" s="1136"/>
      <c r="G44" s="1136"/>
      <c r="H44" s="1136"/>
      <c r="I44" s="1136"/>
      <c r="J44" s="1136"/>
      <c r="K44" s="1136"/>
      <c r="L44" s="1136"/>
      <c r="M44" s="1136"/>
    </row>
    <row r="45" spans="2:14" ht="11.25" customHeight="1" x14ac:dyDescent="0.2">
      <c r="B45" s="1134" t="s">
        <v>1715</v>
      </c>
      <c r="C45" s="1136"/>
      <c r="D45" s="1136"/>
      <c r="E45" s="1136"/>
      <c r="F45" s="1136"/>
      <c r="G45" s="1136"/>
      <c r="H45" s="1136"/>
      <c r="I45" s="1136"/>
      <c r="J45" s="1136"/>
      <c r="K45" s="1136"/>
      <c r="L45" s="1136"/>
      <c r="M45" s="1136"/>
    </row>
    <row r="46" spans="2:14" ht="11.25" customHeight="1" x14ac:dyDescent="0.2">
      <c r="B46" s="1076" t="s">
        <v>1570</v>
      </c>
      <c r="C46" s="1138"/>
      <c r="D46" s="1139"/>
      <c r="E46" s="1076"/>
      <c r="F46" s="1076"/>
      <c r="G46" s="1076"/>
      <c r="H46" s="1076"/>
      <c r="I46" s="1076"/>
      <c r="J46" s="1076"/>
      <c r="K46" s="1140"/>
      <c r="L46" s="1140"/>
      <c r="M46" s="1076"/>
    </row>
    <row r="47" spans="2:14" ht="3.95" customHeight="1" x14ac:dyDescent="0.2">
      <c r="B47" s="1076"/>
      <c r="C47" s="1138"/>
      <c r="D47" s="1139"/>
      <c r="E47" s="1076"/>
      <c r="F47" s="1076"/>
      <c r="G47" s="1076"/>
      <c r="H47" s="1076"/>
      <c r="I47" s="1076"/>
      <c r="J47" s="1076"/>
      <c r="K47" s="1140"/>
      <c r="L47" s="1140"/>
      <c r="M47" s="1076"/>
    </row>
    <row r="48" spans="2:14" ht="11.25" customHeight="1" x14ac:dyDescent="0.2">
      <c r="B48" s="1141" t="s">
        <v>1716</v>
      </c>
      <c r="C48" s="1138"/>
      <c r="D48" s="1139"/>
      <c r="E48" s="1076"/>
      <c r="F48" s="1076"/>
      <c r="G48" s="1076"/>
      <c r="H48" s="1076"/>
      <c r="I48" s="1076"/>
      <c r="J48" s="1076"/>
      <c r="K48" s="1140"/>
      <c r="L48" s="1140"/>
      <c r="M48" s="1076"/>
    </row>
    <row r="49" spans="2:13" ht="3.95" customHeight="1" x14ac:dyDescent="0.2">
      <c r="B49" s="1141"/>
      <c r="C49" s="1138"/>
      <c r="D49" s="1139"/>
      <c r="E49" s="1076"/>
      <c r="F49" s="1076"/>
      <c r="G49" s="1076"/>
      <c r="H49" s="1076"/>
      <c r="I49" s="1076"/>
      <c r="J49" s="1076"/>
      <c r="K49" s="1140"/>
      <c r="L49" s="1140"/>
      <c r="M49" s="1076"/>
    </row>
    <row r="50" spans="2:13" ht="11.25" customHeight="1" x14ac:dyDescent="0.2">
      <c r="B50" s="1142" t="s">
        <v>1717</v>
      </c>
      <c r="C50" s="1138"/>
      <c r="D50" s="1139"/>
      <c r="E50" s="1076"/>
      <c r="F50" s="1076"/>
      <c r="G50" s="1076"/>
      <c r="H50" s="1076"/>
      <c r="I50" s="1076"/>
      <c r="J50" s="1076"/>
      <c r="K50" s="1140"/>
      <c r="L50" s="1140"/>
      <c r="M50" s="1076"/>
    </row>
    <row r="51" spans="2:13" ht="11.25" customHeight="1" x14ac:dyDescent="0.2">
      <c r="B51" s="1076" t="s">
        <v>1571</v>
      </c>
      <c r="G51" s="295"/>
      <c r="H51" s="295"/>
      <c r="I51" s="295"/>
      <c r="J51" s="295"/>
    </row>
    <row r="52" spans="2:13" ht="11.1" customHeight="1" x14ac:dyDescent="0.2">
      <c r="B52" s="1076"/>
      <c r="G52" s="295"/>
      <c r="H52" s="295"/>
      <c r="I52" s="295"/>
      <c r="J52" s="295"/>
    </row>
    <row r="53" spans="2:13" ht="11.1" customHeight="1" x14ac:dyDescent="0.2">
      <c r="B53" s="1076"/>
      <c r="G53" s="295"/>
      <c r="H53" s="295"/>
      <c r="I53" s="295"/>
      <c r="J53" s="295"/>
    </row>
    <row r="54" spans="2:13" ht="13.5" customHeight="1" x14ac:dyDescent="0.2">
      <c r="M54" s="1143"/>
    </row>
    <row r="55" spans="2:13" ht="13.5" customHeight="1" x14ac:dyDescent="0.2">
      <c r="M55" s="1143"/>
    </row>
    <row r="56" spans="2:13" ht="13.5" customHeight="1" x14ac:dyDescent="0.2">
      <c r="M56" s="1143"/>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J46" sqref="J4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1159</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7" t="s">
        <v>1618</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309</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2047</v>
      </c>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2047</v>
      </c>
      <c r="C53" s="174">
        <v>22</v>
      </c>
      <c r="D53" s="242" t="s">
        <v>1447</v>
      </c>
      <c r="E53" s="243"/>
      <c r="F53" s="244"/>
      <c r="G53" s="244" t="s">
        <v>1446</v>
      </c>
      <c r="H53" s="245">
        <v>34751</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2059</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1313</v>
      </c>
      <c r="B70" s="2180"/>
      <c r="C70" s="2180"/>
      <c r="D70" s="2180"/>
      <c r="E70" s="2181"/>
      <c r="F70" s="2181"/>
      <c r="G70" s="2181"/>
      <c r="H70" s="2181"/>
      <c r="I70" s="218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1310</v>
      </c>
      <c r="B83" s="2182"/>
      <c r="C83" s="2182"/>
      <c r="D83" s="218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3" t="s">
        <v>1985</v>
      </c>
      <c r="B85" s="2193"/>
      <c r="C85" s="2193"/>
      <c r="D85" s="219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1311</v>
      </c>
      <c r="B87" s="271"/>
      <c r="C87" s="272"/>
      <c r="D87" s="269"/>
      <c r="E87" s="264"/>
      <c r="F87" s="264"/>
      <c r="G87" s="264"/>
      <c r="H87" s="264"/>
      <c r="I87" s="265"/>
      <c r="J87" s="1728"/>
    </row>
    <row r="88" spans="1:10" s="176" customFormat="1" ht="13.5" customHeight="1" x14ac:dyDescent="0.2">
      <c r="A88" s="2195" t="s">
        <v>1985</v>
      </c>
      <c r="B88" s="2196"/>
      <c r="C88" s="2196"/>
      <c r="D88" s="219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c r="D114" s="217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1320</v>
      </c>
      <c r="D117" s="2175"/>
      <c r="E117" s="2176"/>
      <c r="F117" s="2176"/>
      <c r="G117" s="2176"/>
      <c r="H117" s="217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topLeftCell="A5" zoomScaleNormal="100" workbookViewId="0">
      <selection activeCell="M28" sqref="M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LaGrange SD 102</v>
      </c>
      <c r="C1" s="2575"/>
      <c r="D1" s="2575"/>
      <c r="E1" s="2575"/>
      <c r="F1" s="2575"/>
      <c r="G1" s="2575"/>
      <c r="H1" s="2575"/>
      <c r="I1" s="2575"/>
      <c r="J1" s="2575"/>
      <c r="K1" s="2575"/>
      <c r="L1" s="2575"/>
      <c r="M1" s="2575"/>
    </row>
    <row r="2" spans="2:14" ht="15" x14ac:dyDescent="0.2">
      <c r="B2" s="2576">
        <f>'Single Audit Cover'!E7</f>
        <v>6016102002</v>
      </c>
      <c r="C2" s="2576"/>
      <c r="D2" s="2576"/>
      <c r="E2" s="2576"/>
      <c r="F2" s="2576"/>
      <c r="G2" s="2576"/>
      <c r="H2" s="2576"/>
      <c r="I2" s="2576"/>
      <c r="J2" s="2576"/>
      <c r="K2" s="2576"/>
      <c r="L2" s="2576"/>
      <c r="M2" s="2576"/>
      <c r="N2" s="1078"/>
    </row>
    <row r="3" spans="2:14" ht="15" x14ac:dyDescent="0.2">
      <c r="B3" s="2577" t="s">
        <v>1209</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5"/>
      <c r="J5" s="1915"/>
    </row>
    <row r="6" spans="2:14" x14ac:dyDescent="0.2">
      <c r="B6" s="1079"/>
      <c r="C6" s="1080"/>
      <c r="D6" s="1081" t="s">
        <v>1255</v>
      </c>
      <c r="E6" s="1082" t="s">
        <v>523</v>
      </c>
      <c r="F6" s="1083"/>
      <c r="G6" s="1084" t="s">
        <v>1710</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2133</v>
      </c>
      <c r="C11" s="1821"/>
      <c r="D11" s="1822"/>
      <c r="E11" s="1823"/>
      <c r="F11" s="1823"/>
      <c r="G11" s="1823"/>
      <c r="H11" s="1823"/>
      <c r="I11" s="1823"/>
      <c r="J11" s="1823"/>
      <c r="K11" s="1823"/>
      <c r="L11" s="1823">
        <f>+G11+I11+K11</f>
        <v>0</v>
      </c>
      <c r="M11" s="1823"/>
    </row>
    <row r="12" spans="2:14" ht="20.100000000000001" customHeight="1" x14ac:dyDescent="0.2">
      <c r="B12" s="2040" t="s">
        <v>2172</v>
      </c>
      <c r="C12" s="1824"/>
      <c r="D12" s="1825"/>
      <c r="E12" s="1826"/>
      <c r="F12" s="1826"/>
      <c r="G12" s="1826"/>
      <c r="H12" s="1826"/>
      <c r="I12" s="1826"/>
      <c r="J12" s="1826"/>
      <c r="K12" s="1826"/>
      <c r="L12" s="1823">
        <f t="shared" ref="L12:L26" si="0">+G12+I12+K12</f>
        <v>0</v>
      </c>
      <c r="M12" s="1826"/>
    </row>
    <row r="13" spans="2:14" ht="20.100000000000001" customHeight="1" x14ac:dyDescent="0.2">
      <c r="B13" s="2040" t="s">
        <v>2173</v>
      </c>
      <c r="C13" s="1824">
        <v>84.01</v>
      </c>
      <c r="D13" s="1825" t="s">
        <v>2177</v>
      </c>
      <c r="E13" s="1826">
        <v>106153</v>
      </c>
      <c r="F13" s="1826"/>
      <c r="G13" s="1826">
        <v>7296</v>
      </c>
      <c r="H13" s="1826"/>
      <c r="I13" s="1826"/>
      <c r="J13" s="1826"/>
      <c r="K13" s="1826"/>
      <c r="L13" s="1823">
        <f t="shared" si="0"/>
        <v>7296</v>
      </c>
      <c r="M13" s="1826">
        <v>340818</v>
      </c>
    </row>
    <row r="14" spans="2:14" ht="20.100000000000001" customHeight="1" x14ac:dyDescent="0.2">
      <c r="B14" s="2040" t="s">
        <v>2173</v>
      </c>
      <c r="C14" s="1824">
        <v>84.01</v>
      </c>
      <c r="D14" s="1825" t="s">
        <v>2178</v>
      </c>
      <c r="E14" s="1826">
        <v>215791</v>
      </c>
      <c r="F14" s="1826">
        <v>52911</v>
      </c>
      <c r="G14" s="1826">
        <v>253100</v>
      </c>
      <c r="H14" s="1826"/>
      <c r="I14" s="1826">
        <v>-5346</v>
      </c>
      <c r="J14" s="1826"/>
      <c r="K14" s="1826"/>
      <c r="L14" s="1823">
        <f t="shared" si="0"/>
        <v>247754</v>
      </c>
      <c r="M14" s="1826">
        <v>327825</v>
      </c>
    </row>
    <row r="15" spans="2:14" ht="20.100000000000001" customHeight="1" x14ac:dyDescent="0.2">
      <c r="B15" s="2040" t="s">
        <v>2173</v>
      </c>
      <c r="C15" s="1824">
        <v>84.01</v>
      </c>
      <c r="D15" s="1825" t="s">
        <v>2179</v>
      </c>
      <c r="E15" s="1826"/>
      <c r="F15" s="1826">
        <v>146422</v>
      </c>
      <c r="G15" s="1826"/>
      <c r="H15" s="1826"/>
      <c r="I15" s="1826">
        <v>226144</v>
      </c>
      <c r="J15" s="1826"/>
      <c r="K15" s="1826"/>
      <c r="L15" s="1823">
        <f t="shared" si="0"/>
        <v>226144</v>
      </c>
      <c r="M15" s="1826">
        <v>273715</v>
      </c>
    </row>
    <row r="16" spans="2:14" ht="20.100000000000001" customHeight="1" x14ac:dyDescent="0.2">
      <c r="B16" s="2040" t="s">
        <v>2174</v>
      </c>
      <c r="C16" s="1824">
        <v>84.367000000000004</v>
      </c>
      <c r="D16" s="1825" t="s">
        <v>2180</v>
      </c>
      <c r="E16" s="1826">
        <v>9573</v>
      </c>
      <c r="F16" s="1826"/>
      <c r="G16" s="1826">
        <v>641</v>
      </c>
      <c r="H16" s="1826"/>
      <c r="I16" s="1826"/>
      <c r="J16" s="1826"/>
      <c r="K16" s="1826"/>
      <c r="L16" s="1823">
        <f t="shared" si="0"/>
        <v>641</v>
      </c>
      <c r="M16" s="1826">
        <v>82576</v>
      </c>
    </row>
    <row r="17" spans="2:14" ht="20.100000000000001" customHeight="1" x14ac:dyDescent="0.2">
      <c r="B17" s="2040" t="s">
        <v>2174</v>
      </c>
      <c r="C17" s="1824">
        <v>84.367000000000004</v>
      </c>
      <c r="D17" s="1825" t="s">
        <v>2181</v>
      </c>
      <c r="E17" s="1826">
        <v>39731</v>
      </c>
      <c r="F17" s="1826">
        <v>70939</v>
      </c>
      <c r="G17" s="1826">
        <v>61195</v>
      </c>
      <c r="H17" s="1826"/>
      <c r="I17" s="1826">
        <v>27113</v>
      </c>
      <c r="J17" s="1826"/>
      <c r="K17" s="1826"/>
      <c r="L17" s="1823">
        <f t="shared" si="0"/>
        <v>88308</v>
      </c>
      <c r="M17" s="1826">
        <v>112466</v>
      </c>
    </row>
    <row r="18" spans="2:14" ht="20.100000000000001" customHeight="1" x14ac:dyDescent="0.2">
      <c r="B18" s="2040" t="s">
        <v>2174</v>
      </c>
      <c r="C18" s="1824">
        <v>84.367000000000004</v>
      </c>
      <c r="D18" s="1825" t="s">
        <v>2182</v>
      </c>
      <c r="E18" s="1826"/>
      <c r="F18" s="1826">
        <v>50014</v>
      </c>
      <c r="G18" s="1826"/>
      <c r="H18" s="1826"/>
      <c r="I18" s="1826">
        <v>53573</v>
      </c>
      <c r="J18" s="1826"/>
      <c r="K18" s="1826"/>
      <c r="L18" s="1823">
        <f t="shared" si="0"/>
        <v>53573</v>
      </c>
      <c r="M18" s="1826">
        <v>80022</v>
      </c>
    </row>
    <row r="19" spans="2:14" ht="20.100000000000001" customHeight="1" x14ac:dyDescent="0.2">
      <c r="B19" s="2040" t="s">
        <v>2175</v>
      </c>
      <c r="C19" s="1824">
        <v>84.364999999999995</v>
      </c>
      <c r="D19" s="1825" t="s">
        <v>2183</v>
      </c>
      <c r="E19" s="1826">
        <v>5660</v>
      </c>
      <c r="F19" s="1826"/>
      <c r="G19" s="1826"/>
      <c r="H19" s="1826"/>
      <c r="I19" s="1826"/>
      <c r="J19" s="1826"/>
      <c r="K19" s="1826"/>
      <c r="L19" s="1823">
        <f t="shared" si="0"/>
        <v>0</v>
      </c>
      <c r="M19" s="1826">
        <v>18330</v>
      </c>
    </row>
    <row r="20" spans="2:14" ht="20.100000000000001" customHeight="1" x14ac:dyDescent="0.2">
      <c r="B20" s="2040" t="s">
        <v>2175</v>
      </c>
      <c r="C20" s="1824">
        <v>84.364999999999995</v>
      </c>
      <c r="D20" s="1825" t="s">
        <v>2184</v>
      </c>
      <c r="E20" s="1826">
        <v>7585</v>
      </c>
      <c r="F20" s="1826">
        <v>11915</v>
      </c>
      <c r="G20" s="1826">
        <v>19500</v>
      </c>
      <c r="H20" s="1826"/>
      <c r="I20" s="1826"/>
      <c r="J20" s="1826"/>
      <c r="K20" s="1826"/>
      <c r="L20" s="1823">
        <f t="shared" si="0"/>
        <v>19500</v>
      </c>
      <c r="M20" s="1826">
        <v>20135</v>
      </c>
    </row>
    <row r="21" spans="2:14" ht="20.100000000000001" customHeight="1" x14ac:dyDescent="0.2">
      <c r="B21" s="2040" t="s">
        <v>2175</v>
      </c>
      <c r="C21" s="1824">
        <v>84.364999999999995</v>
      </c>
      <c r="D21" s="1825" t="s">
        <v>2185</v>
      </c>
      <c r="E21" s="1826"/>
      <c r="F21" s="1826">
        <v>14358</v>
      </c>
      <c r="G21" s="1826"/>
      <c r="H21" s="1826"/>
      <c r="I21" s="1826">
        <v>15584</v>
      </c>
      <c r="J21" s="1826"/>
      <c r="K21" s="1826"/>
      <c r="L21" s="1823">
        <f t="shared" si="0"/>
        <v>15584</v>
      </c>
      <c r="M21" s="1826">
        <v>17535</v>
      </c>
    </row>
    <row r="22" spans="2:14" ht="20.100000000000001" customHeight="1" x14ac:dyDescent="0.2">
      <c r="B22" s="2041" t="s">
        <v>2176</v>
      </c>
      <c r="C22" s="1824"/>
      <c r="D22" s="1825"/>
      <c r="E22" s="1826">
        <f t="shared" ref="E22:L22" si="1">SUM(E13:E21)</f>
        <v>384493</v>
      </c>
      <c r="F22" s="1826">
        <f t="shared" si="1"/>
        <v>346559</v>
      </c>
      <c r="G22" s="1826">
        <f t="shared" si="1"/>
        <v>341732</v>
      </c>
      <c r="H22" s="1826">
        <f t="shared" si="1"/>
        <v>0</v>
      </c>
      <c r="I22" s="1826">
        <f t="shared" si="1"/>
        <v>317068</v>
      </c>
      <c r="J22" s="1826">
        <f t="shared" si="1"/>
        <v>0</v>
      </c>
      <c r="K22" s="1826">
        <f t="shared" si="1"/>
        <v>0</v>
      </c>
      <c r="L22" s="1823">
        <f t="shared" si="1"/>
        <v>658800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f>SUM(' SEFA'!E30,' SEFA (2)'!E31,' SEFA (3)'!E22,' SEFA (2)'!E24)</f>
        <v>1258797</v>
      </c>
      <c r="F27" s="1826">
        <f>SUM(' SEFA'!F30,' SEFA (2)'!F24,' SEFA (2)'!F31,' SEFA (3)'!F22)</f>
        <v>1246430</v>
      </c>
      <c r="G27" s="1826">
        <f>SUM(' SEFA'!G30,' SEFA (2)'!G24,' SEFA (2)'!G31,' SEFA (3)'!G22)</f>
        <v>1219850</v>
      </c>
      <c r="H27" s="1826">
        <f>SUM(' SEFA'!H30,' SEFA (2)'!H24,' SEFA (2)'!H31,' SEFA (3)'!H22)</f>
        <v>0</v>
      </c>
      <c r="I27" s="1826">
        <f>SUM(' SEFA'!I30,' SEFA (2)'!I24,' SEFA (2)'!I31,' SEFA (3)'!I22)</f>
        <v>1351287</v>
      </c>
      <c r="J27" s="1826">
        <f>SUM(' SEFA'!J30,' SEFA (2)'!J24,' SEFA (2)'!J31,' SEFA (3)'!J22)</f>
        <v>0</v>
      </c>
      <c r="K27" s="1826">
        <f>SUM(' SEFA'!K30,' SEFA (2)'!K24,' SEFA (2)'!K31,' SEFA (3)'!K22)</f>
        <v>0</v>
      </c>
      <c r="L27" s="1823">
        <f>SUM(' SEFA'!L30,' SEFA (2)'!L24,' SEFA (2)'!L31,' SEFA (3)'!L22)</f>
        <v>2850696</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LaGrange SD 102</v>
      </c>
      <c r="B1" s="2580"/>
      <c r="C1" s="2580"/>
      <c r="D1" s="2580"/>
      <c r="E1" s="2580"/>
      <c r="F1" s="2580"/>
    </row>
    <row r="2" spans="1:7" ht="13.5" customHeight="1" x14ac:dyDescent="0.2">
      <c r="A2" s="2576">
        <f>'Single Audit Cover'!E7</f>
        <v>6016102002</v>
      </c>
      <c r="B2" s="2576"/>
      <c r="C2" s="2576"/>
      <c r="D2" s="2576"/>
      <c r="E2" s="2576"/>
      <c r="F2" s="2576"/>
      <c r="G2" s="1051"/>
    </row>
    <row r="3" spans="1:7" ht="15.75" customHeight="1" x14ac:dyDescent="0.2">
      <c r="A3" s="2581" t="s">
        <v>1261</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1707</v>
      </c>
      <c r="C6" s="295"/>
      <c r="D6" s="295"/>
    </row>
    <row r="7" spans="1:7" ht="60.95" customHeight="1" x14ac:dyDescent="0.2">
      <c r="A7" s="2579" t="s">
        <v>2110</v>
      </c>
      <c r="B7" s="2579"/>
      <c r="C7" s="2579"/>
      <c r="D7" s="2579"/>
      <c r="E7" s="2579"/>
      <c r="F7" s="2579"/>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1532</v>
      </c>
      <c r="B10" s="1056"/>
      <c r="C10" s="1057"/>
      <c r="D10" s="1056" t="s">
        <v>1533</v>
      </c>
      <c r="E10" s="1057" t="s">
        <v>2047</v>
      </c>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79" t="s">
        <v>2112</v>
      </c>
      <c r="B13" s="2579"/>
      <c r="C13" s="2579"/>
      <c r="D13" s="2579"/>
      <c r="E13" s="2579"/>
      <c r="F13" s="2579"/>
    </row>
    <row r="14" spans="1:7" ht="9.75" customHeight="1" x14ac:dyDescent="0.2">
      <c r="C14" s="1036"/>
      <c r="D14" s="1036"/>
    </row>
    <row r="15" spans="1:7" ht="13.5" customHeight="1" x14ac:dyDescent="0.2">
      <c r="C15" s="1476" t="s">
        <v>1260</v>
      </c>
      <c r="D15" s="2584" t="s">
        <v>1259</v>
      </c>
      <c r="E15" s="2584"/>
      <c r="F15" s="2584"/>
    </row>
    <row r="16" spans="1:7" ht="13.5" customHeight="1" x14ac:dyDescent="0.2">
      <c r="A16" s="1058"/>
      <c r="B16" s="1052" t="s">
        <v>1258</v>
      </c>
      <c r="C16" s="1476" t="s">
        <v>1257</v>
      </c>
      <c r="D16" s="2585" t="s">
        <v>1573</v>
      </c>
      <c r="E16" s="2585"/>
      <c r="F16" s="2585"/>
    </row>
    <row r="17" spans="1:6" ht="20.45" customHeight="1" x14ac:dyDescent="0.2">
      <c r="A17" s="1059"/>
      <c r="B17" s="1060" t="s">
        <v>2111</v>
      </c>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87" t="s">
        <v>2113</v>
      </c>
      <c r="B32" s="2587"/>
      <c r="C32" s="2587"/>
      <c r="D32" s="2587"/>
      <c r="E32" s="2587"/>
      <c r="F32" s="2587"/>
    </row>
    <row r="33" spans="1:6" ht="13.5" customHeight="1" x14ac:dyDescent="0.2">
      <c r="A33" s="306" t="s">
        <v>1419</v>
      </c>
      <c r="B33" s="306"/>
      <c r="C33" s="1064">
        <v>10672</v>
      </c>
      <c r="D33" s="1526"/>
      <c r="E33" s="1062"/>
    </row>
    <row r="34" spans="1:6" ht="13.5" customHeight="1" x14ac:dyDescent="0.2">
      <c r="A34" s="306" t="s">
        <v>1807</v>
      </c>
      <c r="B34" s="306"/>
      <c r="C34" s="1065">
        <v>8700</v>
      </c>
      <c r="D34" s="1526" t="s">
        <v>1574</v>
      </c>
      <c r="E34" s="2588">
        <f>+C33+C34</f>
        <v>19372</v>
      </c>
      <c r="F34" s="2589"/>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t="s">
        <v>379</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1575</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1536</v>
      </c>
      <c r="C51" s="2586"/>
      <c r="D51" s="2586"/>
    </row>
    <row r="52" spans="1:5" ht="14.25" customHeight="1" x14ac:dyDescent="0.2">
      <c r="A52" s="1077"/>
      <c r="B52" s="2586"/>
      <c r="C52" s="2586"/>
      <c r="D52" s="258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63"/>
  <sheetViews>
    <sheetView showGridLines="0" topLeftCell="A31" zoomScale="110" zoomScaleNormal="110" workbookViewId="0">
      <selection activeCell="I50" sqref="I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LaGrange SD 102</v>
      </c>
      <c r="C1" s="2596"/>
      <c r="D1" s="2596"/>
      <c r="E1" s="2596"/>
      <c r="F1" s="2596"/>
      <c r="G1" s="2596"/>
      <c r="H1" s="2596"/>
      <c r="I1" s="2596"/>
      <c r="J1" s="1178"/>
    </row>
    <row r="2" spans="2:10" s="295" customFormat="1" ht="12.75" customHeight="1" x14ac:dyDescent="0.2">
      <c r="B2" s="2597">
        <f>'Single Audit Cover'!E7</f>
        <v>6016102002</v>
      </c>
      <c r="C2" s="2598"/>
      <c r="D2" s="2598"/>
      <c r="E2" s="2598"/>
      <c r="F2" s="2598"/>
      <c r="G2" s="2598"/>
      <c r="H2" s="2598"/>
      <c r="I2" s="2598"/>
      <c r="J2" s="1178"/>
    </row>
    <row r="3" spans="2:10" s="295" customFormat="1" ht="12.75" customHeight="1" x14ac:dyDescent="0.2">
      <c r="B3" s="2599" t="s">
        <v>1275</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1274</v>
      </c>
      <c r="C7" s="2600"/>
      <c r="D7" s="2600"/>
      <c r="E7" s="2600"/>
      <c r="F7" s="2600"/>
      <c r="G7" s="2600"/>
      <c r="H7" s="2600"/>
      <c r="I7" s="2600"/>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01" t="s">
        <v>2114</v>
      </c>
      <c r="D11" s="2601"/>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2047</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2047</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2047</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t="s">
        <v>2047</v>
      </c>
      <c r="F27" s="1076" t="s">
        <v>878</v>
      </c>
      <c r="G27" s="1194"/>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02" t="s">
        <v>2114</v>
      </c>
      <c r="E29" s="2602"/>
      <c r="F29" s="2602"/>
      <c r="G29" s="2602"/>
      <c r="H29" s="2602"/>
      <c r="I29" s="260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t="s">
        <v>2047</v>
      </c>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3" t="s">
        <v>1727</v>
      </c>
      <c r="D37" s="2604"/>
      <c r="E37" s="2604"/>
      <c r="F37" s="2605"/>
      <c r="G37" s="2603" t="s">
        <v>1577</v>
      </c>
      <c r="H37" s="2604"/>
      <c r="I37" s="2605"/>
    </row>
    <row r="38" spans="2:9" ht="16.5" customHeight="1" x14ac:dyDescent="0.2">
      <c r="B38" s="1200">
        <v>84.027000000000001</v>
      </c>
      <c r="C38" s="2591" t="s">
        <v>2115</v>
      </c>
      <c r="D38" s="2592"/>
      <c r="E38" s="2592"/>
      <c r="F38" s="2593"/>
      <c r="G38" s="2606">
        <v>733452</v>
      </c>
      <c r="H38" s="2607"/>
      <c r="I38" s="2608"/>
    </row>
    <row r="39" spans="2:9" ht="16.5" customHeight="1" x14ac:dyDescent="0.2">
      <c r="B39" s="1200">
        <v>84.027000000000001</v>
      </c>
      <c r="C39" s="2591" t="s">
        <v>2116</v>
      </c>
      <c r="D39" s="2592"/>
      <c r="E39" s="2592"/>
      <c r="F39" s="2593"/>
      <c r="G39" s="2594">
        <v>105799</v>
      </c>
      <c r="H39" s="2594"/>
      <c r="I39" s="2594"/>
    </row>
    <row r="40" spans="2:9" ht="16.5" customHeight="1" x14ac:dyDescent="0.2">
      <c r="B40" s="1200">
        <v>84.173000000000002</v>
      </c>
      <c r="C40" s="2591" t="s">
        <v>2117</v>
      </c>
      <c r="D40" s="2592"/>
      <c r="E40" s="2592"/>
      <c r="F40" s="2593"/>
      <c r="G40" s="2594">
        <v>15852</v>
      </c>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1578</v>
      </c>
      <c r="D43" s="2610"/>
      <c r="E43" s="2610"/>
      <c r="F43" s="2611"/>
      <c r="G43" s="2612">
        <f>SUM(G38:I42)</f>
        <v>855103</v>
      </c>
      <c r="H43" s="2612"/>
      <c r="I43" s="2612"/>
    </row>
    <row r="44" spans="2:9" ht="12.75" customHeight="1" x14ac:dyDescent="0.2"/>
    <row r="45" spans="2:9" ht="12.75" customHeight="1" x14ac:dyDescent="0.2">
      <c r="B45" s="1917" t="str">
        <f>"Total Federal Expenditures for 7/1/"&amp;MID('AFR20'!E2,3,2)-1&amp;"-6/30/"&amp;MID('AFR20'!E2,3,2)</f>
        <v>Total Federal Expenditures for 7/1/19-6/30/20</v>
      </c>
      <c r="C45" s="1918"/>
      <c r="D45" s="2613">
        <v>1351287</v>
      </c>
      <c r="E45" s="2614"/>
    </row>
    <row r="46" spans="2:9" ht="5.25" customHeight="1" x14ac:dyDescent="0.2">
      <c r="B46" s="1201"/>
      <c r="D46" s="1202"/>
      <c r="E46" s="1203"/>
    </row>
    <row r="47" spans="2:9" ht="12.75" customHeight="1" x14ac:dyDescent="0.2">
      <c r="B47" s="1076" t="s">
        <v>1579</v>
      </c>
      <c r="C47" s="1076"/>
      <c r="D47" s="1204">
        <f>+G43/D45</f>
        <v>0.63280635423858889</v>
      </c>
      <c r="E47" s="1205"/>
      <c r="F47" s="1206"/>
      <c r="I47" s="1207"/>
    </row>
    <row r="48" spans="2:9" ht="9.9499999999999993" customHeight="1" x14ac:dyDescent="0.2"/>
    <row r="49" spans="1:9" x14ac:dyDescent="0.2">
      <c r="B49" s="1138" t="s">
        <v>1263</v>
      </c>
      <c r="C49" s="1058"/>
      <c r="D49" s="1058"/>
      <c r="E49" s="2615">
        <v>750000</v>
      </c>
      <c r="F49" s="2615"/>
      <c r="G49" s="2615"/>
      <c r="H49" s="300"/>
    </row>
    <row r="51" spans="1:9" ht="13.5" customHeight="1" x14ac:dyDescent="0.2">
      <c r="B51" s="1138" t="s">
        <v>1262</v>
      </c>
      <c r="C51" s="1058"/>
      <c r="E51" s="1194"/>
      <c r="F51" s="1076" t="s">
        <v>878</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1582</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K25" sqref="K2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LaGrange SD 102</v>
      </c>
      <c r="C1" s="2595"/>
      <c r="D1" s="2595"/>
      <c r="E1" s="2595"/>
      <c r="F1" s="2595"/>
      <c r="G1" s="2595"/>
      <c r="H1" s="2595"/>
      <c r="I1" s="2595"/>
      <c r="J1" s="2595"/>
      <c r="K1" s="2595"/>
      <c r="L1" s="1144"/>
      <c r="M1" s="1144"/>
    </row>
    <row r="2" spans="1:13" ht="12" customHeight="1" x14ac:dyDescent="0.2">
      <c r="B2" s="2597">
        <f>'Single Audit Cover'!E7</f>
        <v>6016102002</v>
      </c>
      <c r="C2" s="2597"/>
      <c r="D2" s="2597"/>
      <c r="E2" s="2597"/>
      <c r="F2" s="2597"/>
      <c r="G2" s="2597"/>
      <c r="H2" s="2597"/>
      <c r="I2" s="2597"/>
      <c r="J2" s="2597"/>
      <c r="K2" s="2597"/>
      <c r="L2" s="1145"/>
      <c r="M2" s="1146"/>
    </row>
    <row r="3" spans="1:13" ht="10.35" customHeight="1" x14ac:dyDescent="0.2">
      <c r="B3" s="2618" t="s">
        <v>1275</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1286</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17" t="s">
        <v>2111</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1722</v>
      </c>
      <c r="C38" s="1176"/>
    </row>
    <row r="39" spans="1:13" ht="9.6" customHeight="1" x14ac:dyDescent="0.2">
      <c r="B39" s="1076" t="s">
        <v>1276</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48"/>
  <sheetViews>
    <sheetView showGridLines="0" topLeftCell="A16" zoomScale="110" zoomScaleNormal="110" workbookViewId="0">
      <selection activeCell="B36" sqref="B3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LaGrange SD 102</v>
      </c>
      <c r="C1" s="2622"/>
      <c r="D1" s="2622"/>
      <c r="E1" s="2622"/>
      <c r="F1" s="2622"/>
      <c r="G1" s="2622"/>
      <c r="H1" s="2622"/>
      <c r="I1" s="2622"/>
      <c r="J1" s="2622"/>
      <c r="K1" s="2622"/>
      <c r="L1" s="1221"/>
    </row>
    <row r="2" spans="1:12" ht="12.75" customHeight="1" x14ac:dyDescent="0.2">
      <c r="B2" s="2623">
        <f>'Single Audit Cover'!E7</f>
        <v>6016102002</v>
      </c>
      <c r="C2" s="2623"/>
      <c r="D2" s="2623"/>
      <c r="E2" s="2623"/>
      <c r="F2" s="2623"/>
      <c r="G2" s="2623"/>
      <c r="H2" s="2623"/>
      <c r="I2" s="2623"/>
      <c r="J2" s="2623"/>
      <c r="K2" s="2623"/>
      <c r="L2" s="1222"/>
    </row>
    <row r="3" spans="1:12" ht="12.75" customHeight="1" x14ac:dyDescent="0.2">
      <c r="B3" s="2618" t="s">
        <v>1275</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1160</v>
      </c>
      <c r="C5" s="1036"/>
      <c r="L5" s="300"/>
    </row>
    <row r="6" spans="1:12" ht="30.75" customHeight="1" x14ac:dyDescent="0.2">
      <c r="A6" s="300"/>
      <c r="B6" s="2624" t="s">
        <v>1298</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v>1</v>
      </c>
      <c r="E8" s="300"/>
      <c r="F8" s="1154" t="s">
        <v>1285</v>
      </c>
      <c r="G8" s="1224" t="s">
        <v>2047</v>
      </c>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02" t="s">
        <v>2118</v>
      </c>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25" t="s">
        <v>2119</v>
      </c>
      <c r="E14" s="2625"/>
      <c r="F14" s="2625"/>
      <c r="H14" s="1230" t="s">
        <v>1293</v>
      </c>
      <c r="I14" s="2626" t="s">
        <v>2122</v>
      </c>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26" t="s">
        <v>2120</v>
      </c>
      <c r="E16" s="2626"/>
      <c r="F16" s="2626"/>
      <c r="G16" s="2626"/>
      <c r="H16" s="2626"/>
      <c r="I16" s="2626"/>
      <c r="J16" s="2626"/>
      <c r="K16" s="2626"/>
      <c r="L16" s="300"/>
    </row>
    <row r="17" spans="2:12" ht="13.5" customHeight="1" x14ac:dyDescent="0.2">
      <c r="B17" s="1156" t="s">
        <v>1291</v>
      </c>
      <c r="C17" s="1156"/>
      <c r="D17" s="2627" t="s">
        <v>2121</v>
      </c>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7" t="s">
        <v>2123</v>
      </c>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17" t="s">
        <v>2124</v>
      </c>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17" t="s">
        <v>2125</v>
      </c>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17" t="s">
        <v>2126</v>
      </c>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7" t="s">
        <v>2127</v>
      </c>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7" t="s">
        <v>2194</v>
      </c>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17" t="s">
        <v>2128</v>
      </c>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17" t="s">
        <v>2129</v>
      </c>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48"/>
  <sheetViews>
    <sheetView showGridLines="0" topLeftCell="A19" zoomScale="110" zoomScaleNormal="110" workbookViewId="0">
      <selection activeCell="B36" sqref="B3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LaGrange SD 102</v>
      </c>
      <c r="C1" s="2622"/>
      <c r="D1" s="2622"/>
      <c r="E1" s="2622"/>
      <c r="F1" s="2622"/>
      <c r="G1" s="2622"/>
      <c r="H1" s="2622"/>
      <c r="I1" s="2622"/>
      <c r="J1" s="2622"/>
      <c r="K1" s="2622"/>
      <c r="L1" s="1221"/>
    </row>
    <row r="2" spans="1:12" ht="12.75" customHeight="1" x14ac:dyDescent="0.2">
      <c r="B2" s="2623">
        <f>'Single Audit Cover'!E7</f>
        <v>6016102002</v>
      </c>
      <c r="C2" s="2623"/>
      <c r="D2" s="2623"/>
      <c r="E2" s="2623"/>
      <c r="F2" s="2623"/>
      <c r="G2" s="2623"/>
      <c r="H2" s="2623"/>
      <c r="I2" s="2623"/>
      <c r="J2" s="2623"/>
      <c r="K2" s="2623"/>
      <c r="L2" s="1222"/>
    </row>
    <row r="3" spans="1:12" ht="12.75" customHeight="1" x14ac:dyDescent="0.2">
      <c r="B3" s="2618" t="s">
        <v>1275</v>
      </c>
      <c r="C3" s="2618"/>
      <c r="D3" s="2618"/>
      <c r="E3" s="2618"/>
      <c r="F3" s="2618"/>
      <c r="G3" s="2618"/>
      <c r="H3" s="2618"/>
      <c r="I3" s="2618"/>
      <c r="J3" s="2618"/>
      <c r="K3" s="2618"/>
      <c r="L3" s="2037"/>
    </row>
    <row r="4" spans="1:12" ht="12.75" customHeight="1" x14ac:dyDescent="0.2">
      <c r="B4" s="2618" t="str">
        <f>'Single Audit Cover'!A4</f>
        <v>Year Ending June 30, 2020</v>
      </c>
      <c r="C4" s="2618"/>
      <c r="D4" s="2618"/>
      <c r="E4" s="2618"/>
      <c r="F4" s="2618"/>
      <c r="G4" s="2618"/>
      <c r="H4" s="2618"/>
      <c r="I4" s="2618"/>
      <c r="J4" s="2618"/>
      <c r="K4" s="2618"/>
      <c r="L4" s="2037"/>
    </row>
    <row r="5" spans="1:12" ht="5.25" customHeight="1" x14ac:dyDescent="0.2">
      <c r="B5" s="1036" t="s">
        <v>1160</v>
      </c>
      <c r="C5" s="1036"/>
      <c r="L5" s="300"/>
    </row>
    <row r="6" spans="1:12" ht="30.75" customHeight="1" x14ac:dyDescent="0.2">
      <c r="A6" s="300"/>
      <c r="B6" s="2624" t="s">
        <v>1298</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v>2</v>
      </c>
      <c r="E8" s="300"/>
      <c r="F8" s="1154" t="s">
        <v>1285</v>
      </c>
      <c r="G8" s="1224" t="s">
        <v>2047</v>
      </c>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02" t="s">
        <v>2118</v>
      </c>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25" t="s">
        <v>2119</v>
      </c>
      <c r="E14" s="2625"/>
      <c r="F14" s="2625"/>
      <c r="H14" s="1230" t="s">
        <v>1293</v>
      </c>
      <c r="I14" s="2626" t="s">
        <v>2122</v>
      </c>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26" t="s">
        <v>2120</v>
      </c>
      <c r="E16" s="2626"/>
      <c r="F16" s="2626"/>
      <c r="G16" s="2626"/>
      <c r="H16" s="2626"/>
      <c r="I16" s="2626"/>
      <c r="J16" s="2626"/>
      <c r="K16" s="2626"/>
      <c r="L16" s="300"/>
    </row>
    <row r="17" spans="2:12" ht="13.5" customHeight="1" x14ac:dyDescent="0.2">
      <c r="B17" s="1156" t="s">
        <v>1291</v>
      </c>
      <c r="C17" s="1156"/>
      <c r="D17" s="2627" t="s">
        <v>2121</v>
      </c>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7" t="s">
        <v>2123</v>
      </c>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17" t="s">
        <v>2189</v>
      </c>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17" t="s">
        <v>2125</v>
      </c>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17" t="s">
        <v>2126</v>
      </c>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7" t="s">
        <v>2127</v>
      </c>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7" t="s">
        <v>2194</v>
      </c>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40.9" customHeight="1" x14ac:dyDescent="0.2">
      <c r="B38" s="2617" t="s">
        <v>2190</v>
      </c>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52.15" customHeight="1" x14ac:dyDescent="0.2">
      <c r="B41" s="2617" t="s">
        <v>2191</v>
      </c>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zoomScale="110" zoomScaleNormal="110" workbookViewId="0">
      <selection activeCell="K25" sqref="K25"/>
    </sheetView>
  </sheetViews>
  <sheetFormatPr defaultColWidth="9.140625" defaultRowHeight="12.75" x14ac:dyDescent="0.2"/>
  <cols>
    <col min="1" max="1" width="1.5703125" style="295" customWidth="1"/>
    <col min="2" max="2" width="14.7109375" style="295" customWidth="1"/>
    <col min="3" max="3" width="41.42578125" style="295" customWidth="1"/>
    <col min="4" max="4" width="37"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LaGrange SD 102</v>
      </c>
      <c r="C1" s="2595"/>
      <c r="D1" s="2595"/>
      <c r="E1" s="1240"/>
    </row>
    <row r="2" spans="2:5" s="1058" customFormat="1" ht="12.75" customHeight="1" x14ac:dyDescent="0.2">
      <c r="B2" s="2597">
        <f>'Single Audit Cover'!E7</f>
        <v>6016102002</v>
      </c>
      <c r="C2" s="2597"/>
      <c r="D2" s="2597"/>
      <c r="E2" s="1241"/>
    </row>
    <row r="3" spans="2:5" ht="12.75" customHeight="1" x14ac:dyDescent="0.2">
      <c r="B3" s="2618" t="s">
        <v>1742</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1743</v>
      </c>
      <c r="C5" s="306"/>
      <c r="D5" s="306"/>
      <c r="E5" s="306"/>
    </row>
    <row r="6" spans="2:5" s="1058" customFormat="1" ht="13.5" customHeight="1" x14ac:dyDescent="0.2">
      <c r="B6" s="1244" t="s">
        <v>1305</v>
      </c>
      <c r="C6" s="1244" t="s">
        <v>1304</v>
      </c>
      <c r="D6" s="1244" t="s">
        <v>1744</v>
      </c>
    </row>
    <row r="7" spans="2:5" ht="76.5" x14ac:dyDescent="0.2">
      <c r="B7" s="2039" t="s">
        <v>2130</v>
      </c>
      <c r="C7" s="2038" t="s">
        <v>2132</v>
      </c>
      <c r="D7" s="2045" t="s">
        <v>2192</v>
      </c>
      <c r="E7" s="302"/>
    </row>
    <row r="8" spans="2:5" ht="76.5" x14ac:dyDescent="0.2">
      <c r="B8" s="2039" t="s">
        <v>2131</v>
      </c>
      <c r="C8" s="2038" t="s">
        <v>2132</v>
      </c>
      <c r="D8" s="2045" t="s">
        <v>2193</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1745</v>
      </c>
    </row>
    <row r="46" spans="2:5" ht="12.2" customHeight="1" x14ac:dyDescent="0.2">
      <c r="B46" s="1254" t="s">
        <v>1746</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36" sqref="P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382</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938313421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2.9950000000000001E-2</v>
      </c>
      <c r="E10" s="333" t="s">
        <v>997</v>
      </c>
      <c r="F10" s="332">
        <f>0.004443</f>
        <v>4.4429999999999999E-3</v>
      </c>
      <c r="G10" s="333" t="s">
        <v>997</v>
      </c>
      <c r="H10" s="332">
        <v>8.52E-4</v>
      </c>
      <c r="I10" s="333" t="s">
        <v>998</v>
      </c>
      <c r="J10" s="1424">
        <f>ROUND(D10+F10+H10,5)</f>
        <v>3.5249999999999997E-2</v>
      </c>
      <c r="K10" s="217"/>
      <c r="L10" s="332">
        <f>0.000426</f>
        <v>4.26E-4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40439416</v>
      </c>
      <c r="E16" s="1547"/>
      <c r="F16" s="1546">
        <f>SUM('Acct Summary 7-8'!C17,'Acct Summary 7-8'!D17,'Acct Summary 7-8'!F17)</f>
        <v>39712447</v>
      </c>
      <c r="G16" s="1547"/>
      <c r="H16" s="1546">
        <f>SUM(D16-F16)</f>
        <v>726969</v>
      </c>
      <c r="I16" s="1548"/>
      <c r="J16" s="1546">
        <f>SUM('Acct Summary 7-8'!C81,'Acct Summary 7-8'!D81,'Acct Summary 7-8'!F81,'Acct Summary 7-8'!I81)</f>
        <v>8367306</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581</v>
      </c>
      <c r="D31" s="232" t="s">
        <v>1064</v>
      </c>
      <c r="E31" s="217"/>
      <c r="F31" s="217"/>
      <c r="G31" s="340"/>
      <c r="H31" s="1425">
        <f>IF(B31="X",(J7*0.069),IF(B32="X",(J7*0.138),"Enter x in a.or b."))</f>
        <v>64743626.049000002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29589219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O44" sqref="O4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551</v>
      </c>
      <c r="B2" s="2217"/>
      <c r="C2" s="2217"/>
      <c r="D2" s="2217"/>
      <c r="E2" s="2217"/>
      <c r="F2" s="2217"/>
      <c r="G2" s="2217"/>
      <c r="H2" s="2217"/>
      <c r="I2" s="2217"/>
      <c r="J2" s="2217"/>
      <c r="K2" s="2217"/>
      <c r="L2" s="2217"/>
      <c r="M2" s="2217"/>
      <c r="N2" s="2217"/>
      <c r="O2" s="2217"/>
      <c r="P2" s="2217"/>
      <c r="Q2" s="2217"/>
      <c r="R2" s="2217"/>
    </row>
    <row r="3" spans="1:18" ht="12.75" x14ac:dyDescent="0.2">
      <c r="A3" s="2218" t="s">
        <v>1398</v>
      </c>
      <c r="B3" s="2218"/>
      <c r="C3" s="2218"/>
      <c r="D3" s="2218"/>
      <c r="E3" s="2218"/>
      <c r="F3" s="2218"/>
      <c r="G3" s="2218"/>
      <c r="H3" s="2218"/>
      <c r="I3" s="2218"/>
      <c r="J3" s="2218"/>
      <c r="K3" s="2218"/>
      <c r="L3" s="2218"/>
      <c r="M3" s="2218"/>
      <c r="N3" s="2218"/>
      <c r="O3" s="2218"/>
      <c r="P3" s="2218"/>
      <c r="Q3" s="2218"/>
      <c r="R3" s="2218"/>
    </row>
    <row r="4" spans="1:18" x14ac:dyDescent="0.2">
      <c r="A4" s="2219" t="s">
        <v>1539</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LaGrange SD 102</v>
      </c>
      <c r="E7" s="368"/>
      <c r="G7" s="247"/>
      <c r="H7" s="364"/>
      <c r="I7" s="364"/>
      <c r="J7" s="364"/>
      <c r="K7" s="364"/>
      <c r="L7" s="307"/>
      <c r="M7" s="307"/>
      <c r="N7" s="307"/>
      <c r="O7" s="307"/>
      <c r="P7" s="307"/>
    </row>
    <row r="8" spans="1:18" ht="12.75" x14ac:dyDescent="0.2">
      <c r="A8" s="307"/>
      <c r="B8" s="307"/>
      <c r="C8" s="366" t="s">
        <v>1116</v>
      </c>
      <c r="D8" s="369">
        <f>COVER!A13</f>
        <v>6016102002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3</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8367306</v>
      </c>
      <c r="I12" s="380"/>
      <c r="J12" s="380"/>
      <c r="K12" s="1559">
        <f>TRUNC((H12/H13*100000),5)/100000</f>
        <v>0.20987676490000001</v>
      </c>
      <c r="L12" s="381"/>
      <c r="M12" s="337" t="s">
        <v>1135</v>
      </c>
      <c r="N12" s="337"/>
      <c r="O12" s="1562">
        <v>0.35</v>
      </c>
      <c r="P12" s="213"/>
      <c r="Q12" s="213"/>
    </row>
    <row r="13" spans="1:18" s="382" customFormat="1" ht="12.75" x14ac:dyDescent="0.2">
      <c r="A13" s="213"/>
      <c r="B13" s="377"/>
      <c r="C13" s="2215" t="s">
        <v>1314</v>
      </c>
      <c r="D13" s="2216"/>
      <c r="E13" s="213"/>
      <c r="F13" s="383" t="s">
        <v>787</v>
      </c>
      <c r="G13" s="378"/>
      <c r="H13" s="1551">
        <f>SUM('Acct Summary 7-8'!C8+'Acct Summary 7-8'!D8+'Acct Summary 7-8'!F8+'Acct Summary 7-8'!I8)+H14</f>
        <v>39867710</v>
      </c>
      <c r="I13" s="380"/>
      <c r="J13" s="380"/>
      <c r="K13" s="1558"/>
      <c r="L13" s="213"/>
      <c r="M13" s="337" t="s">
        <v>1136</v>
      </c>
      <c r="N13" s="337"/>
      <c r="O13" s="1563">
        <f>(O11*O12)</f>
        <v>1.0499999999999998</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-571706</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39712447</v>
      </c>
      <c r="I17" s="380"/>
      <c r="J17" s="389"/>
      <c r="K17" s="1559">
        <f>TRUNC((H17/H18*100000),5)/100000</f>
        <v>0.99610554500000004</v>
      </c>
      <c r="L17" s="381"/>
      <c r="M17" s="390" t="s">
        <v>1162</v>
      </c>
      <c r="O17" s="1565" t="str">
        <f>IF(AND(O16="2", J20 &gt; 2),"1",IF(AND(O16 = "1", J20 &gt; 2),"2",IF(AND(O16="1", J20 &gt;1),"1","0")))</f>
        <v>0</v>
      </c>
      <c r="P17" s="213"/>
    </row>
    <row r="18" spans="1:18" s="382" customFormat="1" ht="11.25" x14ac:dyDescent="0.2">
      <c r="A18" s="213"/>
      <c r="B18" s="377"/>
      <c r="C18" s="2215" t="s">
        <v>1307</v>
      </c>
      <c r="D18" s="2216"/>
      <c r="E18" s="213"/>
      <c r="F18" s="391" t="s">
        <v>788</v>
      </c>
      <c r="G18" s="378"/>
      <c r="H18" s="1551">
        <f>SUM('Acct Summary 7-8'!C8+'Acct Summary 7-8'!D8+'Acct Summary 7-8'!F8+'Acct Summary 7-8'!I8)+H19</f>
        <v>39867710</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-571706</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2</v>
      </c>
      <c r="P23" s="211"/>
      <c r="R23" s="361"/>
    </row>
    <row r="24" spans="1:18" s="382" customFormat="1" ht="11.25" x14ac:dyDescent="0.2">
      <c r="A24" s="213"/>
      <c r="B24" s="377"/>
      <c r="C24" s="2212" t="s">
        <v>1397</v>
      </c>
      <c r="D24" s="2212"/>
      <c r="E24" s="213"/>
      <c r="F24" s="213" t="s">
        <v>441</v>
      </c>
      <c r="G24" s="378"/>
      <c r="H24" s="1551">
        <f>SUM('Assets-Liab 5-6'!C4+'Assets-Liab 5-6'!D4+'Assets-Liab 5-6'!F4+'Assets-Liab 5-6'!I4+'Assets-Liab 5-6'!C5+'Assets-Liab 5-6'!D5+'Assets-Liab 5-6'!F5+'Assets-Liab 5-6'!I5)</f>
        <v>7919861</v>
      </c>
      <c r="I24" s="394"/>
      <c r="J24" s="394"/>
      <c r="K24" s="1555">
        <f>TRUNC(((H24/H25*100000)/100000),2)</f>
        <v>71.790000000000006</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110312.35278</v>
      </c>
      <c r="I25" s="396"/>
      <c r="J25" s="396"/>
      <c r="K25" s="1558"/>
      <c r="L25" s="213"/>
      <c r="M25" s="337" t="s">
        <v>1136</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28114215.876710001</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3</v>
      </c>
      <c r="P31" s="211"/>
    </row>
    <row r="32" spans="1:18" s="382" customFormat="1" ht="11.25" x14ac:dyDescent="0.2">
      <c r="A32" s="213"/>
      <c r="B32" s="377"/>
      <c r="C32" s="213" t="s">
        <v>841</v>
      </c>
      <c r="D32" s="213"/>
      <c r="E32" s="213"/>
      <c r="F32" s="213"/>
      <c r="G32" s="378"/>
      <c r="H32" s="1551">
        <f>'FP Info 3'!H37</f>
        <v>29589219</v>
      </c>
      <c r="I32" s="392"/>
      <c r="J32" s="392"/>
      <c r="K32" s="1555">
        <f>TRUNC(100-((((H32/H33*100))*100)/100),2)</f>
        <v>54.29</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64743626.049000002</v>
      </c>
      <c r="I33" s="392"/>
      <c r="J33" s="392"/>
      <c r="K33" s="379"/>
      <c r="L33" s="213"/>
      <c r="M33" s="401" t="s">
        <v>1136</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18"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2" t="s">
        <v>966</v>
      </c>
      <c r="B3" s="2223"/>
      <c r="C3" s="1306"/>
      <c r="D3" s="1307"/>
      <c r="E3" s="1307"/>
      <c r="F3" s="1307"/>
      <c r="G3" s="1307"/>
      <c r="H3" s="1307"/>
      <c r="I3" s="1307"/>
      <c r="J3" s="1307"/>
      <c r="K3" s="1307"/>
      <c r="L3" s="1307"/>
      <c r="M3" s="1308"/>
      <c r="N3" s="1309"/>
    </row>
    <row r="4" spans="1:14" ht="13.5" customHeight="1" x14ac:dyDescent="0.2">
      <c r="A4" s="427" t="s">
        <v>1634</v>
      </c>
      <c r="B4" s="428"/>
      <c r="C4" s="1572">
        <v>5025392</v>
      </c>
      <c r="D4" s="1573">
        <v>1763689</v>
      </c>
      <c r="E4" s="1573">
        <v>665562</v>
      </c>
      <c r="F4" s="1573">
        <v>572687</v>
      </c>
      <c r="G4" s="1573">
        <v>1425001</v>
      </c>
      <c r="H4" s="1573">
        <v>78839</v>
      </c>
      <c r="I4" s="1573">
        <v>558093</v>
      </c>
      <c r="J4" s="1574">
        <v>804899</v>
      </c>
      <c r="K4" s="1573"/>
      <c r="L4" s="1573">
        <v>204968</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v>1400000</v>
      </c>
      <c r="E8" s="1574"/>
      <c r="F8" s="1574">
        <v>200000</v>
      </c>
      <c r="G8" s="1583"/>
      <c r="H8" s="1574"/>
      <c r="I8" s="1579">
        <v>550000</v>
      </c>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v>2167051</v>
      </c>
      <c r="F12" s="1573"/>
      <c r="G12" s="1573"/>
      <c r="H12" s="1573"/>
      <c r="I12" s="1573"/>
      <c r="J12" s="1574"/>
      <c r="K12" s="1573"/>
      <c r="L12" s="1573"/>
      <c r="M12" s="1576"/>
      <c r="N12" s="1576"/>
    </row>
    <row r="13" spans="1:14" ht="13.5" customHeight="1" thickBot="1" x14ac:dyDescent="0.25">
      <c r="A13" s="1426" t="s">
        <v>638</v>
      </c>
      <c r="B13" s="1407"/>
      <c r="C13" s="1587">
        <f>SUM(C4:C12)</f>
        <v>5025392</v>
      </c>
      <c r="D13" s="1587">
        <f t="shared" ref="D13:L13" si="0">SUM(D4:D12)</f>
        <v>3163689</v>
      </c>
      <c r="E13" s="1587">
        <f t="shared" si="0"/>
        <v>2832613</v>
      </c>
      <c r="F13" s="1587">
        <f t="shared" si="0"/>
        <v>772687</v>
      </c>
      <c r="G13" s="1587">
        <f t="shared" si="0"/>
        <v>1425001</v>
      </c>
      <c r="H13" s="1587">
        <f t="shared" si="0"/>
        <v>78839</v>
      </c>
      <c r="I13" s="1587">
        <f t="shared" si="0"/>
        <v>1108093</v>
      </c>
      <c r="J13" s="1587">
        <f t="shared" si="0"/>
        <v>804899</v>
      </c>
      <c r="K13" s="1587">
        <f t="shared" si="0"/>
        <v>0</v>
      </c>
      <c r="L13" s="1587">
        <f t="shared" si="0"/>
        <v>204968</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c r="N15" s="1592"/>
    </row>
    <row r="16" spans="1:14" s="433" customFormat="1" ht="12.75" customHeight="1" x14ac:dyDescent="0.2">
      <c r="A16" s="431" t="s">
        <v>1387</v>
      </c>
      <c r="B16" s="432">
        <v>220</v>
      </c>
      <c r="C16" s="1582"/>
      <c r="D16" s="1582"/>
      <c r="E16" s="1582"/>
      <c r="F16" s="1582"/>
      <c r="G16" s="1582"/>
      <c r="H16" s="1582"/>
      <c r="I16" s="1582"/>
      <c r="J16" s="1582"/>
      <c r="K16" s="1582"/>
      <c r="L16" s="1582"/>
      <c r="M16" s="1574">
        <v>767294</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v>58606022</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v>2156479</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v>3377238</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v>2832613</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7">
        <f>'Short-Term Long-Term Debt 24'!J49</f>
        <v>26756606</v>
      </c>
    </row>
    <row r="23" spans="1:14" ht="13.5" customHeight="1" thickBot="1" x14ac:dyDescent="0.25">
      <c r="A23" s="1426" t="s">
        <v>637</v>
      </c>
      <c r="B23" s="1429"/>
      <c r="C23" s="1575"/>
      <c r="D23" s="1575"/>
      <c r="E23" s="1575"/>
      <c r="F23" s="1575"/>
      <c r="G23" s="1575"/>
      <c r="H23" s="1575"/>
      <c r="I23" s="1575"/>
      <c r="J23" s="1575"/>
      <c r="K23" s="1575"/>
      <c r="L23" s="1575"/>
      <c r="M23" s="1594">
        <f>SUM(M15:M22)</f>
        <v>64907033</v>
      </c>
      <c r="N23" s="1594">
        <f>SUM(N21:N22)</f>
        <v>29589219</v>
      </c>
    </row>
    <row r="24" spans="1:14" ht="18" customHeight="1" thickTop="1" x14ac:dyDescent="0.2">
      <c r="A24" s="2226" t="s">
        <v>593</v>
      </c>
      <c r="B24" s="2227"/>
      <c r="C24" s="1595"/>
      <c r="D24" s="1590"/>
      <c r="E24" s="1590"/>
      <c r="F24" s="1590"/>
      <c r="G24" s="1590"/>
      <c r="H24" s="1590"/>
      <c r="I24" s="1590"/>
      <c r="J24" s="1590"/>
      <c r="K24" s="1590"/>
      <c r="L24" s="1590"/>
      <c r="M24" s="1589"/>
      <c r="N24" s="1596"/>
    </row>
    <row r="25" spans="1:14" x14ac:dyDescent="0.2">
      <c r="A25" s="430" t="s">
        <v>639</v>
      </c>
      <c r="B25" s="429">
        <v>410</v>
      </c>
      <c r="C25" s="1583">
        <v>1600000</v>
      </c>
      <c r="D25" s="1583"/>
      <c r="E25" s="1583"/>
      <c r="F25" s="1583"/>
      <c r="G25" s="1583">
        <v>550000</v>
      </c>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v>102555</v>
      </c>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204968</v>
      </c>
      <c r="M33" s="1575"/>
      <c r="N33" s="1576"/>
    </row>
    <row r="34" spans="1:14" ht="13.5" customHeight="1" thickBot="1" x14ac:dyDescent="0.25">
      <c r="A34" s="1427" t="s">
        <v>648</v>
      </c>
      <c r="B34" s="1428"/>
      <c r="C34" s="1600">
        <f>SUM(C25:C33)</f>
        <v>1702555</v>
      </c>
      <c r="D34" s="1600">
        <f t="shared" ref="D34:K34" si="1">SUM(D25:D33)</f>
        <v>0</v>
      </c>
      <c r="E34" s="1600">
        <f t="shared" si="1"/>
        <v>0</v>
      </c>
      <c r="F34" s="1600">
        <f t="shared" si="1"/>
        <v>0</v>
      </c>
      <c r="G34" s="1600">
        <f t="shared" si="1"/>
        <v>550000</v>
      </c>
      <c r="H34" s="1600">
        <f t="shared" si="1"/>
        <v>0</v>
      </c>
      <c r="I34" s="1600">
        <f t="shared" si="1"/>
        <v>0</v>
      </c>
      <c r="J34" s="1600">
        <f t="shared" si="1"/>
        <v>0</v>
      </c>
      <c r="K34" s="1600">
        <f t="shared" si="1"/>
        <v>0</v>
      </c>
      <c r="L34" s="1601">
        <f>SUM(L33)</f>
        <v>204968</v>
      </c>
      <c r="M34" s="1575"/>
      <c r="N34" s="1585"/>
    </row>
    <row r="35" spans="1:14" ht="18" customHeight="1" thickTop="1" x14ac:dyDescent="0.2">
      <c r="A35" s="2228" t="s">
        <v>525</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29589219</v>
      </c>
    </row>
    <row r="37" spans="1:14" ht="13.5" thickBot="1" x14ac:dyDescent="0.25">
      <c r="A37" s="1426" t="s">
        <v>647</v>
      </c>
      <c r="B37" s="1429"/>
      <c r="C37" s="1582"/>
      <c r="D37" s="1582"/>
      <c r="E37" s="1582"/>
      <c r="F37" s="1582"/>
      <c r="G37" s="1582"/>
      <c r="H37" s="1582"/>
      <c r="I37" s="1582"/>
      <c r="J37" s="1582"/>
      <c r="K37" s="1582"/>
      <c r="L37" s="1585"/>
      <c r="M37" s="1575"/>
      <c r="N37" s="1594">
        <f>SUM(N36:N36)</f>
        <v>29589219</v>
      </c>
    </row>
    <row r="38" spans="1:14" s="307" customFormat="1" ht="13.5" customHeight="1" thickTop="1" x14ac:dyDescent="0.2">
      <c r="A38" s="438" t="s">
        <v>416</v>
      </c>
      <c r="B38" s="432">
        <v>714</v>
      </c>
      <c r="C38" s="1573"/>
      <c r="D38" s="1573"/>
      <c r="E38" s="1573">
        <v>2832613</v>
      </c>
      <c r="F38" s="1573">
        <v>772687</v>
      </c>
      <c r="G38" s="1573">
        <v>875001</v>
      </c>
      <c r="H38" s="1573"/>
      <c r="I38" s="1573"/>
      <c r="J38" s="1574">
        <v>804899</v>
      </c>
      <c r="K38" s="1573"/>
      <c r="L38" s="1586"/>
      <c r="M38" s="1604"/>
      <c r="N38" s="1604"/>
    </row>
    <row r="39" spans="1:14" s="307" customFormat="1" ht="13.5" customHeight="1" x14ac:dyDescent="0.2">
      <c r="A39" s="438" t="s">
        <v>338</v>
      </c>
      <c r="B39" s="432">
        <v>730</v>
      </c>
      <c r="C39" s="1573">
        <v>3322837</v>
      </c>
      <c r="D39" s="1573">
        <v>3163689</v>
      </c>
      <c r="E39" s="1573"/>
      <c r="F39" s="1573"/>
      <c r="G39" s="1573"/>
      <c r="H39" s="1573">
        <v>78839</v>
      </c>
      <c r="I39" s="1573">
        <v>1108093</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64907033</v>
      </c>
      <c r="N40" s="1604"/>
    </row>
    <row r="41" spans="1:14" ht="13.5" customHeight="1" thickBot="1" x14ac:dyDescent="0.25">
      <c r="A41" s="1426" t="s">
        <v>649</v>
      </c>
      <c r="B41" s="1405"/>
      <c r="C41" s="1594">
        <f>(SUM(C34,C37,C38,C39))</f>
        <v>5025392</v>
      </c>
      <c r="D41" s="1594">
        <f t="shared" ref="D41:L41" si="2">SUM(D34,D37,D38:D39)</f>
        <v>3163689</v>
      </c>
      <c r="E41" s="1594">
        <f t="shared" si="2"/>
        <v>2832613</v>
      </c>
      <c r="F41" s="1594">
        <f t="shared" si="2"/>
        <v>772687</v>
      </c>
      <c r="G41" s="1594">
        <f t="shared" si="2"/>
        <v>1425001</v>
      </c>
      <c r="H41" s="1594">
        <f t="shared" si="2"/>
        <v>78839</v>
      </c>
      <c r="I41" s="1594">
        <f t="shared" si="2"/>
        <v>1108093</v>
      </c>
      <c r="J41" s="1594">
        <f t="shared" si="2"/>
        <v>804899</v>
      </c>
      <c r="K41" s="1594">
        <f t="shared" si="2"/>
        <v>0</v>
      </c>
      <c r="L41" s="1594">
        <f t="shared" si="2"/>
        <v>204968</v>
      </c>
      <c r="M41" s="1594">
        <f>SUM(M40)</f>
        <v>64907033</v>
      </c>
      <c r="N41" s="1594">
        <f>SUM(N37)</f>
        <v>29589219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pane="bottomLeft" activeCell="E76" sqref="E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0" t="s">
        <v>1166</v>
      </c>
      <c r="B3" s="2251"/>
      <c r="C3" s="1311"/>
      <c r="D3" s="1312"/>
      <c r="E3" s="1312"/>
      <c r="F3" s="1312"/>
      <c r="G3" s="1312"/>
      <c r="H3" s="1312"/>
      <c r="I3" s="1312"/>
      <c r="J3" s="1312"/>
      <c r="K3" s="1313"/>
      <c r="L3" s="446"/>
    </row>
    <row r="4" spans="1:13" ht="15.75" customHeight="1" x14ac:dyDescent="0.2">
      <c r="A4" s="1537" t="s">
        <v>1484</v>
      </c>
      <c r="B4" s="1538">
        <v>1000</v>
      </c>
      <c r="C4" s="1606">
        <f>'Revenues 9-14'!C109</f>
        <v>29412474</v>
      </c>
      <c r="D4" s="1606">
        <f>'Revenues 9-14'!D109</f>
        <v>4102170</v>
      </c>
      <c r="E4" s="1606">
        <f>'Revenues 9-14'!E109</f>
        <v>2651635</v>
      </c>
      <c r="F4" s="1606">
        <f>'Revenues 9-14'!F109</f>
        <v>862419</v>
      </c>
      <c r="G4" s="1606">
        <f>'Revenues 9-14'!G109</f>
        <v>1270652</v>
      </c>
      <c r="H4" s="1606">
        <f>'Revenues 9-14'!H109</f>
        <v>1769</v>
      </c>
      <c r="I4" s="1606">
        <f>'Revenues 9-14'!I109</f>
        <v>401196</v>
      </c>
      <c r="J4" s="1606">
        <f>'Revenues 9-14'!J109</f>
        <v>17951</v>
      </c>
      <c r="K4" s="1606">
        <f>'Revenues 9-14'!K109</f>
        <v>0</v>
      </c>
      <c r="L4" s="325"/>
    </row>
    <row r="5" spans="1:13" ht="15.75" customHeight="1" x14ac:dyDescent="0.2">
      <c r="A5" s="1314" t="s">
        <v>1485</v>
      </c>
      <c r="B5" s="1315">
        <v>2000</v>
      </c>
      <c r="C5" s="1607">
        <f>'Revenues 9-14'!C114</f>
        <v>0</v>
      </c>
      <c r="D5" s="1607">
        <f>'Revenues 9-14'!D114</f>
        <v>0</v>
      </c>
      <c r="E5" s="1608"/>
      <c r="F5" s="1607">
        <f>'Revenues 9-14'!F114</f>
        <v>0</v>
      </c>
      <c r="G5" s="1607">
        <f>'Revenues 9-14'!G114</f>
        <v>0</v>
      </c>
      <c r="H5" s="1609" t="s">
        <v>1160</v>
      </c>
      <c r="I5" s="1610" t="s">
        <v>1160</v>
      </c>
      <c r="J5" s="1611" t="s">
        <v>1160</v>
      </c>
      <c r="K5" s="1612" t="s">
        <v>1160</v>
      </c>
      <c r="L5" s="325"/>
    </row>
    <row r="6" spans="1:13" ht="15.75" customHeight="1" x14ac:dyDescent="0.2">
      <c r="A6" s="1314" t="s">
        <v>1486</v>
      </c>
      <c r="B6" s="1316">
        <v>3000</v>
      </c>
      <c r="C6" s="1607">
        <f>'Revenues 9-14'!C170</f>
        <v>3833283</v>
      </c>
      <c r="D6" s="1607">
        <f>'Revenues 9-14'!D170</f>
        <v>50000</v>
      </c>
      <c r="E6" s="1607">
        <f>'Revenues 9-14'!E170</f>
        <v>0</v>
      </c>
      <c r="F6" s="1607">
        <f>'Revenues 9-14'!F170</f>
        <v>416655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1487</v>
      </c>
      <c r="B7" s="1316">
        <v>4000</v>
      </c>
      <c r="C7" s="1607">
        <f>'Revenues 9-14'!C267</f>
        <v>1361219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1163</v>
      </c>
      <c r="B8" s="1407"/>
      <c r="C8" s="1594">
        <f>SUM(C4:C7)</f>
        <v>34606976</v>
      </c>
      <c r="D8" s="1594">
        <f t="shared" ref="D8:K8" si="0">SUM(D4:D7)</f>
        <v>4152170</v>
      </c>
      <c r="E8" s="1594">
        <f t="shared" si="0"/>
        <v>2651635</v>
      </c>
      <c r="F8" s="1594">
        <f t="shared" si="0"/>
        <v>1279074</v>
      </c>
      <c r="G8" s="1594">
        <f t="shared" si="0"/>
        <v>1270652</v>
      </c>
      <c r="H8" s="1594">
        <f t="shared" si="0"/>
        <v>1769</v>
      </c>
      <c r="I8" s="1594">
        <f t="shared" si="0"/>
        <v>401196</v>
      </c>
      <c r="J8" s="1594">
        <f t="shared" si="0"/>
        <v>17951</v>
      </c>
      <c r="K8" s="1594">
        <f t="shared" si="0"/>
        <v>0</v>
      </c>
      <c r="L8" s="325"/>
    </row>
    <row r="9" spans="1:13" ht="15.75" thickTop="1" x14ac:dyDescent="0.2">
      <c r="A9" s="449" t="s">
        <v>1636</v>
      </c>
      <c r="B9" s="450">
        <v>3998</v>
      </c>
      <c r="C9" s="1586">
        <v>16605627</v>
      </c>
      <c r="D9" s="1613"/>
      <c r="E9" s="1586"/>
      <c r="F9" s="1586"/>
      <c r="G9" s="1614"/>
      <c r="H9" s="1586"/>
      <c r="I9" s="1609" t="s">
        <v>1160</v>
      </c>
      <c r="J9" s="1583"/>
      <c r="K9" s="1586"/>
      <c r="L9" s="325"/>
    </row>
    <row r="10" spans="1:13" s="452" customFormat="1" ht="13.5" thickBot="1" x14ac:dyDescent="0.25">
      <c r="A10" s="1426" t="s">
        <v>1164</v>
      </c>
      <c r="B10" s="1407"/>
      <c r="C10" s="1594">
        <f>SUM(C8:C9)</f>
        <v>51212603</v>
      </c>
      <c r="D10" s="1594">
        <f t="shared" ref="D10:K10" si="1">SUM(D8:D9)</f>
        <v>4152170</v>
      </c>
      <c r="E10" s="1594">
        <f t="shared" si="1"/>
        <v>2651635</v>
      </c>
      <c r="F10" s="1594">
        <f t="shared" si="1"/>
        <v>1279074</v>
      </c>
      <c r="G10" s="1594">
        <f t="shared" si="1"/>
        <v>1270652</v>
      </c>
      <c r="H10" s="1594">
        <f t="shared" si="1"/>
        <v>1769</v>
      </c>
      <c r="I10" s="1594">
        <f t="shared" si="1"/>
        <v>401196</v>
      </c>
      <c r="J10" s="1594">
        <f t="shared" si="1"/>
        <v>17951</v>
      </c>
      <c r="K10" s="1594">
        <f t="shared" si="1"/>
        <v>0</v>
      </c>
      <c r="L10" s="451"/>
    </row>
    <row r="11" spans="1:13" s="452" customFormat="1" ht="16.7" customHeight="1" thickTop="1" x14ac:dyDescent="0.2">
      <c r="A11" s="2224" t="s">
        <v>1167</v>
      </c>
      <c r="B11" s="2225"/>
      <c r="C11" s="1602"/>
      <c r="D11" s="1603"/>
      <c r="E11" s="1603"/>
      <c r="F11" s="1603"/>
      <c r="G11" s="1603"/>
      <c r="H11" s="1603"/>
      <c r="I11" s="1603"/>
      <c r="J11" s="1603"/>
      <c r="K11" s="1615"/>
      <c r="L11" s="451"/>
    </row>
    <row r="12" spans="1:13" ht="15.75" customHeight="1" x14ac:dyDescent="0.2">
      <c r="A12" s="1314" t="s">
        <v>452</v>
      </c>
      <c r="B12" s="1316">
        <v>1000</v>
      </c>
      <c r="C12" s="1606">
        <f>'Expenditures 15-22'!K33</f>
        <v>23426070</v>
      </c>
      <c r="D12" s="1616" t="s">
        <v>1160</v>
      </c>
      <c r="E12" s="1575" t="s">
        <v>1160</v>
      </c>
      <c r="F12" s="1575" t="s">
        <v>1160</v>
      </c>
      <c r="G12" s="1606">
        <f>'Expenditures 15-22'!K229</f>
        <v>548949</v>
      </c>
      <c r="H12" s="1617"/>
      <c r="I12" s="1575" t="s">
        <v>1160</v>
      </c>
      <c r="J12" s="1575" t="s">
        <v>1160</v>
      </c>
      <c r="K12" s="1617" t="s">
        <v>1160</v>
      </c>
      <c r="L12" s="325"/>
    </row>
    <row r="13" spans="1:13" ht="15.75" customHeight="1" x14ac:dyDescent="0.2">
      <c r="A13" s="1314" t="s">
        <v>453</v>
      </c>
      <c r="B13" s="1316">
        <v>2000</v>
      </c>
      <c r="C13" s="1607">
        <f>'Expenditures 15-22'!K74</f>
        <v>9622655</v>
      </c>
      <c r="D13" s="1607">
        <f>'Expenditures 15-22'!K129</f>
        <v>3985771</v>
      </c>
      <c r="E13" s="1576" t="s">
        <v>1160</v>
      </c>
      <c r="F13" s="1607">
        <f>'Expenditures 15-22'!K184</f>
        <v>1176977</v>
      </c>
      <c r="G13" s="1607">
        <f>'Expenditures 15-22'!K279</f>
        <v>556671</v>
      </c>
      <c r="H13" s="1607">
        <f>'Expenditures 15-22'!K303</f>
        <v>0</v>
      </c>
      <c r="I13" s="1575" t="s">
        <v>1160</v>
      </c>
      <c r="J13" s="1607">
        <f>'Expenditures 15-22'!K330</f>
        <v>251910</v>
      </c>
      <c r="K13" s="1618">
        <f>'Expenditures 15-22'!K352</f>
        <v>0</v>
      </c>
      <c r="L13" s="325"/>
    </row>
    <row r="14" spans="1:13" ht="15.75" customHeight="1" x14ac:dyDescent="0.2">
      <c r="A14" s="1314" t="s">
        <v>445</v>
      </c>
      <c r="B14" s="1316">
        <v>3000</v>
      </c>
      <c r="C14" s="1607">
        <f>'Expenditures 15-22'!K75</f>
        <v>117103</v>
      </c>
      <c r="D14" s="1607">
        <f>'Expenditures 15-22'!K130</f>
        <v>0</v>
      </c>
      <c r="E14" s="1616" t="s">
        <v>1160</v>
      </c>
      <c r="F14" s="1607">
        <f>'Expenditures 15-22'!K185</f>
        <v>0</v>
      </c>
      <c r="G14" s="1607">
        <f>'Expenditures 15-22'!K280</f>
        <v>14704</v>
      </c>
      <c r="H14" s="1612"/>
      <c r="I14" s="1575" t="s">
        <v>1160</v>
      </c>
      <c r="J14" s="1575" t="s">
        <v>1160</v>
      </c>
      <c r="K14" s="1612" t="s">
        <v>1160</v>
      </c>
      <c r="L14" s="325"/>
    </row>
    <row r="15" spans="1:13" ht="15.75" customHeight="1" x14ac:dyDescent="0.2">
      <c r="A15" s="1314" t="s">
        <v>107</v>
      </c>
      <c r="B15" s="1316">
        <v>4000</v>
      </c>
      <c r="C15" s="1607">
        <f>'Expenditures 15-22'!K102</f>
        <v>1383871</v>
      </c>
      <c r="D15" s="1607">
        <f>'Expenditures 15-22'!K139</f>
        <v>0</v>
      </c>
      <c r="E15" s="1607">
        <f>'Expenditures 15-22'!K160</f>
        <v>0</v>
      </c>
      <c r="F15" s="1607">
        <f>'Expenditures 15-22'!K196</f>
        <v>0</v>
      </c>
      <c r="G15" s="1607">
        <f>'Expenditures 15-22'!K285</f>
        <v>0</v>
      </c>
      <c r="H15" s="1607">
        <f>'Expenditures 15-22'!K310</f>
        <v>0</v>
      </c>
      <c r="I15" s="1575" t="s">
        <v>1160</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5365062</v>
      </c>
      <c r="F16" s="1607">
        <f>'Expenditures 15-22'!K208</f>
        <v>0</v>
      </c>
      <c r="G16" s="1607">
        <f>'Expenditures 15-22'!K293</f>
        <v>0</v>
      </c>
      <c r="H16" s="1620"/>
      <c r="I16" s="1575" t="s">
        <v>1160</v>
      </c>
      <c r="J16" s="1621">
        <f>'Expenditures 15-22'!K340</f>
        <v>0</v>
      </c>
      <c r="K16" s="1607">
        <f>'Expenditures 15-22'!K365</f>
        <v>0</v>
      </c>
      <c r="L16" s="325"/>
    </row>
    <row r="17" spans="1:12" ht="13.5" thickBot="1" x14ac:dyDescent="0.25">
      <c r="A17" s="1406" t="s">
        <v>48</v>
      </c>
      <c r="B17" s="1407"/>
      <c r="C17" s="1594">
        <f t="shared" ref="C17:H17" si="2">SUM(C12:C16)</f>
        <v>34549699</v>
      </c>
      <c r="D17" s="1594">
        <f t="shared" si="2"/>
        <v>3985771</v>
      </c>
      <c r="E17" s="1594">
        <f t="shared" si="2"/>
        <v>5365062</v>
      </c>
      <c r="F17" s="1594">
        <f t="shared" si="2"/>
        <v>1176977</v>
      </c>
      <c r="G17" s="1594">
        <f t="shared" si="2"/>
        <v>1120324</v>
      </c>
      <c r="H17" s="1594">
        <f t="shared" si="2"/>
        <v>0</v>
      </c>
      <c r="I17" s="1575"/>
      <c r="J17" s="1594">
        <f>SUM(J12:J16)</f>
        <v>251910</v>
      </c>
      <c r="K17" s="1594">
        <f>SUM(K12:K16)</f>
        <v>0</v>
      </c>
      <c r="L17" s="325"/>
    </row>
    <row r="18" spans="1:12" ht="15" customHeight="1" thickTop="1" x14ac:dyDescent="0.2">
      <c r="A18" s="1430" t="s">
        <v>1637</v>
      </c>
      <c r="B18" s="1431">
        <v>4180</v>
      </c>
      <c r="C18" s="1606">
        <f t="shared" ref="C18:H18" si="3">C9</f>
        <v>16605627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51155326</v>
      </c>
      <c r="D19" s="1594">
        <f t="shared" si="4"/>
        <v>3985771</v>
      </c>
      <c r="E19" s="1594">
        <f t="shared" si="4"/>
        <v>5365062</v>
      </c>
      <c r="F19" s="1594">
        <f t="shared" si="4"/>
        <v>1176977</v>
      </c>
      <c r="G19" s="1594">
        <f t="shared" si="4"/>
        <v>1120324</v>
      </c>
      <c r="H19" s="1594">
        <f t="shared" si="4"/>
        <v>0</v>
      </c>
      <c r="I19" s="1575"/>
      <c r="J19" s="1594">
        <f>SUM(J17:J18)</f>
        <v>251910</v>
      </c>
      <c r="K19" s="1594">
        <f>SUM(K17:K18)</f>
        <v>0</v>
      </c>
      <c r="L19" s="325"/>
    </row>
    <row r="20" spans="1:12" ht="16.5" thickTop="1" thickBot="1" x14ac:dyDescent="0.25">
      <c r="A20" s="2240" t="s">
        <v>1638</v>
      </c>
      <c r="B20" s="2241"/>
      <c r="C20" s="1622">
        <f>C8-C17</f>
        <v>57277</v>
      </c>
      <c r="D20" s="1622">
        <f t="shared" ref="D20:K20" si="5">D8-D17</f>
        <v>166399</v>
      </c>
      <c r="E20" s="1622">
        <f t="shared" si="5"/>
        <v>-2713427</v>
      </c>
      <c r="F20" s="1622">
        <f t="shared" si="5"/>
        <v>102097</v>
      </c>
      <c r="G20" s="1622">
        <f t="shared" si="5"/>
        <v>150328</v>
      </c>
      <c r="H20" s="1622">
        <f t="shared" si="5"/>
        <v>1769</v>
      </c>
      <c r="I20" s="1622">
        <f t="shared" si="5"/>
        <v>401196</v>
      </c>
      <c r="J20" s="1622">
        <f t="shared" si="5"/>
        <v>-233959</v>
      </c>
      <c r="K20" s="1622">
        <f t="shared" si="5"/>
        <v>0</v>
      </c>
      <c r="L20" s="325"/>
    </row>
    <row r="21" spans="1:12" ht="16.7" customHeight="1" thickTop="1" x14ac:dyDescent="0.2">
      <c r="A21" s="2252" t="s">
        <v>590</v>
      </c>
      <c r="B21" s="2253"/>
      <c r="C21" s="1602"/>
      <c r="D21" s="1603"/>
      <c r="E21" s="1603"/>
      <c r="F21" s="1603"/>
      <c r="G21" s="1603"/>
      <c r="H21" s="1603"/>
      <c r="I21" s="1603"/>
      <c r="J21" s="1603"/>
      <c r="K21" s="1615"/>
      <c r="L21" s="453"/>
    </row>
    <row r="22" spans="1:12" ht="15.75" customHeight="1" collapsed="1" x14ac:dyDescent="0.2">
      <c r="A22" s="2248" t="s">
        <v>591</v>
      </c>
      <c r="B22" s="2249"/>
      <c r="C22" s="1582"/>
      <c r="D22" s="1582"/>
      <c r="E22" s="1582"/>
      <c r="F22" s="1582"/>
      <c r="G22" s="1582"/>
      <c r="H22" s="1582"/>
      <c r="I22" s="1582"/>
      <c r="J22" s="1582"/>
      <c r="K22" s="1582"/>
      <c r="L22" s="325"/>
    </row>
    <row r="23" spans="1:12" s="433" customFormat="1" ht="15.75" customHeight="1" x14ac:dyDescent="0.2">
      <c r="A23" s="2244" t="s">
        <v>289</v>
      </c>
      <c r="B23" s="2245"/>
      <c r="C23" s="1585"/>
      <c r="D23" s="1582"/>
      <c r="E23" s="1582"/>
      <c r="F23" s="1582"/>
      <c r="G23" s="1582"/>
      <c r="H23" s="1582"/>
      <c r="I23" s="1582"/>
      <c r="J23" s="1582"/>
      <c r="K23" s="1582"/>
      <c r="L23" s="453"/>
    </row>
    <row r="24" spans="1:12" s="433" customFormat="1" ht="13.5" customHeight="1" x14ac:dyDescent="0.2">
      <c r="A24" s="1260" t="s">
        <v>1639</v>
      </c>
      <c r="B24" s="454">
        <v>7110</v>
      </c>
      <c r="C24" s="1574"/>
      <c r="D24" s="1582"/>
      <c r="E24" s="1582"/>
      <c r="F24" s="1582"/>
      <c r="G24" s="1582"/>
      <c r="H24" s="1582"/>
      <c r="I24" s="1582"/>
      <c r="J24" s="1582"/>
      <c r="K24" s="1582"/>
      <c r="L24" s="453"/>
    </row>
    <row r="25" spans="1:12" s="433" customFormat="1" ht="13.5" customHeight="1" x14ac:dyDescent="0.2">
      <c r="A25" s="1260" t="s">
        <v>1640</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1383</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46" t="s">
        <v>973</v>
      </c>
      <c r="B32" s="2247"/>
      <c r="C32" s="1582"/>
      <c r="D32" s="1582"/>
      <c r="E32" s="1580"/>
      <c r="F32" s="1582"/>
      <c r="G32" s="1582"/>
      <c r="H32" s="1582"/>
      <c r="I32" s="1582"/>
      <c r="J32" s="1582"/>
      <c r="K32" s="1582"/>
      <c r="L32" s="453"/>
    </row>
    <row r="33" spans="1:12" s="433" customFormat="1" x14ac:dyDescent="0.2">
      <c r="A33" s="1260" t="s">
        <v>408</v>
      </c>
      <c r="B33" s="454">
        <v>7210</v>
      </c>
      <c r="C33" s="1574"/>
      <c r="D33" s="1574"/>
      <c r="E33" s="1574">
        <v>7205000</v>
      </c>
      <c r="F33" s="1574"/>
      <c r="G33" s="1582"/>
      <c r="H33" s="1574"/>
      <c r="I33" s="1574"/>
      <c r="J33" s="1574"/>
      <c r="K33" s="1574"/>
      <c r="L33" s="453"/>
    </row>
    <row r="34" spans="1:12" s="433" customFormat="1" x14ac:dyDescent="0.2">
      <c r="A34" s="1260" t="s">
        <v>993</v>
      </c>
      <c r="B34" s="454">
        <v>7220</v>
      </c>
      <c r="C34" s="1574"/>
      <c r="D34" s="1574"/>
      <c r="E34" s="1574">
        <v>856249</v>
      </c>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1641</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571706</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v>176950</v>
      </c>
      <c r="D43" s="1574">
        <v>724865</v>
      </c>
      <c r="E43" s="1574"/>
      <c r="F43" s="1574"/>
      <c r="G43" s="1574"/>
      <c r="H43" s="1574"/>
      <c r="I43" s="1574"/>
      <c r="J43" s="1574"/>
      <c r="K43" s="1574"/>
      <c r="L43" s="453"/>
    </row>
    <row r="44" spans="1:12" s="433" customFormat="1" ht="13.5" customHeight="1" thickBot="1" x14ac:dyDescent="0.25">
      <c r="A44" s="2254" t="s">
        <v>370</v>
      </c>
      <c r="B44" s="2255"/>
      <c r="C44" s="1624">
        <f>SUM(C24:C43)</f>
        <v>176950</v>
      </c>
      <c r="D44" s="1624">
        <f t="shared" ref="D44:K44" si="6">SUM(D24:D43)</f>
        <v>724865</v>
      </c>
      <c r="E44" s="1624">
        <f t="shared" si="6"/>
        <v>8632955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7">
        <f>SUM(C24,C25:H25,J25:K25)</f>
        <v>0</v>
      </c>
      <c r="J47" s="1582"/>
      <c r="K47" s="1582"/>
      <c r="L47" s="456"/>
    </row>
    <row r="48" spans="1:12" s="433" customFormat="1" ht="15" x14ac:dyDescent="0.2">
      <c r="A48" s="1261" t="s">
        <v>1643</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1383</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163081</v>
      </c>
      <c r="D54" s="1626">
        <v>408625</v>
      </c>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v>7914600</v>
      </c>
      <c r="F75" s="1628"/>
      <c r="G75" s="1628"/>
      <c r="H75" s="1628"/>
      <c r="I75" s="1626"/>
      <c r="J75" s="1626"/>
      <c r="K75" s="1628"/>
      <c r="L75" s="453"/>
    </row>
    <row r="76" spans="1:12" s="433" customFormat="1" ht="14.25" thickTop="1" thickBot="1" x14ac:dyDescent="0.25">
      <c r="A76" s="2230" t="s">
        <v>436</v>
      </c>
      <c r="B76" s="2231"/>
      <c r="C76" s="1624">
        <f t="shared" ref="C76:K76" si="7">SUM(C47:C75)</f>
        <v>163081</v>
      </c>
      <c r="D76" s="1624">
        <f t="shared" si="7"/>
        <v>408625</v>
      </c>
      <c r="E76" s="1624">
        <f t="shared" si="7"/>
        <v>7914600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1168</v>
      </c>
      <c r="B77" s="2233"/>
      <c r="C77" s="1624">
        <f t="shared" ref="C77:K77" si="8">C44-C76</f>
        <v>13869</v>
      </c>
      <c r="D77" s="1624">
        <f t="shared" si="8"/>
        <v>316240</v>
      </c>
      <c r="E77" s="1624">
        <f t="shared" si="8"/>
        <v>718355</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6" t="s">
        <v>592</v>
      </c>
      <c r="B78" s="2237"/>
      <c r="C78" s="1629">
        <f t="shared" ref="C78:K78" si="9">C20+C77</f>
        <v>71146</v>
      </c>
      <c r="D78" s="1629">
        <f t="shared" si="9"/>
        <v>482639</v>
      </c>
      <c r="E78" s="1629">
        <f t="shared" si="9"/>
        <v>-1995072</v>
      </c>
      <c r="F78" s="1629">
        <f t="shared" si="9"/>
        <v>102097</v>
      </c>
      <c r="G78" s="1629">
        <f t="shared" si="9"/>
        <v>150328</v>
      </c>
      <c r="H78" s="1629">
        <f t="shared" si="9"/>
        <v>1769</v>
      </c>
      <c r="I78" s="1629">
        <f t="shared" si="9"/>
        <v>401196</v>
      </c>
      <c r="J78" s="1629">
        <f t="shared" si="9"/>
        <v>-233959</v>
      </c>
      <c r="K78" s="1629">
        <f t="shared" si="9"/>
        <v>0</v>
      </c>
      <c r="L78" s="457"/>
    </row>
    <row r="79" spans="1:12" ht="13.5" thickTop="1" x14ac:dyDescent="0.2">
      <c r="A79" s="1844" t="str">
        <f>"Fund Balances - July 1, "&amp;'AFR20'!E2-1</f>
        <v>Fund Balances - July 1, 2019</v>
      </c>
      <c r="B79" s="458"/>
      <c r="C79" s="1583">
        <v>3251691</v>
      </c>
      <c r="D79" s="1630">
        <v>2681050</v>
      </c>
      <c r="E79" s="1630">
        <v>4827685</v>
      </c>
      <c r="F79" s="1630">
        <v>670590</v>
      </c>
      <c r="G79" s="1630">
        <v>724673</v>
      </c>
      <c r="H79" s="1630">
        <v>77070</v>
      </c>
      <c r="I79" s="1630">
        <v>706897</v>
      </c>
      <c r="J79" s="1630">
        <v>1038858</v>
      </c>
      <c r="K79" s="1630"/>
      <c r="L79" s="325"/>
    </row>
    <row r="80" spans="1:12" x14ac:dyDescent="0.2">
      <c r="A80" s="2242" t="s">
        <v>1771</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3322837</v>
      </c>
      <c r="D81" s="1594">
        <f>SUM(D78:D80)</f>
        <v>3163689</v>
      </c>
      <c r="E81" s="1594">
        <f t="shared" ref="E81:K81" si="10">SUM(E78:E80)</f>
        <v>2832613</v>
      </c>
      <c r="F81" s="1594">
        <f t="shared" si="10"/>
        <v>772687</v>
      </c>
      <c r="G81" s="1594">
        <f t="shared" si="10"/>
        <v>875001</v>
      </c>
      <c r="H81" s="1594">
        <f t="shared" si="10"/>
        <v>78839</v>
      </c>
      <c r="I81" s="1594">
        <f t="shared" si="10"/>
        <v>1108093</v>
      </c>
      <c r="J81" s="1594">
        <f t="shared" si="10"/>
        <v>804899</v>
      </c>
      <c r="K81" s="1594">
        <f t="shared" si="10"/>
        <v>0</v>
      </c>
      <c r="L81" s="325"/>
    </row>
    <row r="82" spans="1:12" ht="0.75" customHeight="1" thickTop="1" thickBot="1" x14ac:dyDescent="0.25">
      <c r="A82" s="459" t="s">
        <v>339</v>
      </c>
      <c r="B82" s="460"/>
      <c r="C82" s="461">
        <f>(C81-C79)</f>
        <v>71146</v>
      </c>
      <c r="D82" s="461">
        <f t="shared" ref="D82:K82" si="11">(D81-D79)</f>
        <v>482639</v>
      </c>
      <c r="E82" s="461">
        <f t="shared" si="11"/>
        <v>-1995072</v>
      </c>
      <c r="F82" s="461">
        <f t="shared" si="11"/>
        <v>102097</v>
      </c>
      <c r="G82" s="461">
        <f t="shared" si="11"/>
        <v>150328</v>
      </c>
      <c r="H82" s="461">
        <f t="shared" si="11"/>
        <v>1769</v>
      </c>
      <c r="I82" s="461">
        <f t="shared" si="11"/>
        <v>401196</v>
      </c>
      <c r="J82" s="461">
        <f t="shared" si="11"/>
        <v>-233959</v>
      </c>
      <c r="K82" s="461">
        <f t="shared" si="11"/>
        <v>0</v>
      </c>
    </row>
    <row r="83" spans="1:12" ht="14.25" hidden="1" thickTop="1" thickBot="1" x14ac:dyDescent="0.25">
      <c r="A83" s="462" t="s">
        <v>340</v>
      </c>
      <c r="B83" s="428"/>
      <c r="C83" s="463">
        <f>C82/C81</f>
        <v>2.1411221796314415E-2</v>
      </c>
      <c r="D83" s="463">
        <f t="shared" ref="D83:K83" si="12">D82/D81</f>
        <v>0.15255576638538113</v>
      </c>
      <c r="E83" s="463">
        <f t="shared" si="12"/>
        <v>-0.70432212236546254</v>
      </c>
      <c r="F83" s="463">
        <f t="shared" si="12"/>
        <v>0.13213241584237861</v>
      </c>
      <c r="G83" s="463">
        <f t="shared" si="12"/>
        <v>0.17180323222487745</v>
      </c>
      <c r="H83" s="463">
        <f t="shared" si="12"/>
        <v>2.2438133411129008E-2</v>
      </c>
      <c r="I83" s="463">
        <f t="shared" si="12"/>
        <v>0.36205986320642763</v>
      </c>
      <c r="J83" s="463">
        <f t="shared" si="12"/>
        <v>-0.29066876713724332</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1778</v>
      </c>
      <c r="B1" s="416"/>
      <c r="C1" s="417" t="s">
        <v>421</v>
      </c>
      <c r="D1" s="417" t="s">
        <v>422</v>
      </c>
      <c r="E1" s="417" t="s">
        <v>423</v>
      </c>
      <c r="F1" s="417" t="s">
        <v>424</v>
      </c>
      <c r="G1" s="417" t="s">
        <v>425</v>
      </c>
      <c r="H1" s="417" t="s">
        <v>426</v>
      </c>
      <c r="I1" s="417" t="s">
        <v>427</v>
      </c>
      <c r="J1" s="417" t="s">
        <v>428</v>
      </c>
      <c r="K1" s="417" t="s">
        <v>750</v>
      </c>
    </row>
    <row r="2" spans="1:12" ht="36" x14ac:dyDescent="0.2">
      <c r="A2" s="223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586">
        <v>26681460</v>
      </c>
      <c r="D5" s="1586">
        <v>3964893</v>
      </c>
      <c r="E5" s="1573">
        <v>2578999</v>
      </c>
      <c r="F5" s="1631">
        <v>760391</v>
      </c>
      <c r="G5" s="1573">
        <v>593701</v>
      </c>
      <c r="H5" s="1573"/>
      <c r="I5" s="1573">
        <v>380195</v>
      </c>
      <c r="J5" s="1574">
        <v>147</v>
      </c>
      <c r="K5" s="1573"/>
    </row>
    <row r="6" spans="1:12" ht="15" x14ac:dyDescent="0.2">
      <c r="A6" s="427" t="s">
        <v>1645</v>
      </c>
      <c r="B6" s="429">
        <v>1130</v>
      </c>
      <c r="C6" s="1573"/>
      <c r="D6" s="1573"/>
      <c r="E6" s="1580"/>
      <c r="F6" s="1580"/>
      <c r="G6" s="1575"/>
      <c r="H6" s="1575"/>
      <c r="I6" s="1575"/>
      <c r="J6" s="1575"/>
      <c r="K6" s="1575"/>
    </row>
    <row r="7" spans="1:12" x14ac:dyDescent="0.2">
      <c r="A7" s="427" t="s">
        <v>110</v>
      </c>
      <c r="B7" s="471">
        <v>1140</v>
      </c>
      <c r="C7" s="1573">
        <v>1020493</v>
      </c>
      <c r="D7" s="1573"/>
      <c r="E7" s="1575"/>
      <c r="F7" s="1574"/>
      <c r="G7" s="1574"/>
      <c r="H7" s="1574"/>
      <c r="I7" s="1575"/>
      <c r="J7" s="1575"/>
      <c r="K7" s="1575"/>
    </row>
    <row r="8" spans="1:12" x14ac:dyDescent="0.2">
      <c r="A8" s="427" t="s">
        <v>409</v>
      </c>
      <c r="B8" s="429">
        <v>1150</v>
      </c>
      <c r="C8" s="1580"/>
      <c r="D8" s="1580"/>
      <c r="E8" s="1582"/>
      <c r="F8" s="1582"/>
      <c r="G8" s="1586">
        <v>593701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27701953</v>
      </c>
      <c r="D12" s="1633">
        <f t="shared" si="0"/>
        <v>3964893</v>
      </c>
      <c r="E12" s="1633">
        <f t="shared" si="0"/>
        <v>2578999</v>
      </c>
      <c r="F12" s="1633">
        <f t="shared" si="0"/>
        <v>760391</v>
      </c>
      <c r="G12" s="1633">
        <f t="shared" si="0"/>
        <v>1187402</v>
      </c>
      <c r="H12" s="1633">
        <f t="shared" si="0"/>
        <v>0</v>
      </c>
      <c r="I12" s="1633">
        <f t="shared" si="0"/>
        <v>380195</v>
      </c>
      <c r="J12" s="1633">
        <f t="shared" si="0"/>
        <v>147</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1646</v>
      </c>
      <c r="B16" s="471">
        <v>1230</v>
      </c>
      <c r="C16" s="1632">
        <v>482324</v>
      </c>
      <c r="D16" s="1573"/>
      <c r="E16" s="1573"/>
      <c r="F16" s="1573"/>
      <c r="G16" s="1573">
        <v>59000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482324</v>
      </c>
      <c r="D18" s="1635">
        <f t="shared" ref="D18:K18" si="1">SUM(D14:D17)</f>
        <v>0</v>
      </c>
      <c r="E18" s="1635">
        <f t="shared" si="1"/>
        <v>0</v>
      </c>
      <c r="F18" s="1635">
        <f t="shared" si="1"/>
        <v>0</v>
      </c>
      <c r="G18" s="1635">
        <f t="shared" si="1"/>
        <v>59000</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1065</v>
      </c>
      <c r="B20" s="429">
        <v>1311</v>
      </c>
      <c r="C20" s="1573">
        <v>75026</v>
      </c>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1066</v>
      </c>
      <c r="B22" s="429">
        <v>1313</v>
      </c>
      <c r="C22" s="1632"/>
      <c r="D22" s="1575"/>
      <c r="E22" s="1575"/>
      <c r="F22" s="1575"/>
      <c r="G22" s="1575"/>
      <c r="H22" s="1575"/>
      <c r="I22" s="1575"/>
      <c r="J22" s="1575"/>
      <c r="K22" s="1575"/>
    </row>
    <row r="23" spans="1:11" ht="12.75" customHeight="1" x14ac:dyDescent="0.2">
      <c r="A23" s="427" t="s">
        <v>1067</v>
      </c>
      <c r="B23" s="429">
        <v>1314</v>
      </c>
      <c r="C23" s="1598"/>
      <c r="D23" s="1575"/>
      <c r="E23" s="1575"/>
      <c r="F23" s="1575"/>
      <c r="G23" s="1575"/>
      <c r="H23" s="1575"/>
      <c r="I23" s="1575"/>
      <c r="J23" s="1575"/>
      <c r="K23" s="1575"/>
    </row>
    <row r="24" spans="1:11" ht="12.75" customHeight="1" x14ac:dyDescent="0.2">
      <c r="A24" s="427" t="s">
        <v>1019</v>
      </c>
      <c r="B24" s="429">
        <v>1321</v>
      </c>
      <c r="C24" s="1632">
        <v>25433</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1093</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100459</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1068</v>
      </c>
      <c r="B42" s="429">
        <v>1411</v>
      </c>
      <c r="C42" s="1575"/>
      <c r="D42" s="1575"/>
      <c r="E42" s="1575"/>
      <c r="F42" s="1586">
        <v>82498</v>
      </c>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1165</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v>-20</v>
      </c>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1098</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1099</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1100</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82478</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174116</v>
      </c>
      <c r="D65" s="1573">
        <v>69243</v>
      </c>
      <c r="E65" s="1573">
        <v>72636</v>
      </c>
      <c r="F65" s="1574">
        <v>19550</v>
      </c>
      <c r="G65" s="1573">
        <v>24250</v>
      </c>
      <c r="H65" s="1573">
        <v>1769</v>
      </c>
      <c r="I65" s="1573">
        <v>21001</v>
      </c>
      <c r="J65" s="1574">
        <v>17804</v>
      </c>
      <c r="K65" s="1573"/>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174116</v>
      </c>
      <c r="D67" s="1594">
        <f t="shared" ref="D67:K67" si="2">SUM(D65:D66)</f>
        <v>69243</v>
      </c>
      <c r="E67" s="1594">
        <f t="shared" si="2"/>
        <v>72636</v>
      </c>
      <c r="F67" s="1594">
        <f t="shared" si="2"/>
        <v>19550</v>
      </c>
      <c r="G67" s="1594">
        <f t="shared" si="2"/>
        <v>24250</v>
      </c>
      <c r="H67" s="1594">
        <f t="shared" si="2"/>
        <v>1769</v>
      </c>
      <c r="I67" s="1594">
        <f t="shared" si="2"/>
        <v>21001</v>
      </c>
      <c r="J67" s="1594">
        <f t="shared" si="2"/>
        <v>17804</v>
      </c>
      <c r="K67" s="1594">
        <f t="shared" si="2"/>
        <v>0</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66736</v>
      </c>
      <c r="D69" s="1575"/>
      <c r="E69" s="1575"/>
      <c r="F69" s="1575"/>
      <c r="G69" s="1575"/>
      <c r="H69" s="1575"/>
      <c r="I69" s="1575"/>
      <c r="J69" s="1575"/>
      <c r="K69" s="1575"/>
    </row>
    <row r="70" spans="1:11" ht="12.75" customHeight="1" x14ac:dyDescent="0.2">
      <c r="A70" s="427" t="s">
        <v>989</v>
      </c>
      <c r="B70" s="429">
        <v>1612</v>
      </c>
      <c r="C70" s="1632">
        <v>942</v>
      </c>
      <c r="D70" s="1575"/>
      <c r="E70" s="1575"/>
      <c r="F70" s="1575"/>
      <c r="G70" s="1575"/>
      <c r="H70" s="1575"/>
      <c r="I70" s="1575"/>
      <c r="J70" s="1575"/>
      <c r="K70" s="1575"/>
    </row>
    <row r="71" spans="1:11" ht="12.75" customHeight="1" x14ac:dyDescent="0.2">
      <c r="A71" s="427" t="s">
        <v>270</v>
      </c>
      <c r="B71" s="429">
        <v>1613</v>
      </c>
      <c r="C71" s="1632">
        <v>93568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161246</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v>122334</v>
      </c>
      <c r="D81" s="1573"/>
      <c r="E81" s="1575"/>
      <c r="F81" s="1575"/>
      <c r="G81" s="1575"/>
      <c r="H81" s="1575"/>
      <c r="I81" s="1575"/>
      <c r="J81" s="1575"/>
      <c r="K81" s="1575"/>
    </row>
    <row r="82" spans="1:11" ht="12.75" customHeight="1" thickBot="1" x14ac:dyDescent="0.25">
      <c r="A82" s="1406" t="s">
        <v>239</v>
      </c>
      <c r="B82" s="1407"/>
      <c r="C82" s="1633">
        <f>SUM(C77:C81)</f>
        <v>122334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488498</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488498</v>
      </c>
      <c r="D93" s="1575"/>
      <c r="E93" s="1575"/>
      <c r="F93" s="1575"/>
      <c r="G93" s="1575"/>
      <c r="H93" s="1575"/>
      <c r="I93" s="1575"/>
      <c r="J93" s="1575"/>
      <c r="K93" s="1575"/>
    </row>
    <row r="94" spans="1:11" ht="15.75" customHeight="1" thickTop="1" x14ac:dyDescent="0.2">
      <c r="A94" s="1330" t="s">
        <v>1128</v>
      </c>
      <c r="B94" s="1332">
        <v>1900</v>
      </c>
      <c r="C94" s="1634"/>
      <c r="D94" s="1617"/>
      <c r="E94" s="1575"/>
      <c r="F94" s="1575"/>
      <c r="G94" s="1575"/>
      <c r="H94" s="1575"/>
      <c r="I94" s="1575"/>
      <c r="J94" s="1575"/>
      <c r="K94" s="1575"/>
    </row>
    <row r="95" spans="1:11" ht="12.75" customHeight="1" x14ac:dyDescent="0.2">
      <c r="A95" s="427" t="s">
        <v>1056</v>
      </c>
      <c r="B95" s="429">
        <v>1910</v>
      </c>
      <c r="C95" s="1573"/>
      <c r="D95" s="1632">
        <v>44372</v>
      </c>
      <c r="E95" s="1617"/>
      <c r="F95" s="1617"/>
      <c r="G95" s="1617"/>
      <c r="H95" s="1617"/>
      <c r="I95" s="1617"/>
      <c r="J95" s="1617"/>
      <c r="K95" s="1617"/>
    </row>
    <row r="96" spans="1:11" ht="12.75" customHeight="1" x14ac:dyDescent="0.2">
      <c r="A96" s="427" t="s">
        <v>387</v>
      </c>
      <c r="B96" s="429">
        <v>1920</v>
      </c>
      <c r="C96" s="1632">
        <v>1250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1415</v>
      </c>
      <c r="B106" s="429">
        <v>1993</v>
      </c>
      <c r="C106" s="1573"/>
      <c r="D106" s="1598"/>
      <c r="E106" s="1574"/>
      <c r="F106" s="1574"/>
      <c r="G106" s="1574"/>
      <c r="H106" s="1574"/>
      <c r="I106" s="1617"/>
      <c r="J106" s="1574"/>
      <c r="K106" s="1574"/>
    </row>
    <row r="107" spans="1:12" ht="12.75" customHeight="1" x14ac:dyDescent="0.2">
      <c r="A107" s="427" t="s">
        <v>78</v>
      </c>
      <c r="B107" s="429">
        <v>1999</v>
      </c>
      <c r="C107" s="1632">
        <f>166647+13647</f>
        <v>180294</v>
      </c>
      <c r="D107" s="1573">
        <v>23662</v>
      </c>
      <c r="E107" s="1573"/>
      <c r="F107" s="1573"/>
      <c r="G107" s="1573"/>
      <c r="H107" s="1573"/>
      <c r="I107" s="1573"/>
      <c r="J107" s="1574"/>
      <c r="K107" s="1573"/>
    </row>
    <row r="108" spans="1:12" ht="12.75" customHeight="1" thickBot="1" x14ac:dyDescent="0.25">
      <c r="A108" s="1406" t="s">
        <v>483</v>
      </c>
      <c r="B108" s="1408"/>
      <c r="C108" s="1633">
        <f>SUM(C95:C107)</f>
        <v>181544</v>
      </c>
      <c r="D108" s="1633">
        <f t="shared" ref="D108:K108" si="3">SUM(D95:D107)</f>
        <v>68034</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29412474</v>
      </c>
      <c r="D109" s="1641">
        <f t="shared" si="4"/>
        <v>4102170</v>
      </c>
      <c r="E109" s="1641">
        <f t="shared" si="4"/>
        <v>2651635</v>
      </c>
      <c r="F109" s="1641">
        <f t="shared" si="4"/>
        <v>862419</v>
      </c>
      <c r="G109" s="1641">
        <f t="shared" si="4"/>
        <v>1270652</v>
      </c>
      <c r="H109" s="1641">
        <f t="shared" si="4"/>
        <v>1769</v>
      </c>
      <c r="I109" s="1641">
        <f t="shared" si="4"/>
        <v>401196</v>
      </c>
      <c r="J109" s="1641">
        <f t="shared" si="4"/>
        <v>17951</v>
      </c>
      <c r="K109" s="1629">
        <f t="shared" si="4"/>
        <v>0</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1160</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1476</v>
      </c>
      <c r="B116" s="1334"/>
      <c r="C116" s="1643"/>
      <c r="D116" s="1617"/>
      <c r="E116" s="1640"/>
      <c r="F116" s="1617"/>
      <c r="G116" s="1617"/>
      <c r="H116" s="1640"/>
      <c r="I116" s="1575"/>
      <c r="J116" s="1617"/>
      <c r="K116" s="1617"/>
    </row>
    <row r="117" spans="1:11" ht="12.75" customHeight="1" x14ac:dyDescent="0.2">
      <c r="A117" s="427" t="s">
        <v>1650</v>
      </c>
      <c r="B117" s="478">
        <v>3001</v>
      </c>
      <c r="C117" s="1613">
        <v>3546467</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3546467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1475</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165630</v>
      </c>
      <c r="D125" s="1640"/>
      <c r="E125" s="1575"/>
      <c r="F125" s="1631"/>
      <c r="G125" s="1575"/>
      <c r="H125" s="1575"/>
      <c r="I125" s="1575"/>
      <c r="J125" s="1575"/>
      <c r="K125" s="1575"/>
    </row>
    <row r="126" spans="1:11" ht="12.75" customHeight="1" x14ac:dyDescent="0.2">
      <c r="A126" s="427" t="s">
        <v>1431</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112635</v>
      </c>
      <c r="D128" s="1640"/>
      <c r="E128" s="1575"/>
      <c r="F128" s="1573"/>
      <c r="G128" s="1575"/>
      <c r="H128" s="1575"/>
      <c r="I128" s="1575"/>
      <c r="J128" s="1575"/>
      <c r="K128" s="1575"/>
    </row>
    <row r="129" spans="1:11" ht="12.75" customHeight="1" x14ac:dyDescent="0.2">
      <c r="A129" s="427" t="s">
        <v>1432</v>
      </c>
      <c r="B129" s="478">
        <v>3130</v>
      </c>
      <c r="C129" s="1573">
        <v>7167</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285432</v>
      </c>
      <c r="D132" s="1633">
        <f>SUM(D125:D131)</f>
        <v>0</v>
      </c>
      <c r="E132" s="1576" t="s">
        <v>1160</v>
      </c>
      <c r="F132" s="1633">
        <f>SUM(F125:F131)</f>
        <v>0</v>
      </c>
      <c r="G132" s="1575" t="s">
        <v>1160</v>
      </c>
      <c r="H132" s="1575" t="s">
        <v>1160</v>
      </c>
      <c r="I132" s="1575" t="s">
        <v>1160</v>
      </c>
      <c r="J132" s="1575" t="s">
        <v>1160</v>
      </c>
      <c r="K132" s="1575" t="s">
        <v>1160</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0</v>
      </c>
      <c r="D141" s="1633">
        <f>SUM(D134:D140)</f>
        <v>0</v>
      </c>
      <c r="E141" s="1640" t="s">
        <v>1160</v>
      </c>
      <c r="F141" s="1582"/>
      <c r="G141" s="1633">
        <f>SUM(G134:G140)</f>
        <v>0</v>
      </c>
      <c r="H141" s="1575" t="s">
        <v>1160</v>
      </c>
      <c r="I141" s="1575" t="s">
        <v>1160</v>
      </c>
      <c r="J141" s="1575" t="s">
        <v>1160</v>
      </c>
      <c r="K141" s="1575" t="s">
        <v>1160</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1048</v>
      </c>
      <c r="B146" s="482">
        <v>3360</v>
      </c>
      <c r="C146" s="1646">
        <v>1384</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1433</v>
      </c>
      <c r="B152" s="478">
        <v>3500</v>
      </c>
      <c r="C152" s="1632"/>
      <c r="D152" s="1573"/>
      <c r="E152" s="1640"/>
      <c r="F152" s="1573">
        <v>14592</v>
      </c>
      <c r="G152" s="1574"/>
      <c r="H152" s="1575"/>
      <c r="I152" s="1575"/>
      <c r="J152" s="1575"/>
      <c r="K152" s="1575"/>
    </row>
    <row r="153" spans="1:11" ht="12.75" customHeight="1" x14ac:dyDescent="0.2">
      <c r="A153" s="427" t="s">
        <v>1049</v>
      </c>
      <c r="B153" s="478">
        <v>3510</v>
      </c>
      <c r="C153" s="1632"/>
      <c r="D153" s="1573"/>
      <c r="E153" s="1640"/>
      <c r="F153" s="1573">
        <v>402063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416655</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1043</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1434</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8" t="s">
        <v>394</v>
      </c>
      <c r="B169" s="2259"/>
      <c r="C169" s="1658">
        <f t="shared" ref="C169:K169" si="6">SUM(C132,C141,C145,C146:C150,C155,C156:C167,C168)</f>
        <v>286816</v>
      </c>
      <c r="D169" s="1658">
        <f t="shared" si="6"/>
        <v>50000</v>
      </c>
      <c r="E169" s="1658">
        <f t="shared" si="6"/>
        <v>0</v>
      </c>
      <c r="F169" s="1658">
        <f t="shared" si="6"/>
        <v>416655</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3833283</v>
      </c>
      <c r="D170" s="1641">
        <f t="shared" si="7"/>
        <v>50000</v>
      </c>
      <c r="E170" s="1641">
        <f t="shared" si="7"/>
        <v>0</v>
      </c>
      <c r="F170" s="1641">
        <f t="shared" si="7"/>
        <v>416655</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60" t="s">
        <v>1477</v>
      </c>
      <c r="B172" s="2261"/>
      <c r="C172" s="1616"/>
      <c r="D172" s="1616"/>
      <c r="E172" s="1609"/>
      <c r="F172" s="1575"/>
      <c r="G172" s="1575"/>
      <c r="H172" s="1575"/>
      <c r="I172" s="1575"/>
      <c r="J172" s="1575"/>
      <c r="K172" s="1575"/>
    </row>
    <row r="173" spans="1:11" ht="12.6" customHeight="1" x14ac:dyDescent="0.2">
      <c r="A173" s="436" t="s">
        <v>1036</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64" t="s">
        <v>1648</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1647</v>
      </c>
      <c r="B176" s="2269"/>
      <c r="C176" s="1659"/>
      <c r="D176" s="1660"/>
      <c r="E176" s="1661"/>
      <c r="F176" s="1662"/>
      <c r="G176" s="1662"/>
      <c r="H176" s="1662"/>
      <c r="I176" s="1662"/>
      <c r="J176" s="1662"/>
      <c r="K176" s="1662"/>
    </row>
    <row r="177" spans="1:11" ht="12.75" customHeight="1" x14ac:dyDescent="0.2">
      <c r="A177" s="427" t="s">
        <v>1037</v>
      </c>
      <c r="B177" s="429">
        <v>4045</v>
      </c>
      <c r="C177" s="1632"/>
      <c r="D177" s="1575"/>
      <c r="E177" s="1640"/>
      <c r="F177" s="1575"/>
      <c r="G177" s="1575"/>
      <c r="H177" s="1575"/>
      <c r="I177" s="1575"/>
      <c r="J177" s="1575"/>
      <c r="K177" s="1575"/>
    </row>
    <row r="178" spans="1:11" ht="12.75" customHeight="1" x14ac:dyDescent="0.2">
      <c r="A178" s="427" t="s">
        <v>1038</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66" t="s">
        <v>779</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1779</v>
      </c>
      <c r="B182" s="2263"/>
      <c r="C182" s="1663"/>
      <c r="D182" s="1645"/>
      <c r="E182" s="1609"/>
      <c r="F182" s="1645"/>
      <c r="G182" s="1645"/>
      <c r="H182" s="1575"/>
      <c r="I182" s="1575"/>
      <c r="J182" s="1575"/>
      <c r="K182" s="1575"/>
    </row>
    <row r="183" spans="1:11" ht="15.75" customHeight="1" x14ac:dyDescent="0.2">
      <c r="A183" s="1341" t="s">
        <v>1587</v>
      </c>
      <c r="B183" s="1342"/>
      <c r="C183" s="1643"/>
      <c r="D183" s="1617"/>
      <c r="E183" s="1609"/>
      <c r="F183" s="1617"/>
      <c r="G183" s="1617"/>
      <c r="H183" s="1575"/>
      <c r="I183" s="1575"/>
      <c r="J183" s="1575"/>
      <c r="K183" s="1575"/>
    </row>
    <row r="184" spans="1:11" ht="12.75" customHeight="1" x14ac:dyDescent="0.2">
      <c r="A184" s="427" t="s">
        <v>1588</v>
      </c>
      <c r="B184" s="429">
        <v>4100</v>
      </c>
      <c r="C184" s="1613"/>
      <c r="D184" s="1586"/>
      <c r="E184" s="1640"/>
      <c r="F184" s="1586"/>
      <c r="G184" s="1586"/>
      <c r="H184" s="1575"/>
      <c r="I184" s="1575"/>
      <c r="J184" s="1575"/>
      <c r="K184" s="1575"/>
    </row>
    <row r="185" spans="1:11" ht="12.75" customHeight="1" x14ac:dyDescent="0.2">
      <c r="A185" s="427" t="s">
        <v>1589</v>
      </c>
      <c r="B185" s="429">
        <v>4105</v>
      </c>
      <c r="C185" s="1632"/>
      <c r="D185" s="1573"/>
      <c r="E185" s="1640"/>
      <c r="F185" s="1573"/>
      <c r="G185" s="1573"/>
      <c r="H185" s="1575"/>
      <c r="I185" s="1575"/>
      <c r="J185" s="1575"/>
      <c r="K185" s="1575"/>
    </row>
    <row r="186" spans="1:11" ht="12.75" customHeight="1" x14ac:dyDescent="0.2">
      <c r="A186" s="427" t="s">
        <v>1591</v>
      </c>
      <c r="B186" s="429">
        <v>4107</v>
      </c>
      <c r="C186" s="1632"/>
      <c r="D186" s="1573"/>
      <c r="E186" s="1640"/>
      <c r="F186" s="1573"/>
      <c r="G186" s="1573"/>
      <c r="H186" s="1575"/>
      <c r="I186" s="1575"/>
      <c r="J186" s="1575"/>
      <c r="K186" s="1575"/>
    </row>
    <row r="187" spans="1:11" ht="12.75" customHeight="1" x14ac:dyDescent="0.2">
      <c r="A187" s="427" t="s">
        <v>1590</v>
      </c>
      <c r="B187" s="429">
        <v>4199</v>
      </c>
      <c r="C187" s="1632"/>
      <c r="D187" s="1573"/>
      <c r="E187" s="1640"/>
      <c r="F187" s="1573"/>
      <c r="G187" s="1573"/>
      <c r="H187" s="1575"/>
      <c r="I187" s="1575"/>
      <c r="J187" s="1575"/>
      <c r="K187" s="1575"/>
    </row>
    <row r="188" spans="1:11" ht="12.75" customHeight="1" thickBot="1" x14ac:dyDescent="0.25">
      <c r="A188" s="1406" t="s">
        <v>1592</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1435</v>
      </c>
      <c r="B190" s="429">
        <v>4200</v>
      </c>
      <c r="C190" s="1574"/>
      <c r="D190" s="1575"/>
      <c r="E190" s="1640"/>
      <c r="F190" s="1634"/>
      <c r="G190" s="1664"/>
      <c r="H190" s="1575"/>
      <c r="I190" s="1575"/>
      <c r="J190" s="1575"/>
      <c r="K190" s="1575"/>
    </row>
    <row r="191" spans="1:11" ht="12.75" customHeight="1" x14ac:dyDescent="0.2">
      <c r="A191" s="427" t="s">
        <v>1050</v>
      </c>
      <c r="B191" s="429">
        <v>4210</v>
      </c>
      <c r="C191" s="1573">
        <v>116111</v>
      </c>
      <c r="D191" s="1575"/>
      <c r="E191" s="1640"/>
      <c r="F191" s="1575"/>
      <c r="G191" s="1664"/>
      <c r="H191" s="1575"/>
      <c r="I191" s="1575"/>
      <c r="J191" s="1575"/>
      <c r="K191" s="1575"/>
    </row>
    <row r="192" spans="1:11" ht="12.75" customHeight="1" x14ac:dyDescent="0.2">
      <c r="A192" s="427" t="s">
        <v>1039</v>
      </c>
      <c r="B192" s="429">
        <v>4215</v>
      </c>
      <c r="C192" s="1632"/>
      <c r="D192" s="1575"/>
      <c r="E192" s="1640"/>
      <c r="F192" s="1575"/>
      <c r="G192" s="1664"/>
      <c r="H192" s="1575"/>
      <c r="I192" s="1575"/>
      <c r="J192" s="1575"/>
      <c r="K192" s="1575"/>
    </row>
    <row r="193" spans="1:11" ht="12.75" customHeight="1" x14ac:dyDescent="0.2">
      <c r="A193" s="427" t="s">
        <v>1051</v>
      </c>
      <c r="B193" s="429">
        <v>4220</v>
      </c>
      <c r="C193" s="1632">
        <v>7724</v>
      </c>
      <c r="D193" s="1575"/>
      <c r="E193" s="1640"/>
      <c r="F193" s="1575"/>
      <c r="G193" s="1664"/>
      <c r="H193" s="1575"/>
      <c r="I193" s="1575"/>
      <c r="J193" s="1575"/>
      <c r="K193" s="1575"/>
    </row>
    <row r="194" spans="1:11" ht="12.75" customHeight="1" x14ac:dyDescent="0.2">
      <c r="A194" s="427" t="s">
        <v>1436</v>
      </c>
      <c r="B194" s="429">
        <v>4225</v>
      </c>
      <c r="C194" s="1632"/>
      <c r="D194" s="1575"/>
      <c r="E194" s="1640"/>
      <c r="F194" s="1575"/>
      <c r="G194" s="1664"/>
      <c r="H194" s="1575"/>
      <c r="I194" s="1575"/>
      <c r="J194" s="1575"/>
      <c r="K194" s="1575"/>
    </row>
    <row r="195" spans="1:11" ht="12.75" customHeight="1" x14ac:dyDescent="0.2">
      <c r="A195" s="427" t="s">
        <v>1437</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123835</v>
      </c>
      <c r="D198" s="1575"/>
      <c r="E198" s="1575"/>
      <c r="F198" s="1575"/>
      <c r="G198" s="1594">
        <f>SUM(G190:G197)</f>
        <v>0</v>
      </c>
      <c r="H198" s="1575"/>
      <c r="I198" s="1575"/>
      <c r="J198" s="1575"/>
      <c r="K198" s="1575"/>
    </row>
    <row r="199" spans="1:11" ht="15.75" customHeight="1" thickTop="1" x14ac:dyDescent="0.2">
      <c r="A199" s="1338" t="s">
        <v>1129</v>
      </c>
      <c r="B199" s="1343"/>
      <c r="C199" s="1634"/>
      <c r="D199" s="1575"/>
      <c r="E199" s="1575"/>
      <c r="F199" s="1575"/>
      <c r="G199" s="1575"/>
      <c r="H199" s="1575"/>
      <c r="I199" s="1575"/>
      <c r="J199" s="1575"/>
      <c r="K199" s="1575"/>
    </row>
    <row r="200" spans="1:11" ht="12.75" customHeight="1" x14ac:dyDescent="0.2">
      <c r="A200" s="427" t="s">
        <v>911</v>
      </c>
      <c r="B200" s="429">
        <v>4300</v>
      </c>
      <c r="C200" s="1573">
        <v>199333</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199333</v>
      </c>
      <c r="D204" s="1633">
        <f>SUM(D200:D203)</f>
        <v>0</v>
      </c>
      <c r="E204" s="1575"/>
      <c r="F204" s="1633">
        <f>SUM(F200:F203)</f>
        <v>0</v>
      </c>
      <c r="G204" s="1633">
        <f>SUM(G200:G203)</f>
        <v>0</v>
      </c>
      <c r="H204" s="1575"/>
      <c r="I204" s="1575"/>
      <c r="J204" s="1575"/>
      <c r="K204" s="1575"/>
    </row>
    <row r="205" spans="1:11" ht="15.75" customHeight="1" thickTop="1" x14ac:dyDescent="0.2">
      <c r="A205" s="1338" t="s">
        <v>1130</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1438</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1160</v>
      </c>
      <c r="F209" s="1633">
        <f>SUM(F206:F208)</f>
        <v>0</v>
      </c>
      <c r="G209" s="1633">
        <f>SUM(G206:G208)</f>
        <v>0</v>
      </c>
      <c r="H209" s="1575"/>
      <c r="I209" s="1575"/>
      <c r="J209" s="1575"/>
      <c r="K209" s="1575"/>
    </row>
    <row r="210" spans="1:11" ht="15.75" customHeight="1" thickTop="1" x14ac:dyDescent="0.2">
      <c r="A210" s="1338" t="s">
        <v>1084</v>
      </c>
      <c r="B210" s="1343"/>
      <c r="C210" s="1634"/>
      <c r="D210" s="1634"/>
      <c r="E210" s="1575"/>
      <c r="F210" s="1634"/>
      <c r="G210" s="1634"/>
      <c r="H210" s="1575"/>
      <c r="I210" s="1575"/>
      <c r="J210" s="1575"/>
      <c r="K210" s="1575"/>
    </row>
    <row r="211" spans="1:11" ht="12.75" customHeight="1" x14ac:dyDescent="0.2">
      <c r="A211" s="427" t="s">
        <v>1044</v>
      </c>
      <c r="B211" s="429">
        <v>4600</v>
      </c>
      <c r="C211" s="1632">
        <v>25650</v>
      </c>
      <c r="D211" s="1573"/>
      <c r="E211" s="1575"/>
      <c r="F211" s="1573"/>
      <c r="G211" s="1573"/>
      <c r="H211" s="1575"/>
      <c r="I211" s="1575"/>
      <c r="J211" s="1575"/>
      <c r="K211" s="1575"/>
    </row>
    <row r="212" spans="1:11" ht="12.75" customHeight="1" x14ac:dyDescent="0.2">
      <c r="A212" s="427" t="s">
        <v>1045</v>
      </c>
      <c r="B212" s="429">
        <v>4605</v>
      </c>
      <c r="C212" s="1632"/>
      <c r="D212" s="1573"/>
      <c r="E212" s="1575"/>
      <c r="F212" s="1573"/>
      <c r="G212" s="1573"/>
      <c r="H212" s="1575"/>
      <c r="I212" s="1575"/>
      <c r="J212" s="1575"/>
      <c r="K212" s="1575"/>
    </row>
    <row r="213" spans="1:11" ht="12.75" customHeight="1" x14ac:dyDescent="0.2">
      <c r="A213" s="427" t="s">
        <v>1439</v>
      </c>
      <c r="B213" s="475">
        <v>4620</v>
      </c>
      <c r="C213" s="1632">
        <v>587711</v>
      </c>
      <c r="D213" s="1573"/>
      <c r="E213" s="1575"/>
      <c r="F213" s="1573"/>
      <c r="G213" s="1573"/>
      <c r="H213" s="1575"/>
      <c r="I213" s="1575"/>
      <c r="J213" s="1575"/>
      <c r="K213" s="1575"/>
    </row>
    <row r="214" spans="1:11" ht="12.75" customHeight="1" x14ac:dyDescent="0.2">
      <c r="A214" s="427" t="s">
        <v>1046</v>
      </c>
      <c r="B214" s="429">
        <v>4625</v>
      </c>
      <c r="C214" s="1632">
        <v>122386</v>
      </c>
      <c r="D214" s="1573"/>
      <c r="E214" s="1575"/>
      <c r="F214" s="1573"/>
      <c r="G214" s="1573"/>
      <c r="H214" s="1575"/>
      <c r="I214" s="1575"/>
      <c r="J214" s="1575"/>
      <c r="K214" s="1575"/>
    </row>
    <row r="215" spans="1:11" ht="12.75" customHeight="1" x14ac:dyDescent="0.2">
      <c r="A215" s="427" t="s">
        <v>1047</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735747</v>
      </c>
      <c r="D217" s="1633">
        <f>SUM(D211:D216)</f>
        <v>0</v>
      </c>
      <c r="E217" s="1575"/>
      <c r="F217" s="1633">
        <f>SUM(F211:F216)</f>
        <v>0</v>
      </c>
      <c r="G217" s="1633">
        <f>SUM(G211:G216)</f>
        <v>0</v>
      </c>
      <c r="H217" s="1575"/>
      <c r="I217" s="1575"/>
      <c r="J217" s="1575"/>
      <c r="K217" s="1575"/>
    </row>
    <row r="218" spans="1:11" ht="15.75" customHeight="1" thickTop="1" x14ac:dyDescent="0.2">
      <c r="A218" s="1338" t="s">
        <v>1085</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1077</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1119</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1440</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1406</v>
      </c>
      <c r="B253" s="487">
        <v>4901</v>
      </c>
      <c r="C253" s="1666"/>
      <c r="D253" s="1576"/>
      <c r="E253" s="1575"/>
      <c r="F253" s="1575"/>
      <c r="G253" s="1575"/>
      <c r="H253" s="1575"/>
      <c r="I253" s="1575"/>
      <c r="J253" s="1575"/>
      <c r="K253" s="1575"/>
    </row>
    <row r="254" spans="1:11" ht="12.75" customHeight="1" thickTop="1" thickBot="1" x14ac:dyDescent="0.25">
      <c r="A254" s="1273" t="s">
        <v>1448</v>
      </c>
      <c r="B254" s="488">
        <v>4902</v>
      </c>
      <c r="C254" s="1667"/>
      <c r="D254" s="1668"/>
      <c r="E254" s="1576"/>
      <c r="F254" s="1668"/>
      <c r="G254" s="1668"/>
      <c r="H254" s="1576"/>
      <c r="I254" s="1575"/>
      <c r="J254" s="1576"/>
      <c r="K254" s="1576"/>
    </row>
    <row r="255" spans="1:11" ht="12.75" customHeight="1" thickTop="1" thickBot="1" x14ac:dyDescent="0.25">
      <c r="A255" s="427" t="s">
        <v>1441</v>
      </c>
      <c r="B255" s="429">
        <v>4905</v>
      </c>
      <c r="C255" s="1649"/>
      <c r="D255" s="1575"/>
      <c r="E255" s="1575"/>
      <c r="F255" s="1653"/>
      <c r="G255" s="1649"/>
      <c r="H255" s="1575"/>
      <c r="I255" s="1575"/>
      <c r="J255" s="1575"/>
      <c r="K255" s="1575"/>
    </row>
    <row r="256" spans="1:11" ht="12.75" customHeight="1" thickTop="1" thickBot="1" x14ac:dyDescent="0.25">
      <c r="A256" s="427" t="s">
        <v>1442</v>
      </c>
      <c r="B256" s="429">
        <v>4909</v>
      </c>
      <c r="C256" s="1651">
        <v>26273</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120953</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20917</v>
      </c>
      <c r="D263" s="1651"/>
      <c r="E263" s="1575"/>
      <c r="F263" s="1651"/>
      <c r="G263" s="1651"/>
      <c r="H263" s="1575"/>
      <c r="I263" s="1575"/>
      <c r="J263" s="1575"/>
      <c r="K263" s="1575"/>
    </row>
    <row r="264" spans="1:11" ht="12.75" customHeight="1" thickTop="1" thickBot="1" x14ac:dyDescent="0.25">
      <c r="A264" s="427" t="s">
        <v>373</v>
      </c>
      <c r="B264" s="429">
        <v>4992</v>
      </c>
      <c r="C264" s="1650">
        <v>134161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1649</v>
      </c>
      <c r="B266" s="1419"/>
      <c r="C266" s="1641">
        <f t="shared" ref="C266:H266" si="10">SUM(C188,C198,C204,C209,C217,C221,C222,C252:C265)</f>
        <v>1361219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1078</v>
      </c>
      <c r="B267" s="1421" t="s">
        <v>854</v>
      </c>
      <c r="C267" s="1641">
        <f>SUM(C175,C181,C266)</f>
        <v>1361219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34606976</v>
      </c>
      <c r="D268" s="1641">
        <f t="shared" si="12"/>
        <v>4152170</v>
      </c>
      <c r="E268" s="1641">
        <f t="shared" si="12"/>
        <v>2651635</v>
      </c>
      <c r="F268" s="1641">
        <f t="shared" si="12"/>
        <v>1279074</v>
      </c>
      <c r="G268" s="1641">
        <f t="shared" si="12"/>
        <v>1270652</v>
      </c>
      <c r="H268" s="1641">
        <f t="shared" si="12"/>
        <v>1769</v>
      </c>
      <c r="I268" s="1641">
        <f t="shared" si="12"/>
        <v>401196</v>
      </c>
      <c r="J268" s="1641">
        <f t="shared" si="12"/>
        <v>17951</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6" activePane="bottomLeft" state="frozen"/>
      <selection pane="bottomLeft" activeCell="H172" sqref="H1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8" t="s">
        <v>293</v>
      </c>
      <c r="B3" s="2279"/>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13070639</v>
      </c>
      <c r="D5" s="1573">
        <v>2404018</v>
      </c>
      <c r="E5" s="1573">
        <v>39681</v>
      </c>
      <c r="F5" s="1573">
        <v>323957</v>
      </c>
      <c r="G5" s="1573"/>
      <c r="H5" s="1573"/>
      <c r="I5" s="1574">
        <v>2006</v>
      </c>
      <c r="J5" s="1574"/>
      <c r="K5" s="1672">
        <f>SUM(C5:J5)</f>
        <v>15840301</v>
      </c>
      <c r="L5" s="1573">
        <v>16308112</v>
      </c>
    </row>
    <row r="6" spans="1:14" x14ac:dyDescent="0.2">
      <c r="A6" s="1274" t="s">
        <v>1418</v>
      </c>
      <c r="B6" s="503" t="s">
        <v>1416</v>
      </c>
      <c r="C6" s="1582"/>
      <c r="D6" s="1582"/>
      <c r="E6" s="1573"/>
      <c r="F6" s="1582"/>
      <c r="G6" s="1582"/>
      <c r="H6" s="1582"/>
      <c r="I6" s="1582"/>
      <c r="J6" s="1582"/>
      <c r="K6" s="1672">
        <f>SUM(C6,E6)</f>
        <v>0</v>
      </c>
      <c r="L6" s="1573"/>
    </row>
    <row r="7" spans="1:14" x14ac:dyDescent="0.2">
      <c r="A7" s="1274" t="s">
        <v>162</v>
      </c>
      <c r="B7" s="503" t="s">
        <v>960</v>
      </c>
      <c r="C7" s="1574">
        <v>294212</v>
      </c>
      <c r="D7" s="1574">
        <v>32705</v>
      </c>
      <c r="E7" s="1574"/>
      <c r="F7" s="1574"/>
      <c r="G7" s="1574"/>
      <c r="H7" s="1574"/>
      <c r="I7" s="1574"/>
      <c r="J7" s="1574"/>
      <c r="K7" s="1672">
        <f t="shared" ref="K7:K32" si="0">SUM(C7:J7)</f>
        <v>326917</v>
      </c>
      <c r="L7" s="1573">
        <v>333400</v>
      </c>
    </row>
    <row r="8" spans="1:14" x14ac:dyDescent="0.2">
      <c r="A8" s="1274" t="s">
        <v>163</v>
      </c>
      <c r="B8" s="503">
        <v>1200</v>
      </c>
      <c r="C8" s="1573">
        <v>4120760</v>
      </c>
      <c r="D8" s="1573">
        <v>431587</v>
      </c>
      <c r="E8" s="1573">
        <v>46399</v>
      </c>
      <c r="F8" s="1573">
        <v>30593</v>
      </c>
      <c r="G8" s="1573"/>
      <c r="H8" s="1573"/>
      <c r="I8" s="1574"/>
      <c r="J8" s="1574"/>
      <c r="K8" s="1672">
        <f t="shared" si="0"/>
        <v>4629339</v>
      </c>
      <c r="L8" s="1573">
        <v>4646262</v>
      </c>
    </row>
    <row r="9" spans="1:14" x14ac:dyDescent="0.2">
      <c r="A9" s="1274" t="s">
        <v>715</v>
      </c>
      <c r="B9" s="503" t="s">
        <v>961</v>
      </c>
      <c r="C9" s="1574">
        <v>70028</v>
      </c>
      <c r="D9" s="1574"/>
      <c r="E9" s="1574"/>
      <c r="F9" s="1574">
        <v>-175</v>
      </c>
      <c r="G9" s="1574"/>
      <c r="H9" s="1574"/>
      <c r="I9" s="1574"/>
      <c r="J9" s="1574"/>
      <c r="K9" s="1672">
        <f t="shared" si="0"/>
        <v>69853</v>
      </c>
      <c r="L9" s="1573">
        <v>61050</v>
      </c>
    </row>
    <row r="10" spans="1:14" x14ac:dyDescent="0.2">
      <c r="A10" s="1274" t="s">
        <v>716</v>
      </c>
      <c r="B10" s="503">
        <v>1250</v>
      </c>
      <c r="C10" s="1573">
        <v>160890</v>
      </c>
      <c r="D10" s="1573">
        <v>25719</v>
      </c>
      <c r="E10" s="1573"/>
      <c r="F10" s="1573">
        <v>60222</v>
      </c>
      <c r="G10" s="1573"/>
      <c r="H10" s="1573"/>
      <c r="I10" s="1574"/>
      <c r="J10" s="1574"/>
      <c r="K10" s="1672">
        <f t="shared" si="0"/>
        <v>246831</v>
      </c>
      <c r="L10" s="1573">
        <v>266273</v>
      </c>
    </row>
    <row r="11" spans="1:14" x14ac:dyDescent="0.2">
      <c r="A11" s="1274" t="s">
        <v>1121</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v>957595</v>
      </c>
      <c r="D14" s="1573">
        <v>58828</v>
      </c>
      <c r="E14" s="1573">
        <v>10352</v>
      </c>
      <c r="F14" s="1573">
        <v>5170</v>
      </c>
      <c r="G14" s="1573"/>
      <c r="H14" s="1573">
        <v>232</v>
      </c>
      <c r="I14" s="1574">
        <v>13419</v>
      </c>
      <c r="J14" s="1574"/>
      <c r="K14" s="1672">
        <f t="shared" si="0"/>
        <v>1045596</v>
      </c>
      <c r="L14" s="1573">
        <v>1044519</v>
      </c>
    </row>
    <row r="15" spans="1:14" x14ac:dyDescent="0.2">
      <c r="A15" s="1274" t="s">
        <v>957</v>
      </c>
      <c r="B15" s="503">
        <v>1600</v>
      </c>
      <c r="C15" s="1573">
        <v>75547</v>
      </c>
      <c r="D15" s="1573">
        <v>1795</v>
      </c>
      <c r="E15" s="1573"/>
      <c r="F15" s="1573">
        <v>1601</v>
      </c>
      <c r="G15" s="1573"/>
      <c r="H15" s="1573"/>
      <c r="I15" s="1574"/>
      <c r="J15" s="1574"/>
      <c r="K15" s="1672">
        <f t="shared" si="0"/>
        <v>78943</v>
      </c>
      <c r="L15" s="1573">
        <v>114400</v>
      </c>
    </row>
    <row r="16" spans="1:14" x14ac:dyDescent="0.2">
      <c r="A16" s="1274" t="s">
        <v>979</v>
      </c>
      <c r="B16" s="503" t="s">
        <v>420</v>
      </c>
      <c r="C16" s="1573">
        <v>547022</v>
      </c>
      <c r="D16" s="1573">
        <v>66780</v>
      </c>
      <c r="E16" s="1573">
        <v>12374</v>
      </c>
      <c r="F16" s="1573">
        <v>5980</v>
      </c>
      <c r="G16" s="1573"/>
      <c r="H16" s="1573"/>
      <c r="I16" s="1574"/>
      <c r="J16" s="1574"/>
      <c r="K16" s="1672">
        <f t="shared" si="0"/>
        <v>632156</v>
      </c>
      <c r="L16" s="1573">
        <v>710954</v>
      </c>
    </row>
    <row r="17" spans="1:12" x14ac:dyDescent="0.2">
      <c r="A17" s="1274" t="s">
        <v>718</v>
      </c>
      <c r="B17" s="503" t="s">
        <v>161</v>
      </c>
      <c r="C17" s="1574"/>
      <c r="D17" s="1574"/>
      <c r="E17" s="1574"/>
      <c r="F17" s="1574"/>
      <c r="G17" s="1574"/>
      <c r="H17" s="1574"/>
      <c r="I17" s="1574"/>
      <c r="J17" s="1574"/>
      <c r="K17" s="1672">
        <f t="shared" si="0"/>
        <v>0</v>
      </c>
      <c r="L17" s="1573"/>
    </row>
    <row r="18" spans="1:12" x14ac:dyDescent="0.2">
      <c r="A18" s="1274" t="s">
        <v>1079</v>
      </c>
      <c r="B18" s="503">
        <v>1800</v>
      </c>
      <c r="C18" s="1573">
        <v>423751</v>
      </c>
      <c r="D18" s="1573">
        <v>92543</v>
      </c>
      <c r="E18" s="1573">
        <v>12175</v>
      </c>
      <c r="F18" s="1573">
        <v>27665</v>
      </c>
      <c r="G18" s="1573"/>
      <c r="H18" s="1573"/>
      <c r="I18" s="1574"/>
      <c r="J18" s="1574"/>
      <c r="K18" s="1672">
        <f t="shared" si="0"/>
        <v>556134</v>
      </c>
      <c r="L18" s="1573">
        <v>434681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1120</v>
      </c>
      <c r="B32" s="503" t="s">
        <v>731</v>
      </c>
      <c r="C32" s="1582"/>
      <c r="D32" s="1582"/>
      <c r="E32" s="1582"/>
      <c r="F32" s="1582"/>
      <c r="G32" s="1582"/>
      <c r="H32" s="1579"/>
      <c r="I32" s="1673"/>
      <c r="J32" s="1585"/>
      <c r="K32" s="1672">
        <f t="shared" si="0"/>
        <v>0</v>
      </c>
      <c r="L32" s="1577"/>
    </row>
    <row r="33" spans="1:14" ht="12.75" customHeight="1" thickBot="1" x14ac:dyDescent="0.25">
      <c r="A33" s="1380" t="s">
        <v>1651</v>
      </c>
      <c r="B33" s="1381" t="s">
        <v>565</v>
      </c>
      <c r="C33" s="1674">
        <f>SUM(C5:C32)</f>
        <v>19720444</v>
      </c>
      <c r="D33" s="1674">
        <f t="shared" ref="D33:L33" si="1">SUM(D5:D32)</f>
        <v>3113975</v>
      </c>
      <c r="E33" s="1674">
        <f t="shared" si="1"/>
        <v>120981</v>
      </c>
      <c r="F33" s="1674">
        <f t="shared" si="1"/>
        <v>455013</v>
      </c>
      <c r="G33" s="1674">
        <f t="shared" si="1"/>
        <v>0</v>
      </c>
      <c r="H33" s="1674">
        <f t="shared" si="1"/>
        <v>232</v>
      </c>
      <c r="I33" s="1674">
        <f t="shared" si="1"/>
        <v>15425</v>
      </c>
      <c r="J33" s="1674">
        <f t="shared" si="1"/>
        <v>0</v>
      </c>
      <c r="K33" s="1674">
        <f t="shared" si="1"/>
        <v>23426070</v>
      </c>
      <c r="L33" s="1674">
        <f t="shared" si="1"/>
        <v>23919651</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1081</v>
      </c>
      <c r="B36" s="503">
        <v>2110</v>
      </c>
      <c r="C36" s="1586">
        <v>586257</v>
      </c>
      <c r="D36" s="1586">
        <v>94699</v>
      </c>
      <c r="E36" s="1586"/>
      <c r="F36" s="1586"/>
      <c r="G36" s="1586"/>
      <c r="H36" s="1586"/>
      <c r="I36" s="1574"/>
      <c r="J36" s="1574"/>
      <c r="K36" s="1672">
        <f t="shared" ref="K36:K41" si="2">SUM(C36:J36)</f>
        <v>680956</v>
      </c>
      <c r="L36" s="1573">
        <v>704520</v>
      </c>
    </row>
    <row r="37" spans="1:14" x14ac:dyDescent="0.2">
      <c r="A37" s="1274" t="s">
        <v>1082</v>
      </c>
      <c r="B37" s="503">
        <v>2120</v>
      </c>
      <c r="C37" s="1573"/>
      <c r="D37" s="1573"/>
      <c r="E37" s="1573"/>
      <c r="F37" s="1573"/>
      <c r="G37" s="1573"/>
      <c r="H37" s="1573"/>
      <c r="I37" s="1574"/>
      <c r="J37" s="1574"/>
      <c r="K37" s="1672">
        <f t="shared" si="2"/>
        <v>0</v>
      </c>
      <c r="L37" s="1573"/>
    </row>
    <row r="38" spans="1:14" x14ac:dyDescent="0.2">
      <c r="A38" s="1274" t="s">
        <v>196</v>
      </c>
      <c r="B38" s="503">
        <v>2130</v>
      </c>
      <c r="C38" s="1573">
        <v>753877</v>
      </c>
      <c r="D38" s="1573">
        <v>84746</v>
      </c>
      <c r="E38" s="1573">
        <v>2250</v>
      </c>
      <c r="F38" s="1573">
        <v>6260</v>
      </c>
      <c r="G38" s="1573"/>
      <c r="H38" s="1573"/>
      <c r="I38" s="1574"/>
      <c r="J38" s="1574"/>
      <c r="K38" s="1672">
        <f t="shared" si="2"/>
        <v>847133</v>
      </c>
      <c r="L38" s="1573">
        <v>857695</v>
      </c>
    </row>
    <row r="39" spans="1:14" x14ac:dyDescent="0.2">
      <c r="A39" s="1274" t="s">
        <v>197</v>
      </c>
      <c r="B39" s="503">
        <v>2140</v>
      </c>
      <c r="C39" s="1573">
        <v>307040</v>
      </c>
      <c r="D39" s="1573">
        <v>41115</v>
      </c>
      <c r="E39" s="1573"/>
      <c r="F39" s="1573"/>
      <c r="G39" s="1573"/>
      <c r="H39" s="1573"/>
      <c r="I39" s="1574"/>
      <c r="J39" s="1574"/>
      <c r="K39" s="1672">
        <f t="shared" si="2"/>
        <v>348155</v>
      </c>
      <c r="L39" s="1573">
        <v>353660</v>
      </c>
    </row>
    <row r="40" spans="1:14" x14ac:dyDescent="0.2">
      <c r="A40" s="1274" t="s">
        <v>198</v>
      </c>
      <c r="B40" s="503">
        <v>2150</v>
      </c>
      <c r="C40" s="1573">
        <v>665331</v>
      </c>
      <c r="D40" s="1573">
        <v>116252</v>
      </c>
      <c r="E40" s="1573"/>
      <c r="F40" s="1573"/>
      <c r="G40" s="1573"/>
      <c r="H40" s="1573"/>
      <c r="I40" s="1574"/>
      <c r="J40" s="1574"/>
      <c r="K40" s="1672">
        <f t="shared" si="2"/>
        <v>781583</v>
      </c>
      <c r="L40" s="1573">
        <v>774279</v>
      </c>
    </row>
    <row r="41" spans="1:14" x14ac:dyDescent="0.2">
      <c r="A41" s="1274" t="s">
        <v>1652</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2312505</v>
      </c>
      <c r="D42" s="1674">
        <f t="shared" ref="D42:L42" si="3">SUM(D36:D41)</f>
        <v>336812</v>
      </c>
      <c r="E42" s="1674">
        <f t="shared" si="3"/>
        <v>2250</v>
      </c>
      <c r="F42" s="1674">
        <f t="shared" si="3"/>
        <v>6260</v>
      </c>
      <c r="G42" s="1674">
        <f t="shared" si="3"/>
        <v>0</v>
      </c>
      <c r="H42" s="1674">
        <f t="shared" si="3"/>
        <v>0</v>
      </c>
      <c r="I42" s="1674">
        <f t="shared" si="3"/>
        <v>0</v>
      </c>
      <c r="J42" s="1674">
        <f t="shared" si="3"/>
        <v>0</v>
      </c>
      <c r="K42" s="1674">
        <f t="shared" si="3"/>
        <v>2657827</v>
      </c>
      <c r="L42" s="1674">
        <f t="shared" si="3"/>
        <v>2690154</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351196</v>
      </c>
      <c r="D44" s="1586">
        <v>84751</v>
      </c>
      <c r="E44" s="1586">
        <v>226590</v>
      </c>
      <c r="F44" s="1586">
        <v>106</v>
      </c>
      <c r="G44" s="1586"/>
      <c r="H44" s="1586">
        <v>10500</v>
      </c>
      <c r="I44" s="1574"/>
      <c r="J44" s="1574"/>
      <c r="K44" s="1678">
        <f>SUM(C44:J44)</f>
        <v>673143</v>
      </c>
      <c r="L44" s="1586">
        <v>809784</v>
      </c>
    </row>
    <row r="45" spans="1:14" x14ac:dyDescent="0.2">
      <c r="A45" s="1274" t="s">
        <v>809</v>
      </c>
      <c r="B45" s="503">
        <v>2220</v>
      </c>
      <c r="C45" s="1573">
        <v>434023</v>
      </c>
      <c r="D45" s="1573">
        <v>47980</v>
      </c>
      <c r="E45" s="1573"/>
      <c r="F45" s="1573">
        <v>23954</v>
      </c>
      <c r="G45" s="1573"/>
      <c r="H45" s="1573"/>
      <c r="I45" s="1574"/>
      <c r="J45" s="1574"/>
      <c r="K45" s="1678">
        <f>SUM(C45:J45)</f>
        <v>505957</v>
      </c>
      <c r="L45" s="1573">
        <v>633232</v>
      </c>
    </row>
    <row r="46" spans="1:14" x14ac:dyDescent="0.2">
      <c r="A46" s="1274" t="s">
        <v>810</v>
      </c>
      <c r="B46" s="503">
        <v>2230</v>
      </c>
      <c r="C46" s="1573"/>
      <c r="D46" s="1573"/>
      <c r="E46" s="1573"/>
      <c r="F46" s="1573">
        <v>53676</v>
      </c>
      <c r="G46" s="1573"/>
      <c r="H46" s="1573"/>
      <c r="I46" s="1574"/>
      <c r="J46" s="1574"/>
      <c r="K46" s="1678">
        <f>SUM(C46:J46)</f>
        <v>53676</v>
      </c>
      <c r="L46" s="1573">
        <v>58000</v>
      </c>
    </row>
    <row r="47" spans="1:14" ht="12.75" customHeight="1" thickBot="1" x14ac:dyDescent="0.25">
      <c r="A47" s="1380" t="s">
        <v>556</v>
      </c>
      <c r="B47" s="1381" t="s">
        <v>32</v>
      </c>
      <c r="C47" s="1674">
        <f>SUM(C44:C46)</f>
        <v>785219</v>
      </c>
      <c r="D47" s="1674">
        <f t="shared" ref="D47:K47" si="4">SUM(D44:D46)</f>
        <v>132731</v>
      </c>
      <c r="E47" s="1674">
        <f t="shared" si="4"/>
        <v>226590</v>
      </c>
      <c r="F47" s="1674">
        <f t="shared" si="4"/>
        <v>77736</v>
      </c>
      <c r="G47" s="1674">
        <f t="shared" si="4"/>
        <v>0</v>
      </c>
      <c r="H47" s="1674">
        <f t="shared" si="4"/>
        <v>10500</v>
      </c>
      <c r="I47" s="1674">
        <f t="shared" si="4"/>
        <v>0</v>
      </c>
      <c r="J47" s="1674">
        <f t="shared" si="4"/>
        <v>0</v>
      </c>
      <c r="K47" s="1674">
        <f t="shared" si="4"/>
        <v>1232776</v>
      </c>
      <c r="L47" s="1674">
        <f>SUM(L44:L46)</f>
        <v>1501016</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5000</v>
      </c>
      <c r="D49" s="1586">
        <v>238535</v>
      </c>
      <c r="E49" s="1586">
        <v>472936</v>
      </c>
      <c r="F49" s="1586">
        <v>2373</v>
      </c>
      <c r="G49" s="1586"/>
      <c r="H49" s="1586">
        <v>15951</v>
      </c>
      <c r="I49" s="1574">
        <v>28360</v>
      </c>
      <c r="J49" s="1574"/>
      <c r="K49" s="1678">
        <f>SUM(C49:J49)</f>
        <v>763155</v>
      </c>
      <c r="L49" s="1586">
        <v>881400</v>
      </c>
    </row>
    <row r="50" spans="1:14" x14ac:dyDescent="0.2">
      <c r="A50" s="1274" t="s">
        <v>812</v>
      </c>
      <c r="B50" s="503">
        <v>2320</v>
      </c>
      <c r="C50" s="1573">
        <v>282449</v>
      </c>
      <c r="D50" s="1573">
        <v>56596</v>
      </c>
      <c r="E50" s="1573">
        <v>9412</v>
      </c>
      <c r="F50" s="1573">
        <v>991</v>
      </c>
      <c r="G50" s="1573"/>
      <c r="H50" s="1573">
        <v>2258</v>
      </c>
      <c r="I50" s="1574"/>
      <c r="J50" s="1574"/>
      <c r="K50" s="1678">
        <f>SUM(C50:J50)</f>
        <v>351706</v>
      </c>
      <c r="L50" s="1573">
        <v>380694</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287449</v>
      </c>
      <c r="D53" s="1674">
        <f t="shared" ref="D53:L53" si="5">SUM(D49:D52)</f>
        <v>295131</v>
      </c>
      <c r="E53" s="1674">
        <f t="shared" si="5"/>
        <v>482348</v>
      </c>
      <c r="F53" s="1674">
        <f t="shared" si="5"/>
        <v>3364</v>
      </c>
      <c r="G53" s="1674">
        <f t="shared" si="5"/>
        <v>0</v>
      </c>
      <c r="H53" s="1674">
        <f t="shared" si="5"/>
        <v>18209</v>
      </c>
      <c r="I53" s="1674">
        <f t="shared" si="5"/>
        <v>28360</v>
      </c>
      <c r="J53" s="1674">
        <f t="shared" si="5"/>
        <v>0</v>
      </c>
      <c r="K53" s="1674">
        <f t="shared" si="5"/>
        <v>1114861</v>
      </c>
      <c r="L53" s="1674">
        <f t="shared" si="5"/>
        <v>1262094</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1059</v>
      </c>
      <c r="B55" s="503">
        <v>2410</v>
      </c>
      <c r="C55" s="1586">
        <v>1278663</v>
      </c>
      <c r="D55" s="1586">
        <v>355243</v>
      </c>
      <c r="E55" s="1586">
        <v>472</v>
      </c>
      <c r="F55" s="1586">
        <v>13586</v>
      </c>
      <c r="G55" s="1586"/>
      <c r="H55" s="1586">
        <v>3444</v>
      </c>
      <c r="I55" s="1574"/>
      <c r="J55" s="1574"/>
      <c r="K55" s="1678">
        <f>SUM(C55:J55)</f>
        <v>1651408</v>
      </c>
      <c r="L55" s="1586">
        <v>1683619</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1278663</v>
      </c>
      <c r="D57" s="1679">
        <f t="shared" ref="D57:K57" si="6">SUM(D55:D56)</f>
        <v>355243</v>
      </c>
      <c r="E57" s="1679">
        <f t="shared" si="6"/>
        <v>472</v>
      </c>
      <c r="F57" s="1679">
        <f t="shared" si="6"/>
        <v>13586</v>
      </c>
      <c r="G57" s="1679">
        <f t="shared" si="6"/>
        <v>0</v>
      </c>
      <c r="H57" s="1679">
        <f t="shared" si="6"/>
        <v>3444</v>
      </c>
      <c r="I57" s="1679">
        <f t="shared" si="6"/>
        <v>0</v>
      </c>
      <c r="J57" s="1679">
        <f t="shared" si="6"/>
        <v>0</v>
      </c>
      <c r="K57" s="1679">
        <f t="shared" si="6"/>
        <v>1651408</v>
      </c>
      <c r="L57" s="1674">
        <f>SUM(L55:L56)</f>
        <v>1683619</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1060</v>
      </c>
      <c r="B59" s="503">
        <v>2510</v>
      </c>
      <c r="C59" s="1586">
        <v>276160</v>
      </c>
      <c r="D59" s="1586">
        <v>77988</v>
      </c>
      <c r="E59" s="1586">
        <v>23264</v>
      </c>
      <c r="F59" s="1586">
        <v>28102</v>
      </c>
      <c r="G59" s="1586"/>
      <c r="H59" s="1586">
        <v>17831</v>
      </c>
      <c r="I59" s="1574"/>
      <c r="J59" s="1574"/>
      <c r="K59" s="1678">
        <f t="shared" ref="K59:K64" si="7">SUM(C59:J59)</f>
        <v>423345</v>
      </c>
      <c r="L59" s="1586">
        <f>546011-70000</f>
        <v>476011</v>
      </c>
      <c r="M59" s="501"/>
      <c r="N59" s="501"/>
    </row>
    <row r="60" spans="1:14" s="321" customFormat="1" x14ac:dyDescent="0.2">
      <c r="A60" s="1274" t="s">
        <v>459</v>
      </c>
      <c r="B60" s="503">
        <v>2520</v>
      </c>
      <c r="C60" s="1573"/>
      <c r="D60" s="1573"/>
      <c r="E60" s="1573"/>
      <c r="F60" s="1573"/>
      <c r="G60" s="1573"/>
      <c r="H60" s="1573"/>
      <c r="I60" s="1574"/>
      <c r="J60" s="1574"/>
      <c r="K60" s="1678">
        <f t="shared" si="7"/>
        <v>0</v>
      </c>
      <c r="L60" s="1573">
        <v>70000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77</v>
      </c>
      <c r="D63" s="1573">
        <v>1</v>
      </c>
      <c r="E63" s="1573">
        <v>327566</v>
      </c>
      <c r="F63" s="1573">
        <v>36374</v>
      </c>
      <c r="G63" s="1573"/>
      <c r="H63" s="1573"/>
      <c r="I63" s="1574"/>
      <c r="J63" s="1574"/>
      <c r="K63" s="1678">
        <f t="shared" si="7"/>
        <v>364018</v>
      </c>
      <c r="L63" s="1573">
        <v>361050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276237</v>
      </c>
      <c r="D65" s="1674">
        <f t="shared" ref="D65:L65" si="8">SUM(D59:D64)</f>
        <v>77989</v>
      </c>
      <c r="E65" s="1674">
        <f t="shared" si="8"/>
        <v>350830</v>
      </c>
      <c r="F65" s="1674">
        <f t="shared" si="8"/>
        <v>64476</v>
      </c>
      <c r="G65" s="1674">
        <f t="shared" si="8"/>
        <v>0</v>
      </c>
      <c r="H65" s="1674">
        <f t="shared" si="8"/>
        <v>17831</v>
      </c>
      <c r="I65" s="1674">
        <f t="shared" si="8"/>
        <v>0</v>
      </c>
      <c r="J65" s="1674">
        <f t="shared" si="8"/>
        <v>0</v>
      </c>
      <c r="K65" s="1674">
        <f t="shared" si="8"/>
        <v>787363</v>
      </c>
      <c r="L65" s="1674">
        <f t="shared" si="8"/>
        <v>907061</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1052</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1053</v>
      </c>
      <c r="B69" s="503">
        <v>2630</v>
      </c>
      <c r="C69" s="1573">
        <v>139824</v>
      </c>
      <c r="D69" s="1573"/>
      <c r="E69" s="1573">
        <v>58</v>
      </c>
      <c r="F69" s="1573"/>
      <c r="G69" s="1573"/>
      <c r="H69" s="1573"/>
      <c r="I69" s="1574"/>
      <c r="J69" s="1574"/>
      <c r="K69" s="1678">
        <f>SUM(C69:J69)</f>
        <v>139882</v>
      </c>
      <c r="L69" s="1573"/>
      <c r="M69" s="501"/>
      <c r="N69" s="501"/>
    </row>
    <row r="70" spans="1:14" s="321" customFormat="1" x14ac:dyDescent="0.2">
      <c r="A70" s="1274" t="s">
        <v>399</v>
      </c>
      <c r="B70" s="503">
        <v>2640</v>
      </c>
      <c r="C70" s="1573">
        <v>120513</v>
      </c>
      <c r="D70" s="1573">
        <v>18196</v>
      </c>
      <c r="E70" s="1573">
        <v>12764</v>
      </c>
      <c r="F70" s="1573">
        <v>1198</v>
      </c>
      <c r="G70" s="1573"/>
      <c r="H70" s="1573">
        <v>225</v>
      </c>
      <c r="I70" s="1574"/>
      <c r="J70" s="1574"/>
      <c r="K70" s="1678">
        <f>SUM(C70:J70)</f>
        <v>152896</v>
      </c>
      <c r="L70" s="1573">
        <f>32827+248560</f>
        <v>281387</v>
      </c>
      <c r="M70" s="501"/>
      <c r="N70" s="501"/>
    </row>
    <row r="71" spans="1:14" s="321" customFormat="1" x14ac:dyDescent="0.2">
      <c r="A71" s="1274" t="s">
        <v>400</v>
      </c>
      <c r="B71" s="503">
        <v>2660</v>
      </c>
      <c r="C71" s="1573">
        <v>343300</v>
      </c>
      <c r="D71" s="1573">
        <v>35518</v>
      </c>
      <c r="E71" s="1573">
        <v>384974</v>
      </c>
      <c r="F71" s="1573">
        <v>272484</v>
      </c>
      <c r="G71" s="1573"/>
      <c r="H71" s="1573"/>
      <c r="I71" s="1574">
        <v>672127</v>
      </c>
      <c r="J71" s="1574"/>
      <c r="K71" s="1678">
        <f>SUM(C71:J71)</f>
        <v>1708403</v>
      </c>
      <c r="L71" s="1573">
        <v>1255647</v>
      </c>
      <c r="M71" s="501"/>
      <c r="N71" s="501"/>
    </row>
    <row r="72" spans="1:14" s="321" customFormat="1" ht="12.75" customHeight="1" thickBot="1" x14ac:dyDescent="0.25">
      <c r="A72" s="1380" t="s">
        <v>37</v>
      </c>
      <c r="B72" s="1383" t="s">
        <v>36</v>
      </c>
      <c r="C72" s="1674">
        <f>SUM(C67:C71)</f>
        <v>603637</v>
      </c>
      <c r="D72" s="1674">
        <f t="shared" ref="D72:K72" si="9">SUM(D67:D71)</f>
        <v>53714</v>
      </c>
      <c r="E72" s="1674">
        <f t="shared" si="9"/>
        <v>397796</v>
      </c>
      <c r="F72" s="1674">
        <f t="shared" si="9"/>
        <v>273682</v>
      </c>
      <c r="G72" s="1674">
        <f t="shared" si="9"/>
        <v>0</v>
      </c>
      <c r="H72" s="1674">
        <f t="shared" si="9"/>
        <v>225</v>
      </c>
      <c r="I72" s="1674">
        <f t="shared" si="9"/>
        <v>672127</v>
      </c>
      <c r="J72" s="1674">
        <f t="shared" si="9"/>
        <v>0</v>
      </c>
      <c r="K72" s="1674">
        <f t="shared" si="9"/>
        <v>2001181</v>
      </c>
      <c r="L72" s="1674">
        <f>SUM(L67:L71)</f>
        <v>1537034</v>
      </c>
      <c r="M72" s="501"/>
      <c r="N72" s="501"/>
    </row>
    <row r="73" spans="1:14" s="321" customFormat="1" ht="14.25" thickTop="1" thickBot="1" x14ac:dyDescent="0.25">
      <c r="A73" s="1280" t="s">
        <v>972</v>
      </c>
      <c r="B73" s="515" t="s">
        <v>569</v>
      </c>
      <c r="C73" s="1649"/>
      <c r="D73" s="1649"/>
      <c r="E73" s="1649"/>
      <c r="F73" s="1649">
        <v>289</v>
      </c>
      <c r="G73" s="1649">
        <v>176950</v>
      </c>
      <c r="H73" s="1649"/>
      <c r="I73" s="1627"/>
      <c r="J73" s="1627"/>
      <c r="K73" s="1674">
        <f>SUM(C73:J73)</f>
        <v>177239</v>
      </c>
      <c r="L73" s="1651">
        <v>0</v>
      </c>
      <c r="M73" s="501"/>
      <c r="N73" s="501"/>
    </row>
    <row r="74" spans="1:14" ht="12.75" customHeight="1" thickTop="1" thickBot="1" x14ac:dyDescent="0.25">
      <c r="A74" s="1380" t="s">
        <v>805</v>
      </c>
      <c r="B74" s="1384">
        <v>2000</v>
      </c>
      <c r="C74" s="1681">
        <f>SUM(C42,C47,C53,C57,C65,C72,C73)</f>
        <v>5543710</v>
      </c>
      <c r="D74" s="1681">
        <f t="shared" ref="D74:K74" si="10">SUM(D42,D47,D53,D57,D65,D72,D73)</f>
        <v>1251620</v>
      </c>
      <c r="E74" s="1681">
        <f t="shared" si="10"/>
        <v>1460286</v>
      </c>
      <c r="F74" s="1681">
        <f t="shared" si="10"/>
        <v>439393</v>
      </c>
      <c r="G74" s="1681">
        <f t="shared" si="10"/>
        <v>176950</v>
      </c>
      <c r="H74" s="1681">
        <f t="shared" si="10"/>
        <v>50209</v>
      </c>
      <c r="I74" s="1681">
        <f t="shared" si="10"/>
        <v>700487</v>
      </c>
      <c r="J74" s="1681">
        <f t="shared" si="10"/>
        <v>0</v>
      </c>
      <c r="K74" s="1681">
        <f t="shared" si="10"/>
        <v>9622655</v>
      </c>
      <c r="L74" s="1681">
        <f>SUM(L42,L47,L53,L57,L65,L72,L73)</f>
        <v>9580978</v>
      </c>
    </row>
    <row r="75" spans="1:14" s="254" customFormat="1" ht="15.75" customHeight="1" thickTop="1" thickBot="1" x14ac:dyDescent="0.25">
      <c r="A75" s="1348" t="s">
        <v>47</v>
      </c>
      <c r="B75" s="1349" t="s">
        <v>570</v>
      </c>
      <c r="C75" s="1649">
        <v>86231</v>
      </c>
      <c r="D75" s="1649">
        <f>150+30722</f>
        <v>30872</v>
      </c>
      <c r="E75" s="1649"/>
      <c r="F75" s="1649"/>
      <c r="G75" s="1649"/>
      <c r="H75" s="1649"/>
      <c r="I75" s="1627"/>
      <c r="J75" s="1627"/>
      <c r="K75" s="1674">
        <f>SUM(C75:J75)</f>
        <v>117103</v>
      </c>
      <c r="L75" s="1651">
        <v>113575</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504866</v>
      </c>
      <c r="F79" s="1673"/>
      <c r="G79" s="1673"/>
      <c r="H79" s="1573"/>
      <c r="I79" s="1582"/>
      <c r="J79" s="1582"/>
      <c r="K79" s="1672">
        <f t="shared" si="11"/>
        <v>504866</v>
      </c>
      <c r="L79" s="1573">
        <v>652000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1470</v>
      </c>
      <c r="B84" s="1385">
        <v>4100</v>
      </c>
      <c r="C84" s="1673"/>
      <c r="D84" s="1673"/>
      <c r="E84" s="1674">
        <f>SUM(E78:E83)</f>
        <v>504866</v>
      </c>
      <c r="F84" s="1673"/>
      <c r="G84" s="1673"/>
      <c r="H84" s="1674">
        <f>SUM(H78:H83)</f>
        <v>0</v>
      </c>
      <c r="I84" s="1582"/>
      <c r="J84" s="1582"/>
      <c r="K84" s="1674">
        <f>SUM(K78:K83)</f>
        <v>504866</v>
      </c>
      <c r="L84" s="1674">
        <f>SUM(L78:L83)</f>
        <v>652000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879005</v>
      </c>
      <c r="I86" s="1582"/>
      <c r="J86" s="1582"/>
      <c r="K86" s="1681">
        <f t="shared" ref="K86:K98" si="12">H86</f>
        <v>879005</v>
      </c>
      <c r="L86" s="1626">
        <v>760000</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1545</v>
      </c>
      <c r="B92" s="1385">
        <v>4200</v>
      </c>
      <c r="C92" s="1673"/>
      <c r="D92" s="1673"/>
      <c r="E92" s="1684"/>
      <c r="F92" s="1673"/>
      <c r="G92" s="1673"/>
      <c r="H92" s="1674">
        <f>SUM(H85:H91)</f>
        <v>879005</v>
      </c>
      <c r="I92" s="1582"/>
      <c r="J92" s="1582"/>
      <c r="K92" s="1681">
        <f t="shared" si="12"/>
        <v>879005</v>
      </c>
      <c r="L92" s="1674">
        <f>SUM(L85:L91)</f>
        <v>760000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1473</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1471</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1474</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1472</v>
      </c>
      <c r="B102" s="1385">
        <v>4000</v>
      </c>
      <c r="C102" s="1673"/>
      <c r="D102" s="1673"/>
      <c r="E102" s="1681">
        <f>SUM(E84,E92,E100,E101)</f>
        <v>504866</v>
      </c>
      <c r="F102" s="1673"/>
      <c r="G102" s="1673"/>
      <c r="H102" s="1681">
        <f>SUM(H84,H92,H100,H101)</f>
        <v>879005</v>
      </c>
      <c r="I102" s="1582"/>
      <c r="J102" s="1582"/>
      <c r="K102" s="1681">
        <f>SUM(K84,K92,K100,K101)</f>
        <v>1383871</v>
      </c>
      <c r="L102" s="1681">
        <f>SUM(L84,L92,L100,L101)</f>
        <v>1412000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1161</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1094</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25350385</v>
      </c>
      <c r="D114" s="1674">
        <f t="shared" ref="D114:K114" si="13">SUM(D33,D74,D75,D102,D112,D113)</f>
        <v>4396467</v>
      </c>
      <c r="E114" s="1674">
        <f t="shared" si="13"/>
        <v>2086133</v>
      </c>
      <c r="F114" s="1674">
        <f t="shared" si="13"/>
        <v>894406</v>
      </c>
      <c r="G114" s="1674">
        <f t="shared" si="13"/>
        <v>176950</v>
      </c>
      <c r="H114" s="1674">
        <f>SUM(H33,H74,H75,H102,H112,H113)</f>
        <v>929446</v>
      </c>
      <c r="I114" s="1674">
        <f t="shared" si="13"/>
        <v>715912</v>
      </c>
      <c r="J114" s="1674">
        <f t="shared" si="13"/>
        <v>0</v>
      </c>
      <c r="K114" s="1674">
        <f t="shared" si="13"/>
        <v>34549699</v>
      </c>
      <c r="L114" s="1674">
        <f>SUM(L33,L74,L75,L102,L112,L113)</f>
        <v>35026204</v>
      </c>
    </row>
    <row r="115" spans="1:14" ht="13.5" thickTop="1" x14ac:dyDescent="0.2">
      <c r="A115" s="2270" t="s">
        <v>988</v>
      </c>
      <c r="B115" s="2271"/>
      <c r="C115" s="1675"/>
      <c r="D115" s="1675"/>
      <c r="E115" s="1675"/>
      <c r="F115" s="1675"/>
      <c r="G115" s="1675"/>
      <c r="H115" s="1675"/>
      <c r="I115" s="1675"/>
      <c r="J115" s="1675"/>
      <c r="K115" s="1689">
        <f>'Revenues 9-14'!C268-'Expenditures 15-22'!K114</f>
        <v>57277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292</v>
      </c>
      <c r="B117" s="2276"/>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1060</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174968</v>
      </c>
      <c r="H123" s="1573"/>
      <c r="I123" s="1574"/>
      <c r="J123" s="1574"/>
      <c r="K123" s="1674">
        <f>SUM(C123:J123)</f>
        <v>174968</v>
      </c>
      <c r="L123" s="1573">
        <v>127000</v>
      </c>
    </row>
    <row r="124" spans="1:14" ht="14.25" thickTop="1" thickBot="1" x14ac:dyDescent="0.25">
      <c r="A124" s="1274" t="s">
        <v>195</v>
      </c>
      <c r="B124" s="503">
        <v>2540</v>
      </c>
      <c r="C124" s="1573">
        <v>1057444</v>
      </c>
      <c r="D124" s="1573">
        <v>216018</v>
      </c>
      <c r="E124" s="1573">
        <v>867681</v>
      </c>
      <c r="F124" s="1573">
        <v>650162</v>
      </c>
      <c r="G124" s="1573">
        <v>967309</v>
      </c>
      <c r="H124" s="1573"/>
      <c r="I124" s="1574">
        <v>52189</v>
      </c>
      <c r="J124" s="1574"/>
      <c r="K124" s="1674">
        <f>SUM(C124:J124)</f>
        <v>3810803</v>
      </c>
      <c r="L124" s="1573">
        <v>3525560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1057444</v>
      </c>
      <c r="D127" s="1674">
        <f t="shared" ref="D127:L127" si="14">SUM(D122:D126)</f>
        <v>216018</v>
      </c>
      <c r="E127" s="1674">
        <f t="shared" si="14"/>
        <v>867681</v>
      </c>
      <c r="F127" s="1674">
        <f t="shared" si="14"/>
        <v>650162</v>
      </c>
      <c r="G127" s="1674">
        <f t="shared" si="14"/>
        <v>1142277</v>
      </c>
      <c r="H127" s="1674">
        <f t="shared" si="14"/>
        <v>0</v>
      </c>
      <c r="I127" s="1674">
        <f t="shared" si="14"/>
        <v>52189</v>
      </c>
      <c r="J127" s="1674">
        <f t="shared" si="14"/>
        <v>0</v>
      </c>
      <c r="K127" s="1674">
        <f t="shared" si="14"/>
        <v>3985771</v>
      </c>
      <c r="L127" s="1674">
        <f t="shared" si="14"/>
        <v>3652560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1057444</v>
      </c>
      <c r="D129" s="1681">
        <f t="shared" ref="D129:L129" si="15">SUM(D120,D127,D128)</f>
        <v>216018</v>
      </c>
      <c r="E129" s="1681">
        <f t="shared" si="15"/>
        <v>867681</v>
      </c>
      <c r="F129" s="1681">
        <f t="shared" si="15"/>
        <v>650162</v>
      </c>
      <c r="G129" s="1681">
        <f t="shared" si="15"/>
        <v>1142277</v>
      </c>
      <c r="H129" s="1681">
        <f t="shared" si="15"/>
        <v>0</v>
      </c>
      <c r="I129" s="1681">
        <f t="shared" si="15"/>
        <v>52189</v>
      </c>
      <c r="J129" s="1681">
        <f t="shared" si="15"/>
        <v>0</v>
      </c>
      <c r="K129" s="1681">
        <f t="shared" si="15"/>
        <v>3985771</v>
      </c>
      <c r="L129" s="1681">
        <f t="shared" si="15"/>
        <v>3652560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1472</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1161</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1095</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87" t="s">
        <v>615</v>
      </c>
      <c r="B151" s="2267"/>
      <c r="C151" s="1674">
        <f>SUM(C129,C130,C139,C149,C150)</f>
        <v>1057444</v>
      </c>
      <c r="D151" s="1674">
        <f t="shared" ref="D151:K151" si="16">SUM(D129,D130,D139,D149,D150)</f>
        <v>216018</v>
      </c>
      <c r="E151" s="1674">
        <f t="shared" si="16"/>
        <v>867681</v>
      </c>
      <c r="F151" s="1674">
        <f t="shared" si="16"/>
        <v>650162</v>
      </c>
      <c r="G151" s="1674">
        <f t="shared" si="16"/>
        <v>1142277</v>
      </c>
      <c r="H151" s="1674">
        <f t="shared" si="16"/>
        <v>0</v>
      </c>
      <c r="I151" s="1674">
        <f t="shared" si="16"/>
        <v>52189</v>
      </c>
      <c r="J151" s="1674">
        <f t="shared" si="16"/>
        <v>0</v>
      </c>
      <c r="K151" s="1674">
        <f t="shared" si="16"/>
        <v>3985771</v>
      </c>
      <c r="L151" s="1674">
        <f>SUM(L129,L130,L139,L149,L150)</f>
        <v>3652560</v>
      </c>
    </row>
    <row r="152" spans="1:14" ht="12.75" customHeight="1" thickTop="1" x14ac:dyDescent="0.2">
      <c r="A152" s="2290" t="s">
        <v>1169</v>
      </c>
      <c r="B152" s="2291"/>
      <c r="C152" s="1675"/>
      <c r="D152" s="1675"/>
      <c r="E152" s="1675"/>
      <c r="F152" s="1675"/>
      <c r="G152" s="1675"/>
      <c r="H152" s="1675"/>
      <c r="I152" s="1675"/>
      <c r="J152" s="1673"/>
      <c r="K152" s="1689">
        <f>'Revenues 9-14'!D268-'Expenditures 15-22'!K151</f>
        <v>166399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616</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1161</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2843453</v>
      </c>
      <c r="I169" s="1673"/>
      <c r="J169" s="1673"/>
      <c r="K169" s="1672">
        <f>SUM(C169:H169)</f>
        <v>2843453</v>
      </c>
      <c r="L169" s="1695">
        <v>1563105</v>
      </c>
    </row>
    <row r="170" spans="1:14" ht="33.75" customHeight="1" x14ac:dyDescent="0.2">
      <c r="A170" s="543" t="s">
        <v>1653</v>
      </c>
      <c r="B170" s="545" t="s">
        <v>31</v>
      </c>
      <c r="C170" s="1673"/>
      <c r="D170" s="1673"/>
      <c r="E170" s="1673"/>
      <c r="F170" s="1673"/>
      <c r="G170" s="1673"/>
      <c r="H170" s="1646">
        <v>2372691</v>
      </c>
      <c r="I170" s="1673"/>
      <c r="J170" s="1673"/>
      <c r="K170" s="1672">
        <f>SUM(C170:J170)</f>
        <v>2372691</v>
      </c>
      <c r="L170" s="1646">
        <v>1567951</v>
      </c>
    </row>
    <row r="171" spans="1:14" ht="15.75" customHeight="1" x14ac:dyDescent="0.2">
      <c r="A171" s="507" t="s">
        <v>760</v>
      </c>
      <c r="B171" s="546" t="s">
        <v>84</v>
      </c>
      <c r="C171" s="1673"/>
      <c r="D171" s="1673"/>
      <c r="E171" s="1573"/>
      <c r="F171" s="1673"/>
      <c r="G171" s="1673"/>
      <c r="H171" s="1646">
        <f>148918</f>
        <v>148918</v>
      </c>
      <c r="I171" s="1582"/>
      <c r="J171" s="1673"/>
      <c r="K171" s="1672">
        <f>SUM(C171:J171)</f>
        <v>148918</v>
      </c>
      <c r="L171" s="1646"/>
    </row>
    <row r="172" spans="1:14" ht="12.75" customHeight="1" thickBot="1" x14ac:dyDescent="0.25">
      <c r="A172" s="1380" t="s">
        <v>632</v>
      </c>
      <c r="B172" s="1381" t="s">
        <v>488</v>
      </c>
      <c r="C172" s="1673"/>
      <c r="D172" s="1673"/>
      <c r="E172" s="1681">
        <f>SUM(E168,E169,E170,E171)</f>
        <v>0</v>
      </c>
      <c r="F172" s="1673"/>
      <c r="G172" s="1673"/>
      <c r="H172" s="1681">
        <f>SUM(H168,H169,H170,H171)</f>
        <v>5365062</v>
      </c>
      <c r="I172" s="1684"/>
      <c r="J172" s="1673"/>
      <c r="K172" s="1681">
        <f>SUM(K168,K169,K170,K171)</f>
        <v>5365062</v>
      </c>
      <c r="L172" s="1681">
        <f>SUM(L168,L169,L170,L171)</f>
        <v>3131056</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5365062</v>
      </c>
      <c r="I174" s="1684"/>
      <c r="J174" s="1673"/>
      <c r="K174" s="1681">
        <f>SUM(K160,K172,K173)</f>
        <v>5365062</v>
      </c>
      <c r="L174" s="1681">
        <f>SUM(L160,L172,L173)</f>
        <v>3131056</v>
      </c>
    </row>
    <row r="175" spans="1:14" ht="13.5" thickTop="1" x14ac:dyDescent="0.2">
      <c r="A175" s="2270" t="s">
        <v>988</v>
      </c>
      <c r="B175" s="2271"/>
      <c r="C175" s="1673"/>
      <c r="D175" s="1673"/>
      <c r="E175" s="1673"/>
      <c r="F175" s="1673"/>
      <c r="G175" s="1673"/>
      <c r="H175" s="1675"/>
      <c r="I175" s="1673"/>
      <c r="J175" s="1673"/>
      <c r="K175" s="1689">
        <f>'Revenues 9-14'!E268-'Expenditures 15-22'!K174</f>
        <v>-2713427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c r="D182" s="1573"/>
      <c r="E182" s="1573">
        <f>1904+1175073</f>
        <v>1176977</v>
      </c>
      <c r="F182" s="1573"/>
      <c r="G182" s="1573"/>
      <c r="H182" s="1573"/>
      <c r="I182" s="1574"/>
      <c r="J182" s="1574"/>
      <c r="K182" s="1672">
        <f>SUM(C182:J182)</f>
        <v>1176977</v>
      </c>
      <c r="L182" s="1573">
        <v>1355600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0</v>
      </c>
      <c r="D184" s="1681">
        <f t="shared" ref="D184:J184" si="17">SUM(D180,D182,D183)</f>
        <v>0</v>
      </c>
      <c r="E184" s="1681">
        <f t="shared" si="17"/>
        <v>1176977</v>
      </c>
      <c r="F184" s="1681">
        <f t="shared" si="17"/>
        <v>0</v>
      </c>
      <c r="G184" s="1681">
        <f t="shared" si="17"/>
        <v>0</v>
      </c>
      <c r="H184" s="1681">
        <f t="shared" si="17"/>
        <v>0</v>
      </c>
      <c r="I184" s="1681">
        <f t="shared" si="17"/>
        <v>0</v>
      </c>
      <c r="J184" s="1681">
        <f t="shared" si="17"/>
        <v>0</v>
      </c>
      <c r="K184" s="1681">
        <f>SUM(K180,K182,K183)</f>
        <v>1176977</v>
      </c>
      <c r="L184" s="1681">
        <f>SUM(L180, L182:L183)</f>
        <v>1355600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1122</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1131</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1472</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1161</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1654</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0</v>
      </c>
      <c r="D210" s="1674">
        <f>SUM(D184,D185)</f>
        <v>0</v>
      </c>
      <c r="E210" s="1674">
        <f>SUM(E184,E185,E196)</f>
        <v>1176977</v>
      </c>
      <c r="F210" s="1674">
        <f>SUM(F184,F185)</f>
        <v>0</v>
      </c>
      <c r="G210" s="1674">
        <f>SUM(G184,G185)</f>
        <v>0</v>
      </c>
      <c r="H210" s="1674">
        <f>SUM(H184,H185,H196,H208,H209)</f>
        <v>0</v>
      </c>
      <c r="I210" s="1674">
        <f>SUM(I184,I185)</f>
        <v>0</v>
      </c>
      <c r="J210" s="1674">
        <f>SUM(J184,J185)</f>
        <v>0</v>
      </c>
      <c r="K210" s="1672">
        <f>SUM(K184,K185,K196,K208,K209)</f>
        <v>1176977</v>
      </c>
      <c r="L210" s="1674">
        <f>SUM(L184,L185,L196,L208,L209)</f>
        <v>1355600</v>
      </c>
    </row>
    <row r="211" spans="1:14" ht="13.5" thickTop="1" x14ac:dyDescent="0.2">
      <c r="A211" s="2270" t="s">
        <v>988</v>
      </c>
      <c r="B211" s="2271"/>
      <c r="C211" s="1675"/>
      <c r="D211" s="1675"/>
      <c r="E211" s="1675"/>
      <c r="F211" s="1675"/>
      <c r="G211" s="1675"/>
      <c r="H211" s="1675"/>
      <c r="I211" s="1673"/>
      <c r="J211" s="1673"/>
      <c r="K211" s="1689">
        <f>'Revenues 9-14'!F268-'Expenditures 15-22'!K210</f>
        <v>102097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958</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189210</v>
      </c>
      <c r="E215" s="1673"/>
      <c r="F215" s="1673"/>
      <c r="G215" s="1673"/>
      <c r="H215" s="1673"/>
      <c r="I215" s="1673"/>
      <c r="J215" s="1673"/>
      <c r="K215" s="1672">
        <f>D215</f>
        <v>189210</v>
      </c>
      <c r="L215" s="1573">
        <v>199670</v>
      </c>
    </row>
    <row r="216" spans="1:14" x14ac:dyDescent="0.2">
      <c r="A216" s="1274" t="s">
        <v>162</v>
      </c>
      <c r="B216" s="503" t="s">
        <v>960</v>
      </c>
      <c r="C216" s="1673"/>
      <c r="D216" s="1574">
        <v>4142</v>
      </c>
      <c r="E216" s="1673"/>
      <c r="F216" s="1673"/>
      <c r="G216" s="1673"/>
      <c r="H216" s="1673"/>
      <c r="I216" s="1673"/>
      <c r="J216" s="1673"/>
      <c r="K216" s="1672">
        <f t="shared" ref="K216:K228" si="19">D216</f>
        <v>4142</v>
      </c>
      <c r="L216" s="1573">
        <v>4500</v>
      </c>
    </row>
    <row r="217" spans="1:14" x14ac:dyDescent="0.2">
      <c r="A217" s="1274" t="s">
        <v>163</v>
      </c>
      <c r="B217" s="503">
        <v>1200</v>
      </c>
      <c r="C217" s="1673"/>
      <c r="D217" s="1573">
        <v>285734</v>
      </c>
      <c r="E217" s="1673"/>
      <c r="F217" s="1673"/>
      <c r="G217" s="1673"/>
      <c r="H217" s="1673"/>
      <c r="I217" s="1673"/>
      <c r="J217" s="1673"/>
      <c r="K217" s="1672">
        <f t="shared" si="19"/>
        <v>285734</v>
      </c>
      <c r="L217" s="1573">
        <v>268800</v>
      </c>
    </row>
    <row r="218" spans="1:14" x14ac:dyDescent="0.2">
      <c r="A218" s="1274" t="s">
        <v>275</v>
      </c>
      <c r="B218" s="503" t="s">
        <v>961</v>
      </c>
      <c r="C218" s="1673"/>
      <c r="D218" s="1574">
        <v>11910</v>
      </c>
      <c r="E218" s="1673"/>
      <c r="F218" s="1673"/>
      <c r="G218" s="1673"/>
      <c r="H218" s="1673"/>
      <c r="I218" s="1673"/>
      <c r="J218" s="1673"/>
      <c r="K218" s="1672">
        <f t="shared" si="19"/>
        <v>11910</v>
      </c>
      <c r="L218" s="1573">
        <v>9400</v>
      </c>
    </row>
    <row r="219" spans="1:14" x14ac:dyDescent="0.2">
      <c r="A219" s="1274" t="s">
        <v>276</v>
      </c>
      <c r="B219" s="503">
        <v>1250</v>
      </c>
      <c r="C219" s="1673"/>
      <c r="D219" s="1573">
        <v>2295</v>
      </c>
      <c r="E219" s="1673"/>
      <c r="F219" s="1673"/>
      <c r="G219" s="1673"/>
      <c r="H219" s="1673"/>
      <c r="I219" s="1673"/>
      <c r="J219" s="1673"/>
      <c r="K219" s="1672">
        <f t="shared" si="19"/>
        <v>2295</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v>38781</v>
      </c>
      <c r="E223" s="1673"/>
      <c r="F223" s="1673"/>
      <c r="G223" s="1673"/>
      <c r="H223" s="1673"/>
      <c r="I223" s="1673"/>
      <c r="J223" s="1673"/>
      <c r="K223" s="1672">
        <f t="shared" si="19"/>
        <v>38781</v>
      </c>
      <c r="L223" s="1573">
        <v>42350</v>
      </c>
    </row>
    <row r="224" spans="1:14" x14ac:dyDescent="0.2">
      <c r="A224" s="1274" t="s">
        <v>957</v>
      </c>
      <c r="B224" s="503">
        <v>1600</v>
      </c>
      <c r="C224" s="1673"/>
      <c r="D224" s="1573">
        <v>2922</v>
      </c>
      <c r="E224" s="1673"/>
      <c r="F224" s="1673"/>
      <c r="G224" s="1673"/>
      <c r="H224" s="1673"/>
      <c r="I224" s="1673"/>
      <c r="J224" s="1673"/>
      <c r="K224" s="1672">
        <f t="shared" si="19"/>
        <v>2922</v>
      </c>
      <c r="L224" s="1573">
        <v>7400</v>
      </c>
    </row>
    <row r="225" spans="1:12" x14ac:dyDescent="0.2">
      <c r="A225" s="1274" t="s">
        <v>979</v>
      </c>
      <c r="B225" s="503">
        <v>1650</v>
      </c>
      <c r="C225" s="1673"/>
      <c r="D225" s="1573">
        <v>7971</v>
      </c>
      <c r="E225" s="1673"/>
      <c r="F225" s="1673"/>
      <c r="G225" s="1673"/>
      <c r="H225" s="1673"/>
      <c r="I225" s="1673"/>
      <c r="J225" s="1673"/>
      <c r="K225" s="1672">
        <f t="shared" si="19"/>
        <v>7971</v>
      </c>
      <c r="L225" s="1573">
        <v>9800</v>
      </c>
    </row>
    <row r="226" spans="1:12" x14ac:dyDescent="0.2">
      <c r="A226" s="1274" t="s">
        <v>718</v>
      </c>
      <c r="B226" s="503" t="s">
        <v>161</v>
      </c>
      <c r="C226" s="1673"/>
      <c r="D226" s="1574"/>
      <c r="E226" s="1673"/>
      <c r="F226" s="1673"/>
      <c r="G226" s="1673"/>
      <c r="H226" s="1673"/>
      <c r="I226" s="1673"/>
      <c r="J226" s="1673"/>
      <c r="K226" s="1672">
        <f t="shared" si="19"/>
        <v>0</v>
      </c>
      <c r="L226" s="1573"/>
    </row>
    <row r="227" spans="1:12" x14ac:dyDescent="0.2">
      <c r="A227" s="1274" t="s">
        <v>1079</v>
      </c>
      <c r="B227" s="503">
        <v>1800</v>
      </c>
      <c r="C227" s="1673"/>
      <c r="D227" s="1573">
        <v>5984</v>
      </c>
      <c r="E227" s="1673"/>
      <c r="F227" s="1673"/>
      <c r="G227" s="1673"/>
      <c r="H227" s="1673"/>
      <c r="I227" s="1673"/>
      <c r="J227" s="1673"/>
      <c r="K227" s="1672">
        <f t="shared" si="19"/>
        <v>5984</v>
      </c>
      <c r="L227" s="1573">
        <v>5820</v>
      </c>
    </row>
    <row r="228" spans="1:12" x14ac:dyDescent="0.2">
      <c r="A228" s="1274" t="s">
        <v>1080</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548949</v>
      </c>
      <c r="E229" s="1673"/>
      <c r="F229" s="1673"/>
      <c r="G229" s="1673"/>
      <c r="H229" s="1673"/>
      <c r="I229" s="1673"/>
      <c r="J229" s="1673"/>
      <c r="K229" s="1674">
        <f>SUM(K215:K228)</f>
        <v>548949</v>
      </c>
      <c r="L229" s="1674">
        <f>SUM(L215:L228)</f>
        <v>547740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1081</v>
      </c>
      <c r="B232" s="503">
        <v>2110</v>
      </c>
      <c r="C232" s="1673"/>
      <c r="D232" s="1573">
        <v>8366</v>
      </c>
      <c r="E232" s="1673"/>
      <c r="F232" s="1673"/>
      <c r="G232" s="1673"/>
      <c r="H232" s="1673"/>
      <c r="I232" s="1673"/>
      <c r="J232" s="1673"/>
      <c r="K232" s="1672">
        <f t="shared" ref="K232:K237" si="20">D232</f>
        <v>8366</v>
      </c>
      <c r="L232" s="1573">
        <v>9330</v>
      </c>
    </row>
    <row r="233" spans="1:12" x14ac:dyDescent="0.2">
      <c r="A233" s="1274" t="s">
        <v>1082</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105570</v>
      </c>
      <c r="E234" s="1673"/>
      <c r="F234" s="1673"/>
      <c r="G234" s="1673"/>
      <c r="H234" s="1673"/>
      <c r="I234" s="1673"/>
      <c r="J234" s="1673"/>
      <c r="K234" s="1672">
        <f t="shared" si="20"/>
        <v>105570</v>
      </c>
      <c r="L234" s="1573">
        <v>106215</v>
      </c>
    </row>
    <row r="235" spans="1:12" x14ac:dyDescent="0.2">
      <c r="A235" s="1274" t="s">
        <v>197</v>
      </c>
      <c r="B235" s="503">
        <v>2140</v>
      </c>
      <c r="C235" s="1673"/>
      <c r="D235" s="1573">
        <v>5477</v>
      </c>
      <c r="E235" s="1673"/>
      <c r="F235" s="1673"/>
      <c r="G235" s="1673"/>
      <c r="H235" s="1673"/>
      <c r="I235" s="1673"/>
      <c r="J235" s="1673"/>
      <c r="K235" s="1672">
        <f t="shared" si="20"/>
        <v>5477</v>
      </c>
      <c r="L235" s="1573">
        <v>4800</v>
      </c>
    </row>
    <row r="236" spans="1:12" x14ac:dyDescent="0.2">
      <c r="A236" s="1274" t="s">
        <v>198</v>
      </c>
      <c r="B236" s="503">
        <v>2150</v>
      </c>
      <c r="C236" s="1673"/>
      <c r="D236" s="1573">
        <v>9260</v>
      </c>
      <c r="E236" s="1673"/>
      <c r="F236" s="1673"/>
      <c r="G236" s="1673"/>
      <c r="H236" s="1673"/>
      <c r="I236" s="1673"/>
      <c r="J236" s="1673"/>
      <c r="K236" s="1672">
        <f t="shared" si="20"/>
        <v>9260</v>
      </c>
      <c r="L236" s="1573">
        <v>11100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128673</v>
      </c>
      <c r="E238" s="1673"/>
      <c r="F238" s="1673"/>
      <c r="G238" s="1673"/>
      <c r="H238" s="1673"/>
      <c r="I238" s="1673"/>
      <c r="J238" s="1673"/>
      <c r="K238" s="1674">
        <f>SUM(K232:K237)</f>
        <v>128673</v>
      </c>
      <c r="L238" s="1674">
        <f>SUM(L232:L237)</f>
        <v>131445</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4663</v>
      </c>
      <c r="E240" s="1673"/>
      <c r="F240" s="1673"/>
      <c r="G240" s="1673"/>
      <c r="H240" s="1673"/>
      <c r="I240" s="1673"/>
      <c r="J240" s="1673"/>
      <c r="K240" s="1678">
        <f>D240</f>
        <v>4663</v>
      </c>
      <c r="L240" s="1586">
        <v>6450</v>
      </c>
    </row>
    <row r="241" spans="1:12" x14ac:dyDescent="0.2">
      <c r="A241" s="1274" t="s">
        <v>809</v>
      </c>
      <c r="B241" s="503">
        <v>2220</v>
      </c>
      <c r="C241" s="1673"/>
      <c r="D241" s="1573">
        <v>18842</v>
      </c>
      <c r="E241" s="1673"/>
      <c r="F241" s="1673"/>
      <c r="G241" s="1673"/>
      <c r="H241" s="1673"/>
      <c r="I241" s="1673"/>
      <c r="J241" s="1673"/>
      <c r="K241" s="1678">
        <f>D241</f>
        <v>18842</v>
      </c>
      <c r="L241" s="1573">
        <v>25700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23505</v>
      </c>
      <c r="E243" s="1673"/>
      <c r="F243" s="1673"/>
      <c r="G243" s="1673"/>
      <c r="H243" s="1673"/>
      <c r="I243" s="1673"/>
      <c r="J243" s="1673"/>
      <c r="K243" s="1674">
        <f>SUM(K240:K242)</f>
        <v>23505</v>
      </c>
      <c r="L243" s="1674">
        <f>SUM(L240:L242)</f>
        <v>32150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893</v>
      </c>
      <c r="E245" s="1673"/>
      <c r="F245" s="1673"/>
      <c r="G245" s="1673"/>
      <c r="H245" s="1673"/>
      <c r="I245" s="1673"/>
      <c r="J245" s="1673"/>
      <c r="K245" s="1678">
        <f>D245</f>
        <v>893</v>
      </c>
      <c r="L245" s="1586">
        <v>0</v>
      </c>
    </row>
    <row r="246" spans="1:12" x14ac:dyDescent="0.2">
      <c r="A246" s="1274" t="s">
        <v>812</v>
      </c>
      <c r="B246" s="503">
        <v>2320</v>
      </c>
      <c r="C246" s="1673"/>
      <c r="D246" s="1573">
        <v>13205</v>
      </c>
      <c r="E246" s="1673"/>
      <c r="F246" s="1673"/>
      <c r="G246" s="1673"/>
      <c r="H246" s="1673"/>
      <c r="I246" s="1673"/>
      <c r="J246" s="1673"/>
      <c r="K246" s="1678">
        <f t="shared" ref="K246:K256" si="21">D246</f>
        <v>13205</v>
      </c>
      <c r="L246" s="1573">
        <v>15600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199</v>
      </c>
      <c r="E254" s="1673"/>
      <c r="F254" s="1673"/>
      <c r="G254" s="1673"/>
      <c r="H254" s="1673"/>
      <c r="I254" s="1673"/>
      <c r="J254" s="1673"/>
      <c r="K254" s="1678">
        <f t="shared" si="21"/>
        <v>199</v>
      </c>
      <c r="L254" s="1573">
        <v>0</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14297</v>
      </c>
      <c r="E257" s="1673"/>
      <c r="F257" s="1673"/>
      <c r="G257" s="1673"/>
      <c r="H257" s="1673"/>
      <c r="I257" s="1673"/>
      <c r="J257" s="1673"/>
      <c r="K257" s="1674">
        <f>SUM(K245:K256)</f>
        <v>14297</v>
      </c>
      <c r="L257" s="1674">
        <f>SUM(L245:L256)</f>
        <v>15600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1059</v>
      </c>
      <c r="B259" s="559">
        <v>2410</v>
      </c>
      <c r="C259" s="1673"/>
      <c r="D259" s="1586">
        <v>64231</v>
      </c>
      <c r="E259" s="1673"/>
      <c r="F259" s="1673"/>
      <c r="G259" s="1673"/>
      <c r="H259" s="1673"/>
      <c r="I259" s="1673"/>
      <c r="J259" s="1673"/>
      <c r="K259" s="1678">
        <f>D259</f>
        <v>64231</v>
      </c>
      <c r="L259" s="1586">
        <v>70700</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64231</v>
      </c>
      <c r="E261" s="1673"/>
      <c r="F261" s="1673"/>
      <c r="G261" s="1673"/>
      <c r="H261" s="1673"/>
      <c r="I261" s="1673"/>
      <c r="J261" s="1673"/>
      <c r="K261" s="1674">
        <f>SUM(K259:K260)</f>
        <v>64231</v>
      </c>
      <c r="L261" s="1674">
        <f>SUM(L259:L260)</f>
        <v>70700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1060</v>
      </c>
      <c r="B263" s="559">
        <v>2510</v>
      </c>
      <c r="C263" s="1673"/>
      <c r="D263" s="1573">
        <v>26312</v>
      </c>
      <c r="E263" s="1673"/>
      <c r="F263" s="1673"/>
      <c r="G263" s="1673"/>
      <c r="H263" s="1673"/>
      <c r="I263" s="1673"/>
      <c r="J263" s="1673"/>
      <c r="K263" s="1678">
        <f>D263</f>
        <v>26312</v>
      </c>
      <c r="L263" s="1586">
        <v>43000</v>
      </c>
    </row>
    <row r="264" spans="1:14" x14ac:dyDescent="0.2">
      <c r="A264" s="1274" t="s">
        <v>459</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187157</v>
      </c>
      <c r="E266" s="1673"/>
      <c r="F266" s="1673"/>
      <c r="G266" s="1673"/>
      <c r="H266" s="1673"/>
      <c r="I266" s="1673"/>
      <c r="J266" s="1673"/>
      <c r="K266" s="1678">
        <f t="shared" si="22"/>
        <v>187157</v>
      </c>
      <c r="L266" s="1573">
        <v>173100</v>
      </c>
    </row>
    <row r="267" spans="1:14" x14ac:dyDescent="0.2">
      <c r="A267" s="1274" t="s">
        <v>946</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213469</v>
      </c>
      <c r="E270" s="1673"/>
      <c r="F270" s="1673"/>
      <c r="G270" s="1673"/>
      <c r="H270" s="1673"/>
      <c r="I270" s="1673"/>
      <c r="J270" s="1673"/>
      <c r="K270" s="1674">
        <f>SUM(K263:K269)</f>
        <v>213469</v>
      </c>
      <c r="L270" s="1674">
        <f>SUM(L263:L269)</f>
        <v>216100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1052</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1053</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v>48874</v>
      </c>
      <c r="E275" s="1673"/>
      <c r="F275" s="1673"/>
      <c r="G275" s="1673"/>
      <c r="H275" s="1673"/>
      <c r="I275" s="1673"/>
      <c r="J275" s="1673"/>
      <c r="K275" s="1678">
        <f>D275</f>
        <v>48874</v>
      </c>
      <c r="L275" s="1573">
        <v>35500</v>
      </c>
    </row>
    <row r="276" spans="1:12" x14ac:dyDescent="0.2">
      <c r="A276" s="1274" t="s">
        <v>400</v>
      </c>
      <c r="B276" s="503">
        <v>2660</v>
      </c>
      <c r="C276" s="1673"/>
      <c r="D276" s="1573">
        <v>63622</v>
      </c>
      <c r="E276" s="1673"/>
      <c r="F276" s="1673"/>
      <c r="G276" s="1673"/>
      <c r="H276" s="1673"/>
      <c r="I276" s="1673"/>
      <c r="J276" s="1673"/>
      <c r="K276" s="1678">
        <f>D276</f>
        <v>63622</v>
      </c>
      <c r="L276" s="1573">
        <v>63600</v>
      </c>
    </row>
    <row r="277" spans="1:12" ht="12.75" customHeight="1" thickBot="1" x14ac:dyDescent="0.25">
      <c r="A277" s="1393" t="s">
        <v>37</v>
      </c>
      <c r="B277" s="1381" t="s">
        <v>36</v>
      </c>
      <c r="C277" s="1673"/>
      <c r="D277" s="1674">
        <f>SUM(D272:D276)</f>
        <v>112496</v>
      </c>
      <c r="E277" s="1673"/>
      <c r="F277" s="1673"/>
      <c r="G277" s="1673"/>
      <c r="H277" s="1673"/>
      <c r="I277" s="1673"/>
      <c r="J277" s="1673"/>
      <c r="K277" s="1674">
        <f>SUM(K272:K276)</f>
        <v>112496</v>
      </c>
      <c r="L277" s="1674">
        <f>SUM(L272:L276)</f>
        <v>99100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556671</v>
      </c>
      <c r="E279" s="1673"/>
      <c r="F279" s="1673"/>
      <c r="G279" s="1673"/>
      <c r="H279" s="1673"/>
      <c r="I279" s="1673"/>
      <c r="J279" s="1673"/>
      <c r="K279" s="1681">
        <f>SUM(K238,K243,K257,K261,K270,K277,K278)</f>
        <v>556671</v>
      </c>
      <c r="L279" s="1681">
        <f>SUM(L238,L243,L257,L261,L270,L277,L278)</f>
        <v>565095</v>
      </c>
    </row>
    <row r="280" spans="1:12" ht="15.75" customHeight="1" thickTop="1" thickBot="1" x14ac:dyDescent="0.25">
      <c r="A280" s="1362" t="s">
        <v>869</v>
      </c>
      <c r="B280" s="1351">
        <v>3000</v>
      </c>
      <c r="C280" s="1673"/>
      <c r="D280" s="1651">
        <v>14704</v>
      </c>
      <c r="E280" s="1673"/>
      <c r="F280" s="1673"/>
      <c r="G280" s="1673"/>
      <c r="H280" s="1673"/>
      <c r="I280" s="1673"/>
      <c r="J280" s="1673"/>
      <c r="K280" s="1687">
        <f>D280</f>
        <v>14704</v>
      </c>
      <c r="L280" s="1651">
        <v>11900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1472</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1161</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88" t="s">
        <v>501</v>
      </c>
      <c r="B295" s="2289"/>
      <c r="C295" s="1673"/>
      <c r="D295" s="1674">
        <f>SUM(D229,D279,D280,D285)</f>
        <v>1120324</v>
      </c>
      <c r="E295" s="1673"/>
      <c r="F295" s="1673"/>
      <c r="G295" s="1673"/>
      <c r="H295" s="1674">
        <f>H293</f>
        <v>0</v>
      </c>
      <c r="I295" s="1673"/>
      <c r="J295" s="1673"/>
      <c r="K295" s="1674">
        <f>SUM(K229,K279,K280,K285,K293,K294)</f>
        <v>1120324</v>
      </c>
      <c r="L295" s="1674">
        <f>SUM(L229,L279,L280,L285,L293,L294)</f>
        <v>1124735</v>
      </c>
    </row>
    <row r="296" spans="1:14" ht="13.5" thickTop="1" x14ac:dyDescent="0.2">
      <c r="A296" s="2270" t="s">
        <v>988</v>
      </c>
      <c r="B296" s="2271"/>
      <c r="C296" s="1673"/>
      <c r="D296" s="1675"/>
      <c r="E296" s="1673"/>
      <c r="F296" s="1673"/>
      <c r="G296" s="1673"/>
      <c r="H296" s="1707"/>
      <c r="I296" s="1673"/>
      <c r="J296" s="1673"/>
      <c r="K296" s="1689">
        <f>'Revenues 9-14'!G268-'Expenditures 15-22'!K295</f>
        <v>150328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1472</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85" t="s">
        <v>274</v>
      </c>
      <c r="B312" s="228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1" t="s">
        <v>988</v>
      </c>
      <c r="B313" s="2282"/>
      <c r="C313" s="1677"/>
      <c r="D313" s="1677"/>
      <c r="E313" s="1677"/>
      <c r="F313" s="1677"/>
      <c r="G313" s="1677"/>
      <c r="H313" s="1677"/>
      <c r="I313" s="1677"/>
      <c r="J313" s="1677"/>
      <c r="K313" s="1696">
        <f>'Revenues 9-14'!H268-'Expenditures 15-22'!K312</f>
        <v>1769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891</v>
      </c>
      <c r="B317" s="2295"/>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279</v>
      </c>
      <c r="C320" s="1574"/>
      <c r="D320" s="1574"/>
      <c r="E320" s="1574">
        <v>153390</v>
      </c>
      <c r="F320" s="1574"/>
      <c r="G320" s="1574"/>
      <c r="H320" s="1574"/>
      <c r="I320" s="1574"/>
      <c r="J320" s="1574"/>
      <c r="K320" s="1672">
        <f t="shared" ref="K320:K327" si="24">SUM(C320:J320)</f>
        <v>153390</v>
      </c>
      <c r="L320" s="1574">
        <v>153390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97647</v>
      </c>
      <c r="F322" s="1574"/>
      <c r="G322" s="1574"/>
      <c r="H322" s="1574"/>
      <c r="I322" s="1574"/>
      <c r="J322" s="1574"/>
      <c r="K322" s="1672">
        <f t="shared" si="24"/>
        <v>97647</v>
      </c>
      <c r="L322" s="1574">
        <v>97647</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873</v>
      </c>
      <c r="D325" s="1574"/>
      <c r="E325" s="1574"/>
      <c r="F325" s="1574"/>
      <c r="G325" s="1574"/>
      <c r="H325" s="1574"/>
      <c r="I325" s="1574"/>
      <c r="J325" s="1574"/>
      <c r="K325" s="1672">
        <f t="shared" si="24"/>
        <v>873</v>
      </c>
      <c r="L325" s="1574"/>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c r="F327" s="1574"/>
      <c r="G327" s="1574"/>
      <c r="H327" s="1574"/>
      <c r="I327" s="1574"/>
      <c r="J327" s="1574"/>
      <c r="K327" s="1672">
        <f t="shared" si="24"/>
        <v>0</v>
      </c>
      <c r="L327" s="1574"/>
      <c r="M327" s="539"/>
      <c r="N327" s="539"/>
    </row>
    <row r="328" spans="1:14" s="548" customFormat="1" x14ac:dyDescent="0.2">
      <c r="A328" s="1290" t="s">
        <v>468</v>
      </c>
      <c r="B328" s="562" t="s">
        <v>1123</v>
      </c>
      <c r="C328" s="1579"/>
      <c r="D328" s="1579"/>
      <c r="E328" s="1579"/>
      <c r="F328" s="1579"/>
      <c r="G328" s="1579"/>
      <c r="H328" s="1579"/>
      <c r="I328" s="1579"/>
      <c r="J328" s="1579"/>
      <c r="K328" s="1713">
        <f>SUM(C328:J328)</f>
        <v>0</v>
      </c>
      <c r="L328" s="1579"/>
      <c r="M328" s="539"/>
      <c r="N328" s="539"/>
    </row>
    <row r="329" spans="1:14" s="548" customFormat="1" x14ac:dyDescent="0.2">
      <c r="A329" s="1290" t="s">
        <v>1124</v>
      </c>
      <c r="B329" s="562" t="s">
        <v>1125</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873</v>
      </c>
      <c r="D330" s="1674">
        <f t="shared" ref="D330:J330" si="25">SUM(D319:D329)</f>
        <v>0</v>
      </c>
      <c r="E330" s="1674">
        <f t="shared" si="25"/>
        <v>251037</v>
      </c>
      <c r="F330" s="1674">
        <f t="shared" si="25"/>
        <v>0</v>
      </c>
      <c r="G330" s="1674">
        <f t="shared" si="25"/>
        <v>0</v>
      </c>
      <c r="H330" s="1674">
        <f t="shared" si="25"/>
        <v>0</v>
      </c>
      <c r="I330" s="1674">
        <f t="shared" si="25"/>
        <v>0</v>
      </c>
      <c r="J330" s="1674">
        <f t="shared" si="25"/>
        <v>0</v>
      </c>
      <c r="K330" s="1674">
        <f>SUM(K319:K329)</f>
        <v>251910</v>
      </c>
      <c r="L330" s="1674">
        <f>SUM(L319:L329)</f>
        <v>251037</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1161</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873</v>
      </c>
      <c r="D342" s="1674">
        <f>SUM(D330)</f>
        <v>0</v>
      </c>
      <c r="E342" s="1674">
        <f>SUM(E330)</f>
        <v>251037</v>
      </c>
      <c r="F342" s="1674">
        <f>SUM(F330)</f>
        <v>0</v>
      </c>
      <c r="G342" s="1674">
        <f>SUM(G330)</f>
        <v>0</v>
      </c>
      <c r="H342" s="1674">
        <f>SUM(H330,H334,H340)</f>
        <v>0</v>
      </c>
      <c r="I342" s="1674">
        <f>SUM(I330)</f>
        <v>0</v>
      </c>
      <c r="J342" s="1674">
        <f>SUM(J330)</f>
        <v>0</v>
      </c>
      <c r="K342" s="1674">
        <f>SUM(K330,K334,K340)</f>
        <v>251910</v>
      </c>
      <c r="L342" s="1681">
        <f>SUM(L330,L334,L340,L341)</f>
        <v>251037</v>
      </c>
    </row>
    <row r="343" spans="1:14" ht="12.75" customHeight="1" thickTop="1" x14ac:dyDescent="0.2">
      <c r="A343" s="2283" t="s">
        <v>988</v>
      </c>
      <c r="B343" s="2284"/>
      <c r="C343" s="1673"/>
      <c r="D343" s="1673"/>
      <c r="E343" s="1673"/>
      <c r="F343" s="1673"/>
      <c r="G343" s="1673"/>
      <c r="H343" s="1673"/>
      <c r="I343" s="1673"/>
      <c r="J343" s="1673"/>
      <c r="K343" s="1689">
        <f>'Revenues 9-14'!J268-'Expenditures 15-22'!K342</f>
        <v>-233959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959</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row>
    <row r="355" spans="1:14" ht="12.75" customHeight="1" x14ac:dyDescent="0.2">
      <c r="A355" s="1283" t="s">
        <v>1821</v>
      </c>
      <c r="B355" s="562" t="s">
        <v>1814</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1472</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1655</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0" t="s">
        <v>988</v>
      </c>
      <c r="B368" s="2271"/>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d21dc803-237d-4c68-8692-8d731fd29118"/>
    <ds:schemaRef ds:uri="http://schemas.microsoft.com/office/2006/metadata/properties"/>
    <ds:schemaRef ds:uri="http://schemas.microsoft.com/office/infopath/2007/PartnerControls"/>
    <ds:schemaRef ds:uri="http://purl.org/dc/terms/"/>
    <ds:schemaRef ds:uri="http://www.w3.org/XML/1998/namespace"/>
    <ds:schemaRef ds:uri="http://purl.org/dc/dcmitype/"/>
    <ds:schemaRef ds:uri="4d435f69-8686-490b-bd6d-b153bf22ab50"/>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2020-12-07T20:43:22Z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