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47C31D6-53DF-4642-8315-206441BAFA63}" xr6:coauthVersionLast="36" xr6:coauthVersionMax="36" xr10:uidLastSave="{00000000-0000-0000-0000-000000000000}"/>
  <bookViews>
    <workbookView xWindow="-28920" yWindow="-154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6" i="8" l="1"/>
  <c r="J34" i="8"/>
  <c r="J33" i="8"/>
  <c r="J32" i="8"/>
  <c r="J31"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F34" i="34" l="1"/>
  <c r="B7826" i="106" s="1"/>
  <c r="D7826" i="106" s="1"/>
  <c r="F72" i="34"/>
  <c r="D36" i="108"/>
  <c r="F69" i="34"/>
  <c r="G30" i="108"/>
  <c r="B6289" i="106"/>
  <c r="D6289" i="106" s="1"/>
  <c r="D24" i="37"/>
  <c r="B4270" i="106" s="1"/>
  <c r="D4270" i="106" s="1"/>
  <c r="F37" i="34"/>
  <c r="B7829" i="106" s="1"/>
  <c r="D7829" i="106" s="1"/>
  <c r="G26" i="108"/>
  <c r="F42" i="34"/>
  <c r="B7047" i="106"/>
  <c r="D7047" i="106" s="1"/>
  <c r="F50" i="34"/>
  <c r="H33" i="118"/>
  <c r="H76" i="4"/>
  <c r="B3298" i="106" s="1"/>
  <c r="D3298" i="106" s="1"/>
  <c r="G35" i="108"/>
  <c r="F70" i="34"/>
  <c r="H28" i="118"/>
  <c r="C129" i="29"/>
  <c r="B1225" i="106" s="1"/>
  <c r="D1225" i="106" s="1"/>
  <c r="F77" i="4"/>
  <c r="B3255" i="106" s="1"/>
  <c r="D3255" i="106" s="1"/>
  <c r="I210" i="29"/>
  <c r="B7071" i="106" s="1"/>
  <c r="D7071" i="106" s="1"/>
  <c r="L22" i="37"/>
  <c r="D69" i="36"/>
  <c r="D22" i="37"/>
  <c r="H15" i="184"/>
  <c r="H342" i="29"/>
  <c r="B7696" i="106"/>
  <c r="D7696" i="106" s="1"/>
  <c r="E66" i="184"/>
  <c r="N66" i="184" s="1"/>
  <c r="B7171" i="106"/>
  <c r="D7171" i="106" s="1"/>
  <c r="E62" i="184"/>
  <c r="N62" i="184" s="1"/>
  <c r="B7135" i="106"/>
  <c r="D7135" i="106" s="1"/>
  <c r="E58" i="184"/>
  <c r="N58" i="184" s="1"/>
  <c r="H365" i="29"/>
  <c r="B7242" i="106" s="1"/>
  <c r="D7242" i="106" s="1"/>
  <c r="B1274" i="106"/>
  <c r="D1274" i="106" s="1"/>
  <c r="D31" i="108"/>
  <c r="E16" i="184"/>
  <c r="H16" i="184" s="1"/>
  <c r="B7189" i="106"/>
  <c r="D7189" i="106" s="1"/>
  <c r="E64" i="184"/>
  <c r="N64" i="184" s="1"/>
  <c r="B7153" i="106"/>
  <c r="D7153" i="106" s="1"/>
  <c r="E60" i="184"/>
  <c r="N60" i="184" s="1"/>
  <c r="B7705" i="106"/>
  <c r="D7705" i="106" s="1"/>
  <c r="E67" i="184"/>
  <c r="N67" i="184" s="1"/>
  <c r="B7180" i="106"/>
  <c r="D7180" i="106" s="1"/>
  <c r="E63" i="184"/>
  <c r="N63" i="184" s="1"/>
  <c r="F36" i="34"/>
  <c r="B7828" i="106" s="1"/>
  <c r="D7828" i="106" s="1"/>
  <c r="B7198" i="106"/>
  <c r="D7198" i="106" s="1"/>
  <c r="E65" i="184"/>
  <c r="N65" i="184" s="1"/>
  <c r="B7162" i="106"/>
  <c r="D7162" i="106" s="1"/>
  <c r="E61" i="184"/>
  <c r="N61" i="184" s="1"/>
  <c r="B7126" i="106"/>
  <c r="D7126" i="106" s="1"/>
  <c r="E57" i="184"/>
  <c r="G33" i="108"/>
  <c r="E17" i="184"/>
  <c r="H17" i="184" s="1"/>
  <c r="H12" i="184"/>
  <c r="C352" i="29"/>
  <c r="B3621" i="106" s="1"/>
  <c r="D3621" i="106" s="1"/>
  <c r="C342" i="29"/>
  <c r="B7216" i="106" s="1"/>
  <c r="D7216" i="106" s="1"/>
  <c r="J210" i="29"/>
  <c r="B7072" i="106" s="1"/>
  <c r="D7072" i="106" s="1"/>
  <c r="B7824"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K365" i="29"/>
  <c r="K77" i="4"/>
  <c r="B3587" i="106" s="1"/>
  <c r="D3587" i="106" s="1"/>
  <c r="K28" i="118"/>
  <c r="O27" i="118" s="1"/>
  <c r="O29" i="118" s="1"/>
  <c r="B1328" i="106"/>
  <c r="D1328" i="106" s="1"/>
  <c r="C151" i="29"/>
  <c r="B1226" i="106" s="1"/>
  <c r="D1226" i="106" s="1"/>
  <c r="B5527" i="106"/>
  <c r="D5527" i="106" s="1"/>
  <c r="B6216" i="106"/>
  <c r="D6216" i="106" s="1"/>
  <c r="G170" i="5"/>
  <c r="B5778" i="106" s="1"/>
  <c r="D5778" i="106" s="1"/>
  <c r="L16" i="11"/>
  <c r="B2061" i="106" s="1"/>
  <c r="D2061" i="106" s="1"/>
  <c r="B2031" i="106"/>
  <c r="D2031" i="106" s="1"/>
  <c r="N23" i="3"/>
  <c r="B284" i="106" s="1"/>
  <c r="D284" i="106" s="1"/>
  <c r="J16" i="4"/>
  <c r="B6226" i="106" s="1"/>
  <c r="D6226" i="106" s="1"/>
  <c r="B7235" i="106"/>
  <c r="D7235" i="106" s="1"/>
  <c r="H19" i="184"/>
  <c r="L20" i="184" s="1"/>
  <c r="N57" i="184"/>
  <c r="N68" i="184" s="1"/>
  <c r="E68" i="184"/>
  <c r="C367" i="29"/>
  <c r="B3622" i="106" s="1"/>
  <c r="D3622" i="106" s="1"/>
  <c r="E19" i="184"/>
  <c r="E367" i="29"/>
  <c r="B3635" i="106"/>
  <c r="D3635" i="106" s="1"/>
  <c r="B7220" i="106"/>
  <c r="D7220" i="106" s="1"/>
  <c r="F75" i="34"/>
  <c r="B7886" i="106" s="1"/>
  <c r="D7886" i="106" s="1"/>
  <c r="B7222" i="106"/>
  <c r="D7222" i="106" s="1"/>
  <c r="F76" i="34"/>
  <c r="B7887" i="106" s="1"/>
  <c r="D7887" i="106" s="1"/>
  <c r="F41" i="108"/>
  <c r="G43" i="108" s="1"/>
  <c r="K342" i="29"/>
  <c r="F13" i="34" s="1"/>
  <c r="L114" i="29"/>
  <c r="D44" i="36"/>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K367" i="29" l="1"/>
  <c r="B7224" i="106"/>
  <c r="D7224" i="106" s="1"/>
  <c r="G6" i="4"/>
  <c r="B2604" i="106" s="1"/>
  <c r="D260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6223" i="106"/>
  <c r="D6223" i="106" s="1"/>
  <c r="J20" i="4"/>
  <c r="K17" i="4"/>
  <c r="B3575" i="106" s="1"/>
  <c r="D3575" i="106" s="1"/>
  <c r="F8" i="4"/>
  <c r="F10" i="4" s="1"/>
  <c r="B4125" i="106" s="1"/>
  <c r="D4125"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K20" i="4"/>
  <c r="B3576" i="106" s="1"/>
  <c r="D3576" i="106" s="1"/>
  <c r="K19" i="4"/>
  <c r="B4144" i="106" s="1"/>
  <c r="D4144" i="106" s="1"/>
  <c r="B2595" i="106"/>
  <c r="D259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J81" i="4"/>
  <c r="B6263" i="106"/>
  <c r="D6263" i="106" s="1"/>
  <c r="D10" i="146" l="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<sst xmlns="http://schemas.openxmlformats.org/spreadsheetml/2006/main" count="5166" uniqueCount="2094">
  <si>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</si>
  <si>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</si>
  <si>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</si>
  <si>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</si>
  <si>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</si>
  <si>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</si>
  <si>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</si>
  <si>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</si>
  <si>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</si>
  <si>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</si>
  <si>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</si>
  <si>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</si>
  <si>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</si>
  <si>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</si>
  <si>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</si>
  <si>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</si>
  <si>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</si>
  <si>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</si>
  <si>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</si>
  <si>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</si>
  <si>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</si>
  <si>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</si>
  <si>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</si>
  <si>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</si>
  <si>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</si>
  <si>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</si>
  <si>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</si>
  <si>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</si>
  <si>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</si>
  <si>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</si>
  <si>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</si>
  <si>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</si>
  <si>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</si>
  <si>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</si>
  <si>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</si>
  <si>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</si>
  <si>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</si>
  <si>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</si>
  <si>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</si>
  <si>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</si>
  <si>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</si>
  <si>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</si>
  <si>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</si>
  <si>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</si>
  <si>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</si>
  <si>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</si>
  <si>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</si>
  <si>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</si>
  <si>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</si>
  <si>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</si>
  <si>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</si>
  <si>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</si>
  <si>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</si>
  <si>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</si>
  <si>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</si>
  <si>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</si>
  <si>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</si>
  <si>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</si>
  <si>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</si>
  <si>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</si>
  <si>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</si>
  <si>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</si>
  <si>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</si>
  <si>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</si>
  <si>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</si>
  <si>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</si>
  <si>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</si>
  <si>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</si>
  <si>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</si>
  <si>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</si>
  <si>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</si>
  <si>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</si>
  <si>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</si>
  <si>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</si>
  <si>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</si>
  <si>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</si>
  <si>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</si>
  <si>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</si>
  <si>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</si>
  <si>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</si>
  <si>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</si>
  <si>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</si>
  <si>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</si>
  <si>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</si>
  <si>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</si>
  <si>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</si>
  <si>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</si>
  <si>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</si>
  <si>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</si>
  <si>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</si>
  <si>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</si>
  <si>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</si>
  <si>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</si>
  <si>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</si>
  <si>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</si>
  <si>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</si>
  <si>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</si>
  <si>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</si>
  <si>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</si>
  <si>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</si>
  <si>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</si>
  <si>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</si>
  <si>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</si>
  <si>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</si>
  <si>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</si>
  <si>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</si>
  <si>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</si>
  <si>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</si>
  <si>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</si>
  <si>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</si>
  <si>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</si>
  <si>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</si>
  <si>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</si>
  <si>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</si>
  <si>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</si>
  <si>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</si>
  <si>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</si>
  <si>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</si>
  <si>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</si>
  <si>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</si>
  <si>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</si>
  <si>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</si>
  <si>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</si>
  <si>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</si>
  <si>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</si>
  <si>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</si>
  <si>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</si>
  <si>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</si>
  <si>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</si>
  <si>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</si>
  <si>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</si>
  <si>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</si>
  <si>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</si>
  <si>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</si>
  <si>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</si>
  <si>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</si>
  <si>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</si>
  <si>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</si>
  <si>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</si>
  <si>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</si>
  <si>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</si>
  <si>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</si>
  <si>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</si>
  <si>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</si>
  <si>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</si>
  <si>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</si>
  <si>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</si>
  <si>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</si>
  <si>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</si>
  <si>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</si>
  <si>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</si>
  <si>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</si>
  <si>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</si>
  <si>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</si>
  <si>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</si>
  <si>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</si>
  <si>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</si>
  <si>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</si>
  <si>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</si>
  <si>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</si>
  <si>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</si>
  <si>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</si>
  <si>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</si>
  <si>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</si>
  <si>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</si>
  <si>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</si>
  <si>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</si>
  <si>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</si>
  <si>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</si>
  <si>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</si>
  <si>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</si>
  <si>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</si>
  <si>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</si>
  <si>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</si>
  <si>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</si>
  <si>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</si>
  <si>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</si>
  <si>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</si>
  <si>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</si>
  <si>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</si>
  <si>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</si>
  <si>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</si>
  <si>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</si>
  <si>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</si>
  <si>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</si>
  <si>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</si>
  <si>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</si>
  <si>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</si>
  <si>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</si>
  <si>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</si>
  <si>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</si>
  <si>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</si>
  <si>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</si>
  <si>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</si>
  <si>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</si>
  <si>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</si>
  <si>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</si>
  <si>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</si>
  <si>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</si>
  <si>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</si>
  <si>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</si>
  <si>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</si>
  <si>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</si>
  <si>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</si>
  <si>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</si>
  <si>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</si>
  <si>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</si>
  <si>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</si>
  <si>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</si>
  <si>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</si>
  <si>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</si>
  <si>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</si>
  <si>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</si>
  <si>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</si>
  <si>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</si>
  <si>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</si>
  <si>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</si>
  <si>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</si>
  <si>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</si>
  <si>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</si>
  <si>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</si>
  <si>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</si>
  <si>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</si>
  <si>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</si>
  <si>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</si>
  <si>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</si>
  <si>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</si>
  <si>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</si>
  <si>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</si>
  <si>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</si>
  <si>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</si>
  <si>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</si>
  <si>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</si>
  <si>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</si>
  <si>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</si>
  <si>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</si>
  <si>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</si>
  <si>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</si>
  <si>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</si>
  <si>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</si>
  <si>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</si>
  <si>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</si>
  <si>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</si>
  <si>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</si>
  <si>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</si>
  <si>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</si>
  <si>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</si>
  <si>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</si>
  <si>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</si>
  <si>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</si>
  <si>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</si>
  <si>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</si>
  <si>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</si>
  <si>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</si>
  <si>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</si>
  <si>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</si>
  <si>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</si>
  <si>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</si>
  <si>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</si>
  <si>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</si>
  <si>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</si>
  <si>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</si>
  <si>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</si>
  <si>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</si>
  <si>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</si>
  <si>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</si>
  <si>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</si>
  <si>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</si>
  <si>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</si>
  <si>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</si>
  <si>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</si>
  <si>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</si>
  <si>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</si>
  <si>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</si>
  <si>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</si>
  <si>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</si>
  <si>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</si>
  <si>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</si>
  <si>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</si>
  <si>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</si>
  <si>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</si>
  <si>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</si>
  <si>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</si>
  <si>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</si>
  <si>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</si>
  <si>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</si>
  <si>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</si>
  <si>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</si>
  <si>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</si>
  <si>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</si>
  <si>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</si>
  <si>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</si>
  <si>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</si>
  <si>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</si>
  <si>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</si>
  <si>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</si>
  <si>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</si>
  <si>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</si>
  <si>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</si>
  <si>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</si>
  <si>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</si>
  <si>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</si>
  <si>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</si>
  <si>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</si>
  <si>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</si>
  <si>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</si>
  <si>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</si>
  <si>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</si>
  <si>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</si>
  <si>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</si>
  <si>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</si>
  <si>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</si>
  <si>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</si>
  <si>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</si>
  <si>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</si>
  <si>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</si>
  <si>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</si>
  <si>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</si>
  <si>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</si>
  <si>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</si>
  <si>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</si>
  <si>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</si>
  <si>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</si>
  <si>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</si>
  <si>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</si>
  <si>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</si>
  <si>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</si>
  <si>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</si>
  <si>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</si>
  <si>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</si>
  <si>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</si>
  <si>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</si>
  <si>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</si>
  <si>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</si>
  <si>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</si>
  <si>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</si>
  <si>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</si>
  <si>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</si>
  <si>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</si>
  <si>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</si>
  <si>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</si>
  <si>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</si>
  <si>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</si>
  <si>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</si>
  <si>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</si>
  <si>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</si>
  <si>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</si>
  <si>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</si>
  <si>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</si>
  <si>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</si>
  <si>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</si>
  <si>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</si>
  <si>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</si>
  <si>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</si>
  <si>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</si>
  <si>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</si>
  <si>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</si>
  <si>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</si>
  <si>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</si>
  <si>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</si>
  <si>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</si>
  <si>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</si>
  <si>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</si>
  <si>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</si>
  <si>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</si>
  <si>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</si>
  <si>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</si>
  <si>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</si>
  <si>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</si>
  <si>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</si>
  <si>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</si>
  <si>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</si>
  <si>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</si>
  <si>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</si>
  <si>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</si>
  <si>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</si>
  <si>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</si>
  <si>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</si>
  <si>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</si>
  <si>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</si>
  <si>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</si>
  <si>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</si>
  <si>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</si>
  <si>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</si>
  <si>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</si>
  <si>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</si>
  <si>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</si>
  <si>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</si>
  <si>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</si>
  <si>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</si>
  <si>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</si>
  <si>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</si>
  <si>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</si>
  <si>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</si>
  <si>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</si>
  <si>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</si>
  <si>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</si>
  <si>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</si>
  <si>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</si>
  <si>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</si>
  <si>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</si>
  <si>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</si>
  <si>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</si>
  <si>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</si>
  <si>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</si>
  <si>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</si>
  <si>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</si>
  <si>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</si>
  <si>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</si>
  <si>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</si>
  <si>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</si>
  <si>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</si>
  <si>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</si>
  <si>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</si>
  <si>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</si>
  <si>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</si>
  <si>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</si>
  <si>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</si>
  <si>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</si>
  <si>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</si>
  <si>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</si>
  <si>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</si>
  <si>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</si>
  <si>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</si>
  <si>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</si>
  <si>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</si>
  <si>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</si>
  <si>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</si>
  <si>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</si>
  <si>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</si>
  <si>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</si>
  <si>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</si>
  <si>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</si>
  <si>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</si>
  <si>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</si>
  <si>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</si>
  <si>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</si>
  <si>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</si>
  <si>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</si>
  <si>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</si>
  <si>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</si>
  <si>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</si>
  <si>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</si>
  <si>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</si>
  <si>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</si>
  <si>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</si>
  <si>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</si>
  <si>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</si>
  <si>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</si>
  <si>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</si>
  <si>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</si>
  <si>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</si>
  <si>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</si>
  <si>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</si>
  <si>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</si>
  <si>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</si>
  <si>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</si>
  <si>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</si>
  <si>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</si>
  <si>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</si>
  <si>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</si>
  <si>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</si>
  <si>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</si>
  <si>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</si>
  <si>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</si>
  <si>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</si>
  <si>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</si>
  <si>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</si>
  <si>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</si>
  <si>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</si>
  <si>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</si>
  <si>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</si>
  <si>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</si>
  <si>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</si>
  <si>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</si>
  <si>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</si>
  <si>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</si>
  <si>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</si>
  <si>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</si>
  <si>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</si>
  <si>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</si>
  <si>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</si>
  <si>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</si>
  <si>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</si>
  <si>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</si>
  <si>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</si>
  <si>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</si>
  <si>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</si>
  <si>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</si>
  <si>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</si>
  <si>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</si>
  <si>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</si>
  <si>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</si>
  <si>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</si>
  <si>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</si>
  <si>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</si>
  <si>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</si>
  <si>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</si>
  <si>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</si>
  <si>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</si>
  <si>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</si>
  <si>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</si>
  <si>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</si>
  <si>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</si>
  <si>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</si>
  <si>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</si>
  <si>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</si>
  <si>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</si>
  <si>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</si>
  <si>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</si>
  <si>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</si>
  <si>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</si>
  <si>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</si>
  <si>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</si>
  <si>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</si>
  <si>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</si>
  <si>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</si>
  <si>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</si>
  <si>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</si>
  <si>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</si>
  <si>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</si>
  <si>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</si>
  <si>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</si>
  <si>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</si>
  <si>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</si>
  <si>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</si>
  <si>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</si>
  <si>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</si>
  <si>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</si>
  <si>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</si>
  <si>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</si>
  <si>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</si>
  <si>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</si>
  <si>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</si>
  <si>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</si>
  <si>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</si>
  <si>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</si>
  <si>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</si>
  <si>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</si>
  <si>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</si>
  <si>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</si>
  <si>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</si>
  <si>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</si>
  <si>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</si>
  <si>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</si>
  <si>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</si>
  <si>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</si>
  <si>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</si>
  <si>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</si>
  <si>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</si>
  <si>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</si>
  <si>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</si>
  <si>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</si>
  <si>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</si>
  <si>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</si>
  <si>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</si>
  <si>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</si>
  <si>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</si>
  <si>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</si>
  <si>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</si>
  <si>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</si>
  <si>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</si>
  <si>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</si>
  <si>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</si>
  <si>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</si>
  <si>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</si>
  <si>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</si>
  <si>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</si>
  <si>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</si>
  <si>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</si>
  <si>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</si>
  <si>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</si>
  <si>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</si>
  <si>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</si>
  <si>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</si>
  <si>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</si>
  <si>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</si>
  <si>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</si>
  <si>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</si>
  <si>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</si>
  <si>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</si>
  <si>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</si>
  <si>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</si>
  <si>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</si>
  <si>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</si>
  <si>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</si>
  <si>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</si>
  <si>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</si>
  <si>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</si>
  <si>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</si>
  <si>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</si>
  <si>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</si>
  <si>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</si>
  <si>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</si>
  <si>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</si>
  <si>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</si>
  <si>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</si>
  <si>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</si>
  <si>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</si>
  <si>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</si>
  <si>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</si>
  <si>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</si>
  <si>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</si>
  <si>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</si>
  <si>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</si>
  <si>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</si>
  <si>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</si>
  <si>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</si>
  <si>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</si>
  <si>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</si>
  <si>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</si>
  <si>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</si>
  <si>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</si>
  <si>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</si>
  <si>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</si>
  <si>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</si>
  <si>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</si>
  <si>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</si>
  <si>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</si>
  <si>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</si>
  <si>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</si>
  <si>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</si>
  <si>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</si>
  <si>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</si>
  <si>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</si>
  <si>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</si>
  <si>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</si>
  <si>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</si>
  <si>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</si>
  <si>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</si>
  <si>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</si>
  <si>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</si>
  <si>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</si>
  <si>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</si>
  <si>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</si>
  <si>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</si>
  <si>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</si>
  <si>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</si>
  <si>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</si>
  <si>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</si>
  <si>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</si>
  <si>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</si>
  <si>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</si>
  <si>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</si>
  <si>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</si>
  <si>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</si>
  <si>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</si>
  <si>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</si>
  <si>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</si>
  <si>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</si>
  <si>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</si>
  <si>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</si>
  <si>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</si>
  <si>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</si>
  <si>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</si>
  <si>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</si>
  <si>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</si>
  <si>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</si>
  <si>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</si>
  <si>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</si>
  <si>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</si>
  <si>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</si>
  <si>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</si>
  <si>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</si>
  <si>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</si>
  <si>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</si>
  <si>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</si>
  <si>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</si>
  <si>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</si>
  <si>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</si>
  <si>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</si>
  <si>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</si>
  <si>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</si>
  <si>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</si>
  <si>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</si>
  <si>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</si>
  <si>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</si>
  <si>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</si>
  <si>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</si>
  <si>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</si>
  <si>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</si>
  <si>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</si>
  <si>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</si>
  <si>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</si>
  <si>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</si>
  <si>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</si>
  <si>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</si>
  <si>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</si>
  <si>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</si>
  <si>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</si>
  <si>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</si>
  <si>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</si>
  <si>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</si>
  <si>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</si>
  <si>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</si>
  <si>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</si>
  <si>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</si>
  <si>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</si>
  <si>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</si>
  <si>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</si>
  <si>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</si>
  <si>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</si>
  <si>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</si>
  <si>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</si>
  <si>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</si>
  <si>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</si>
  <si>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</si>
  <si>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</si>
  <si>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</si>
  <si>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</si>
  <si>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</si>
  <si>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</si>
  <si>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</si>
  <si>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</si>
  <si>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</si>
  <si>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</si>
  <si>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</si>
  <si>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</si>
  <si>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</si>
  <si>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</si>
  <si>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</si>
  <si>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</si>
  <si>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</si>
  <si>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</si>
  <si>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</si>
  <si>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</si>
  <si>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</si>
  <si>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</si>
  <si>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</si>
  <si>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</si>
  <si>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</si>
  <si>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</si>
  <si>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</si>
  <si>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</si>
  <si>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</si>
  <si>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</si>
  <si>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</si>
  <si>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</si>
  <si>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</si>
  <si>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</si>
  <si>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</si>
  <si>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</si>
  <si>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</si>
  <si>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</si>
  <si>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</si>
  <si>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</si>
  <si>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</si>
  <si>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</si>
  <si>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</si>
  <si>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</si>
  <si>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</si>
  <si>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</si>
  <si>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</si>
  <si>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</si>
  <si>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</si>
  <si>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</si>
  <si>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</si>
  <si>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</si>
  <si>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</si>
  <si>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</si>
  <si>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</si>
  <si>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</si>
  <si>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</si>
  <si>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</si>
  <si>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</si>
  <si>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</si>
  <si>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</si>
  <si>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</si>
  <si>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</si>
  <si>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</si>
  <si>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</si>
  <si>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</si>
  <si>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</si>
  <si>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</si>
  <si>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</si>
  <si>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</si>
  <si>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</si>
  <si>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</si>
  <si>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</si>
  <si>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</si>
  <si>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</si>
  <si>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</si>
  <si>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</si>
  <si>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</si>
  <si>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</si>
  <si>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</si>
  <si>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</si>
  <si>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</si>
  <si>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</si>
  <si>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</si>
  <si>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</si>
  <si>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</si>
  <si>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</si>
  <si>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</si>
  <si>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</si>
  <si>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</si>
  <si>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</si>
  <si>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</si>
  <si>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</si>
  <si>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</si>
  <si>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</si>
  <si>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</si>
  <si>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</si>
  <si>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</si>
  <si>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</si>
  <si>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</si>
  <si>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</si>
  <si>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</si>
  <si>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</si>
  <si>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</si>
  <si>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</si>
  <si>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</si>
  <si>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</si>
  <si>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</si>
  <si>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</si>
  <si>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</si>
  <si>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</si>
  <si>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</si>
  <si>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</si>
  <si>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</si>
  <si>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</si>
  <si>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</si>
  <si>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</si>
  <si>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</si>
  <si>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</si>
  <si>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</si>
  <si>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</si>
  <si>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</si>
  <si>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</si>
  <si>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</si>
  <si>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</si>
  <si>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</si>
  <si>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</si>
  <si>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</si>
  <si>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</si>
  <si>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</si>
  <si>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</si>
  <si>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</si>
  <si>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</si>
  <si>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</si>
  <si>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</si>
  <si>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</si>
  <si>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</si>
  <si>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</si>
  <si>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</si>
  <si>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</si>
  <si>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</si>
  <si>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</si>
  <si>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</si>
  <si>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</si>
  <si>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</si>
  <si>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</si>
  <si>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</si>
  <si>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</si>
  <si>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</si>
  <si>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</si>
  <si>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</si>
  <si>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</si>
  <si>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</si>
  <si>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</si>
  <si>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</si>
  <si>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</si>
  <si>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</si>
  <si>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</si>
  <si>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</si>
  <si>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</si>
  <si>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</si>
  <si>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</si>
  <si>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</si>
  <si>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</si>
  <si>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</si>
  <si>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</si>
  <si>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</si>
  <si>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</si>
  <si>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</si>
  <si>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</si>
  <si>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</si>
  <si>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</si>
  <si>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</si>
  <si>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</si>
  <si>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</si>
  <si>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</si>
  <si>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</si>
  <si>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</si>
  <si>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</si>
  <si>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</si>
  <si>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</si>
  <si>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</si>
  <si>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</si>
  <si>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</si>
  <si>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</si>
  <si>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</si>
  <si>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</si>
  <si>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</si>
  <si>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</si>
  <si>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</si>
  <si>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</si>
  <si>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</si>
  <si>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</si>
  <si>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</si>
  <si>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</si>
  <si>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</si>
  <si>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</si>
  <si>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</si>
  <si>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</si>
  <si>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</si>
  <si>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</si>
  <si>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</si>
  <si>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</si>
  <si>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</si>
  <si>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</si>
  <si>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</si>
  <si>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</si>
  <si>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</si>
  <si>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</si>
  <si>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</si>
  <si>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</si>
  <si>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</si>
  <si>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</si>
  <si>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</si>
  <si>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</si>
  <si>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</si>
  <si>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</si>
  <si>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</si>
  <si>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</si>
  <si>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</si>
  <si>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</si>
  <si>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</si>
  <si>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</si>
  <si>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</si>
  <si>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</si>
  <si>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</si>
  <si>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</si>
  <si>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</si>
  <si>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</si>
  <si>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</si>
  <si>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</si>
  <si>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</si>
  <si>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</si>
  <si>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</si>
  <si>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</si>
  <si>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</si>
  <si>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</si>
  <si>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</si>
  <si>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</si>
  <si>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</si>
  <si>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</si>
  <si>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</si>
  <si>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</si>
  <si>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</si>
  <si>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</si>
  <si>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</si>
  <si>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</si>
  <si>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</si>
  <si>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</si>
  <si>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</si>
  <si>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</si>
  <si>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</si>
  <si>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</si>
  <si>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</si>
  <si>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</si>
  <si>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</si>
  <si>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</si>
  <si>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</si>
  <si>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</si>
  <si>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</si>
  <si>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</si>
  <si>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</si>
  <si>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</si>
  <si>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</si>
  <si>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</si>
  <si>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</si>
  <si>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</si>
  <si>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</si>
  <si>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</si>
  <si>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</si>
  <si>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</si>
  <si>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</si>
  <si>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</si>
  <si>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</si>
  <si>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</si>
  <si>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</si>
  <si>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</si>
  <si>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</si>
  <si>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</si>
  <si>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</si>
  <si>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</si>
  <si>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</si>
  <si>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</si>
  <si>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</si>
  <si>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</si>
  <si>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</si>
  <si>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</si>
  <si>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</si>
  <si>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</si>
  <si>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</si>
  <si>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</si>
  <si>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</si>
  <si>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</si>
  <si>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</si>
  <si>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</si>
  <si>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</si>
  <si>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</si>
  <si>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</si>
  <si>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</si>
  <si>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</si>
  <si>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</si>
  <si>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</si>
  <si>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</si>
  <si>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</si>
  <si>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</si>
  <si>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</si>
  <si>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</si>
  <si>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</si>
  <si>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</si>
  <si>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</si>
  <si>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</si>
  <si>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</si>
  <si>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</si>
  <si>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</si>
  <si>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</si>
  <si>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</si>
  <si>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</si>
  <si>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</si>
  <si>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</si>
  <si>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</si>
  <si>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</si>
  <si>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</si>
  <si>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</si>
  <si>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</si>
  <si>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</si>
  <si>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</si>
  <si>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</si>
  <si>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</si>
  <si>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</si>
  <si>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</si>
  <si>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</si>
  <si>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</si>
  <si>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</si>
  <si>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</si>
  <si>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</si>
  <si>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</si>
  <si>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</si>
  <si>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</si>
  <si>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</si>
  <si>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</si>
  <si>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</si>
  <si>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</si>
  <si>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</si>
  <si>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</si>
  <si>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</si>
  <si>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</si>
  <si>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</si>
  <si>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</si>
  <si>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</si>
  <si>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</si>
  <si>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</si>
  <si>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</si>
  <si>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</si>
  <si>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</si>
  <si>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</si>
  <si>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</si>
  <si>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</si>
  <si>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</si>
  <si>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</si>
  <si>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</si>
  <si>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</si>
  <si>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</si>
  <si>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</si>
  <si>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</si>
  <si>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</si>
  <si>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</si>
  <si>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</si>
  <si>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</si>
  <si>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</si>
  <si>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</si>
  <si>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</si>
  <si>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</si>
  <si>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</si>
  <si>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</si>
  <si>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</si>
  <si>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</si>
  <si>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</si>
  <si>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</si>
  <si>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</si>
  <si>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</si>
  <si>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</si>
  <si>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</si>
  <si>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</si>
  <si>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</si>
  <si>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</si>
  <si>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</si>
  <si>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</si>
  <si>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</si>
  <si>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</si>
  <si>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</si>
  <si>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</si>
  <si>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</si>
  <si>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</si>
  <si>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</si>
  <si>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</si>
  <si>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</si>
  <si>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</si>
  <si>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</si>
  <si>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</si>
  <si>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</si>
  <si>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</si>
  <si>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</si>
  <si>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</si>
  <si>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</si>
  <si>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</si>
  <si>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</si>
  <si>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</si>
  <si>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</si>
  <si>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</si>
  <si>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</si>
  <si>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</si>
  <si>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</si>
  <si>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</si>
  <si>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</si>
  <si>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</si>
  <si>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</si>
  <si>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</si>
  <si>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</si>
  <si>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</si>
  <si>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</si>
  <si>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</si>
  <si>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</si>
  <si>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</si>
  <si>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</si>
  <si>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</si>
  <si>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</si>
  <si>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</si>
  <si>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</si>
  <si>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</si>
  <si>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</si>
  <si>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</si>
  <si>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</si>
  <si>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</si>
  <si>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</si>
  <si>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</si>
  <si>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</si>
  <si>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</si>
  <si>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</si>
  <si>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</si>
  <si>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</si>
  <si>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</si>
  <si>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</si>
  <si>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</si>
  <si>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</si>
  <si>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</si>
  <si>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</si>
  <si>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</si>
  <si>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</si>
  <si>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</si>
  <si>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</si>
  <si>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</si>
  <si>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</si>
  <si>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</si>
  <si>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</si>
  <si>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</si>
  <si>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</si>
  <si>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</si>
  <si>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</si>
  <si>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</si>
  <si>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</si>
  <si>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</si>
  <si>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</si>
  <si>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</si>
  <si>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</si>
  <si>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</si>
  <si>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</si>
  <si>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</si>
  <si>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</si>
  <si>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</si>
  <si>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</si>
  <si>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</si>
  <si>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</si>
  <si>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</si>
  <si>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</si>
  <si>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</si>
  <si>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</si>
  <si>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</si>
  <si>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</si>
  <si>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</si>
  <si>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</si>
  <si>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</si>
  <si>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</si>
  <si>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</si>
  <si>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</si>
  <si>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</si>
  <si>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</si>
  <si>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</si>
  <si>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</si>
  <si>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</si>
  <si>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</si>
  <si>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</si>
  <si>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</si>
  <si>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</si>
  <si>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</si>
  <si>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</si>
  <si>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</si>
  <si>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</si>
  <si>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</si>
  <si>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</si>
  <si>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</si>
  <si>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</si>
  <si>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</si>
  <si>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</si>
  <si>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</si>
  <si>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</si>
  <si>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</si>
  <si>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</si>
  <si>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</si>
  <si>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</si>
  <si>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</si>
  <si>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</si>
  <si>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</si>
  <si>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</si>
  <si>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</si>
  <si>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</si>
  <si>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</si>
  <si>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</si>
  <si>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</si>
  <si>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</si>
  <si>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</si>
  <si>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</si>
  <si>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</si>
  <si>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</si>
  <si>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</si>
  <si>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</si>
  <si>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</si>
  <si>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</si>
  <si>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</si>
  <si>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</si>
  <si>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</si>
  <si>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</si>
  <si>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</si>
  <si>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</si>
  <si>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</si>
  <si>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</si>
  <si>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</si>
  <si>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</si>
  <si>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</si>
  <si>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</si>
  <si>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</si>
  <si>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</si>
  <si>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</si>
  <si>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</si>
  <si>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</si>
  <si>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</si>
  <si>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</si>
  <si>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</si>
  <si>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</si>
  <si>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</si>
  <si>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</si>
  <si>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</si>
  <si>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</si>
  <si>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</si>
  <si>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</si>
  <si>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</si>
  <si>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</si>
  <si>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</si>
  <si>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</si>
  <si>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</si>
  <si>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</si>
  <si>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</si>
  <si>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</si>
  <si>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</si>
  <si>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</si>
  <si>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</si>
  <si>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</si>
  <si>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</si>
  <si>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</si>
  <si>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</si>
  <si>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</si>
  <si>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</si>
  <si>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</si>
  <si>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</si>
  <si>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</si>
  <si>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</si>
  <si>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</si>
  <si>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</si>
  <si>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</si>
  <si>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</si>
  <si>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</si>
  <si>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</si>
  <si>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</si>
  <si>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</si>
  <si>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</si>
  <si>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</si>
  <si>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</si>
  <si>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</si>
  <si>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</si>
  <si>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</si>
  <si>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</si>
  <si>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</si>
  <si>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</si>
  <si>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</si>
  <si>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</si>
  <si>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</si>
  <si>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</si>
  <si>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</si>
  <si>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</si>
  <si>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</si>
  <si>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</si>
  <si>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</si>
  <si>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</si>
  <si>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</si>
  <si>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</si>
  <si>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</si>
  <si>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</si>
  <si>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</si>
  <si>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</si>
  <si>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</si>
  <si>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</si>
  <si>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</si>
  <si>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</si>
  <si>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</si>
  <si>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</si>
  <si>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</si>
  <si>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</si>
  <si>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</si>
  <si>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</si>
  <si>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</si>
  <si>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</si>
  <si>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</si>
  <si>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</si>
  <si>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</si>
  <si>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</si>
  <si>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</si>
  <si>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</si>
  <si>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</si>
  <si>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</si>
  <si>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</si>
  <si>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</si>
  <si>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</si>
  <si>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</si>
  <si>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</si>
  <si>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</si>
  <si>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</si>
  <si>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</si>
  <si>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</si>
  <si>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</si>
  <si>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</si>
  <si>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</si>
  <si>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</si>
  <si>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</si>
  <si>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</si>
  <si>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</si>
  <si>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</si>
  <si>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</si>
  <si>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</si>
  <si>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</si>
  <si>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</si>
  <si>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</si>
  <si>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</si>
  <si>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</si>
  <si>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</si>
  <si>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</si>
  <si>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</si>
  <si>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</si>
  <si>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</si>
  <si>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</si>
  <si>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</si>
  <si>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</si>
  <si>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</si>
  <si>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</si>
  <si>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</si>
  <si>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</si>
  <si>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</si>
  <si>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</si>
  <si>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</si>
  <si>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</si>
  <si>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</si>
  <si>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</si>
  <si>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</si>
  <si>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</si>
  <si>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</si>
  <si>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</si>
  <si>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</si>
  <si>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</si>
  <si>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</si>
  <si>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</si>
  <si>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</si>
  <si>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</si>
  <si>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</si>
  <si>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</si>
  <si>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</si>
  <si>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</si>
  <si>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</si>
  <si>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</si>
  <si>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</si>
  <si>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</si>
  <si>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</si>
  <si>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</si>
  <si>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</si>
  <si>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</si>
  <si>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</si>
  <si>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</si>
  <si>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</si>
  <si>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</si>
  <si>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</si>
  <si>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</si>
  <si>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</si>
  <si>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</si>
  <si>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</si>
  <si>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</si>
  <si>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</si>
  <si>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</si>
  <si>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</si>
  <si>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</si>
  <si>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</si>
  <si>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</si>
  <si>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</si>
  <si>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</si>
  <si>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</si>
  <si>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</si>
  <si>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</si>
  <si>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</si>
  <si>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</si>
  <si>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</si>
  <si>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</si>
  <si>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</si>
  <si>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</si>
  <si>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</si>
  <si>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</si>
  <si>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</si>
  <si>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</si>
  <si>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</si>
  <si>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</si>
  <si>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</si>
  <si>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</si>
  <si>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</si>
  <si>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</si>
  <si>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</si>
  <si>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</si>
  <si>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</si>
  <si>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</si>
  <si>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</si>
  <si>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</si>
  <si>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</si>
  <si>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</si>
  <si>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</si>
  <si>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</si>
  <si>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</si>
  <si>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</si>
  <si>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</si>
  <si>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</si>
  <si>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</si>
  <si>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</si>
  <si>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</si>
  <si>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</si>
  <si>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</si>
  <si>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</si>
  <si>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</si>
  <si>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</si>
  <si>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</si>
  <si>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</si>
  <si>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</si>
  <si>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</si>
  <si>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</si>
  <si>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</si>
  <si>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</si>
  <si>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</si>
  <si>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</si>
  <si>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</si>
  <si>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</si>
  <si>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</si>
  <si>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</si>
  <si>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</si>
  <si>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</si>
  <si>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</si>
  <si>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</si>
  <si>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</si>
  <si>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</si>
  <si>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</si>
  <si>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</si>
  <si>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</si>
  <si>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</si>
  <si>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</si>
  <si>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</si>
  <si>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</si>
  <si>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</si>
  <si>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</si>
  <si>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</si>
  <si>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</si>
  <si>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</si>
  <si>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</si>
  <si>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</si>
  <si>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</si>
  <si>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</si>
  <si>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</si>
  <si>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</si>
  <si>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</si>
  <si>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</si>
  <si>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</si>
  <si>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</si>
  <si>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</si>
  <si>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</si>
  <si>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</si>
  <si>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</si>
  <si>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</si>
  <si>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</si>
  <si>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</si>
  <si>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</si>
  <si>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</si>
  <si>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</si>
  <si>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</si>
  <si>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</si>
  <si>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</si>
  <si>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</si>
  <si>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</si>
  <si>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</si>
  <si>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</si>
  <si>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</si>
  <si>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</si>
  <si>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</si>
  <si>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</si>
  <si>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</si>
  <si>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</si>
  <si>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</si>
  <si>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</si>
  <si>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</si>
  <si>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</si>
  <si>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</si>
  <si>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</si>
  <si>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</si>
  <si>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</si>
  <si>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</si>
  <si>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</si>
  <si>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</si>
  <si>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</si>
  <si>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</si>
  <si>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</si>
  <si>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</si>
  <si>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</si>
  <si>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</si>
  <si>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</si>
  <si>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</si>
  <si>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</si>
  <si>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</si>
  <si>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</si>
  <si>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</si>
  <si>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</si>
  <si>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</si>
  <si>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</si>
  <si>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</si>
  <si>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</si>
  <si>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</si>
  <si>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</si>
  <si>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</si>
  <si>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</si>
  <si>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</si>
  <si>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</si>
  <si>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</si>
  <si>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</si>
  <si>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</si>
  <si>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</si>
  <si>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</si>
  <si>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</si>
  <si>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</si>
  <si>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</si>
  <si>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</si>
  <si>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</si>
  <si>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</si>
  <si>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</si>
  <si>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</si>
  <si>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</si>
  <si>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</si>
  <si>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</si>
  <si>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</si>
  <si>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</si>
  <si>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</si>
  <si>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</si>
  <si>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</si>
  <si>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</si>
  <si>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</si>
  <si>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</si>
  <si>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</si>
  <si>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</si>
  <si>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</si>
  <si>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</si>
  <si>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</si>
  <si>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</si>
  <si>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</si>
  <si>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</si>
  <si>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</si>
  <si>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</si>
  <si>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</si>
  <si>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</si>
  <si>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</si>
  <si>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</si>
  <si>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</si>
  <si>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</si>
  <si>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</si>
  <si>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</si>
  <si>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</si>
  <si>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</si>
  <si>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</si>
  <si>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</si>
  <si>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</si>
  <si>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</si>
  <si>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</si>
  <si>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</si>
  <si>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</si>
  <si>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</si>
  <si>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</si>
  <si>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</si>
  <si>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</si>
  <si>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</si>
  <si>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</si>
  <si>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</si>
  <si>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</si>
  <si>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</si>
  <si>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</si>
  <si>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</si>
  <si>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</si>
  <si>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</si>
  <si>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</si>
  <si>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</si>
  <si>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</si>
  <si>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</si>
  <si>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</si>
  <si>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</si>
  <si>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</si>
  <si>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</si>
  <si>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</si>
  <si>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</si>
  <si>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</si>
  <si>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</si>
  <si>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</si>
  <si>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</si>
  <si>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</si>
  <si>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</si>
  <si>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</si>
  <si>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</si>
  <si>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</si>
  <si>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</si>
  <si>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</si>
  <si>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</si>
  <si>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</si>
  <si>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</si>
  <si>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</si>
  <si>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</si>
  <si>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</si>
  <si>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</si>
  <si>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</si>
  <si>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</si>
  <si>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</si>
  <si>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</si>
  <si>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</si>
  <si>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</si>
  <si>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</si>
  <si>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</si>
  <si>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</si>
  <si>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</si>
  <si>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</si>
  <si>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</si>
  <si>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</si>
  <si>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</si>
  <si>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</si>
  <si>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</si>
  <si>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</si>
  <si>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</si>
  <si>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</si>
  <si>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</si>
  <si>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</si>
  <si>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</si>
  <si>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</si>
  <si>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</si>
  <si>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</si>
  <si>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</si>
  <si>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</si>
  <si>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</si>
  <si>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</si>
  <si>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</si>
  <si>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</si>
  <si>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</si>
  <si>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</si>
  <si>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</si>
  <si>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</si>
  <si>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</si>
  <si>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</si>
  <si>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</si>
  <si>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</si>
  <si>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</si>
  <si>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</si>
  <si>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</si>
  <si>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</si>
  <si>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</si>
  <si>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</si>
  <si>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</si>
  <si>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</si>
  <si>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</si>
  <si>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</si>
  <si>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</si>
  <si>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</si>
  <si>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</si>
  <si>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</si>
  <si>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</si>
  <si>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</si>
  <si>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</si>
  <si>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</si>
  <si>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</si>
  <si>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</si>
  <si>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</si>
  <si>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</si>
  <si>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</si>
  <si>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</si>
  <si>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</si>
  <si>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</si>
  <si>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</si>
  <si>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</si>
  <si>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</si>
  <si>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</si>
  <si>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</si>
  <si>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</si>
  <si>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</si>
  <si>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</si>
  <si>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</si>
  <si>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</si>
  <si>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</si>
  <si>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</si>
  <si>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</si>
  <si>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</si>
  <si>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</si>
  <si>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</si>
  <si>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</si>
  <si>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</si>
  <si>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</si>
  <si>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</si>
  <si>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</si>
  <si>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</si>
  <si>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</si>
  <si>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</si>
  <si>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</si>
  <si>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</si>
  <si>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</si>
  <si>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</si>
  <si>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</si>
  <si>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</si>
  <si>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</si>
  <si>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</si>
  <si>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</si>
  <si>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</si>
  <si>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</si>
  <si>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</si>
  <si>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</si>
  <si>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</si>
  <si>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</si>
  <si>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</si>
  <si>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</si>
  <si>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</si>
  <si>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</si>
  <si>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</si>
  <si>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</si>
  <si>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</si>
  <si>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</si>
  <si>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</si>
  <si>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</si>
  <si>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</si>
  <si>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</si>
  <si>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</si>
  <si>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</si>
  <si>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</si>
  <si>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</si>
  <si>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</si>
  <si>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</si>
  <si>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</si>
  <si>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</si>
  <si>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</si>
  <si>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</si>
  <si>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</si>
  <si>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</si>
  <si>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</si>
  <si>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</si>
  <si>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</si>
  <si>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</si>
  <si>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</si>
  <si>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</si>
  <si>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</si>
  <si>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</si>
  <si>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</si>
  <si>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</si>
  <si>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</si>
  <si>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</si>
  <si>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</si>
  <si>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</si>
  <si>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</si>
  <si>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</si>
  <si>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</si>
  <si>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</si>
  <si>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</si>
  <si>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</si>
  <si>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</si>
  <si>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</si>
  <si>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</si>
  <si>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</si>
  <si>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</si>
  <si>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</si>
  <si>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</si>
  <si>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</si>
  <si>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</si>
  <si>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</si>
  <si>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</si>
  <si>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</si>
  <si>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</si>
  <si>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</si>
  <si>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</si>
  <si>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</si>
  <si>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</si>
  <si>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</si>
  <si>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</si>
  <si>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</si>
  <si>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</si>
  <si>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</si>
  <si>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</si>
  <si>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</si>
  <si>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</si>
  <si>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</si>
  <si>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</si>
  <si>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</si>
  <si>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</si>
  <si>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</si>
  <si>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</si>
  <si>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</si>
  <si>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</si>
  <si>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</si>
  <si>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</si>
  <si>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</si>
  <si>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</si>
  <si>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</si>
  <si>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</si>
  <si>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</si>
  <si>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</si>
  <si>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</si>
  <si>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</si>
  <si>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</si>
  <si>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</si>
  <si>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</si>
  <si>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</si>
  <si>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</si>
  <si>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</si>
  <si>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</si>
  <si>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</si>
  <si>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</si>
  <si>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</si>
  <si>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</si>
  <si>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</si>
  <si>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</si>
  <si>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</si>
  <si>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</si>
  <si>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</si>
  <si>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</si>
  <si>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</si>
  <si>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</si>
  <si>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</si>
  <si>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</si>
  <si>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</si>
  <si>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</si>
  <si>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</si>
  <si>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</si>
  <si>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</si>
  <si>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</si>
  <si>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</si>
  <si>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</si>
  <si>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</si>
  <si>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</si>
  <si>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</si>
  <si>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</si>
  <si>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</si>
  <si>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</si>
  <si>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</si>
  <si>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</si>
  <si>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</si>
  <si>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</si>
  <si>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</si>
  <si>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</si>
  <si>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</si>
  <si>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</si>
  <si>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</si>
  <si>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</si>
  <si>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</si>
  <si>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</si>
  <si>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</si>
  <si>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</si>
  <si>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</si>
  <si>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</si>
  <si>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</si>
  <si>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</si>
  <si>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</si>
  <si>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</si>
  <si>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</si>
  <si>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</si>
  <si>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</si>
  <si>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</si>
  <si>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</si>
  <si>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</si>
  <si>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</si>
  <si>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</si>
  <si>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</si>
  <si>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</si>
  <si>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</si>
  <si>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</si>
  <si>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</si>
  <si>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</si>
  <si>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</si>
  <si>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</si>
  <si>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</si>
  <si>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</si>
  <si>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</si>
  <si>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</si>
  <si>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</si>
  <si>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</si>
  <si>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</si>
  <si>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</si>
  <si>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</si>
  <si>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</si>
  <si>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</si>
  <si>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</si>
  <si>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</si>
  <si>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</si>
  <si>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</si>
  <si>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</si>
  <si>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</si>
  <si>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</si>
  <si>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</si>
  <si>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</si>
  <si>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</si>
  <si>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</si>
  <si>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</si>
  <si>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</si>
  <si>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</si>
  <si>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</si>
  <si>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</si>
  <si>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</si>
  <si>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</si>
  <si>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</si>
  <si>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</si>
  <si>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</si>
  <si>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</si>
  <si>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</si>
  <si>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</si>
  <si>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</si>
  <si>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</si>
  <si>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</si>
  <si>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</si>
  <si>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</si>
  <si>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</si>
  <si>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</si>
  <si>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</si>
  <si>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</si>
  <si>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</si>
  <si>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</si>
  <si>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</si>
  <si>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</si>
  <si>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</si>
  <si>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</si>
  <si>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</si>
  <si>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</si>
  <si>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</si>
  <si>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</si>
  <si>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</si>
  <si>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</si>
  <si>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</si>
  <si>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</si>
  <si>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</si>
  <si>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</si>
  <si>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</si>
  <si>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</si>
  <si>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</si>
  <si>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</si>
  <si>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</si>
  <si>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</si>
  <si>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</si>
  <si>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</si>
  <si>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</si>
  <si>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</si>
  <si>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</si>
  <si>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</si>
  <si>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</si>
  <si>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</si>
  <si>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</si>
  <si>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</si>
  <si>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</si>
  <si>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</si>
  <si>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</si>
  <si>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</si>
  <si>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</si>
  <si>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</si>
  <si>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</si>
  <si>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</si>
  <si>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</si>
  <si>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</si>
  <si>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</si>
  <si>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</si>
  <si>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</si>
  <si>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</si>
  <si>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</si>
  <si>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</si>
  <si>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</si>
  <si>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</si>
  <si>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</si>
  <si>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</si>
  <si>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</si>
  <si>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</si>
  <si>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</si>
  <si>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</si>
  <si>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</si>
  <si>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</si>
  <si>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</si>
  <si>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</si>
  <si>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</si>
  <si>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</si>
  <si>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</si>
  <si>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</si>
  <si>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</si>
  <si>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</si>
  <si>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</si>
  <si>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</si>
  <si>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</si>
  <si>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</si>
  <si>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</si>
  <si>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</si>
  <si>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</si>
  <si>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</si>
  <si>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</si>
  <si>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</si>
  <si>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</si>
  <si>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</si>
  <si>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</si>
  <si>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</si>
  <si>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</si>
  <si>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</si>
  <si>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</si>
  <si>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</si>
  <si>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</si>
  <si>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</si>
  <si>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</si>
  <si>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</si>
  <si>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</si>
  <si>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</si>
  <si>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</si>
  <si>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</si>
  <si>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</si>
  <si>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</si>
  <si>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</si>
  <si>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</si>
  <si>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</si>
  <si>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</si>
  <si>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</si>
  <si>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</si>
  <si>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8940 W. 24th Street</t>
  </si>
  <si>
    <t>North Riverside</t>
  </si>
  <si>
    <t>kgibson@komarek94.org</t>
  </si>
  <si>
    <t>60546-1158</t>
  </si>
  <si>
    <t>Daniel Coglianese</t>
  </si>
  <si>
    <t>708-450-3930</t>
  </si>
  <si>
    <t>708-450-9566</t>
  </si>
  <si>
    <t>Evans, Marshall and Pease, P.C.</t>
  </si>
  <si>
    <t>1875 Hicks Road</t>
  </si>
  <si>
    <t>Rolling Meadows</t>
  </si>
  <si>
    <t>Il</t>
  </si>
  <si>
    <t>847-221-5700</t>
  </si>
  <si>
    <t>847-221-5701</t>
  </si>
  <si>
    <t>Jeff@empcpa.com</t>
  </si>
  <si>
    <t>Evans, Marshall and Pease, PC</t>
  </si>
  <si>
    <t>Limited School Bond-2009A</t>
  </si>
  <si>
    <t>Refunding Bond-2012B</t>
  </si>
  <si>
    <t>Ref/Working Cash Bond-2014</t>
  </si>
  <si>
    <t>Ref/Working Cash Bond-2017</t>
  </si>
  <si>
    <t>Capital Leases</t>
  </si>
  <si>
    <t>Various</t>
  </si>
  <si>
    <t>1,3</t>
  </si>
  <si>
    <t>Pg 10 (C92)-Tech fees 1 on 1 program</t>
  </si>
  <si>
    <t>Pg 11 (C106)-Before and After school daycare</t>
  </si>
  <si>
    <t>Pg 11 (C107)-Sale of fixed assets</t>
  </si>
  <si>
    <t>Pg 11 (C121)-Library grant</t>
  </si>
  <si>
    <t>Pg 13 (C197)-Commodities</t>
  </si>
  <si>
    <t>Pg 14 (C265)-Cares grant</t>
  </si>
  <si>
    <t>Pg 18 (H171)-Service charges</t>
  </si>
  <si>
    <t>School Employee Loss Fund (SELF), Suburban School Co-op Insurance Pool (SSCIP)</t>
  </si>
  <si>
    <t>Proviso Township Treasurer</t>
  </si>
  <si>
    <t>x</t>
  </si>
  <si>
    <t>LaGrange Area District for Special Education</t>
  </si>
  <si>
    <t>Provisio Township School Treasurer</t>
  </si>
  <si>
    <t>ED-Business-Food Services</t>
  </si>
  <si>
    <t>Riverside Brookfield High School</t>
  </si>
  <si>
    <t>066-005340</t>
  </si>
  <si>
    <t>Proviso</t>
  </si>
  <si>
    <t>Jeffery M. Rollefson, CPA</t>
  </si>
  <si>
    <t xml:space="preserve">  Komarek SD 94</t>
  </si>
  <si>
    <t xml:space="preserve">06016094002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</si>
</sst>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quotePrefix="1"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304800</xdr:colOff>
          <xdr:row>12</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3" t="str">
        <f>"SD/JA"&amp;MID('AFR20'!E2,3,2)</f>
        <v>SD/JA20</v>
      </c>
      <c r="B3" s="150"/>
      <c r="C3" s="150"/>
      <c r="D3" s="151"/>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0"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0"/>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7"/>
      <c r="V10" s="2087"/>
      <c r="W10" s="2087"/>
      <c r="X10" s="2087"/>
      <c r="Y10" s="2087"/>
      <c r="Z10" s="2087"/>
      <c r="AA10" s="2093"/>
    </row>
    <row r="11" spans="1:32" ht="14.25" customHeight="1" x14ac:dyDescent="0.2">
      <c r="A11" s="2147" t="s">
        <v>949</v>
      </c>
      <c r="B11" s="2148"/>
      <c r="C11" s="2148"/>
      <c r="D11" s="2148"/>
      <c r="E11" s="2148"/>
      <c r="F11" s="2148"/>
      <c r="G11" s="2148"/>
      <c r="H11" s="2149"/>
      <c r="I11" s="27"/>
      <c r="J11" s="71"/>
      <c r="K11" s="27"/>
      <c r="O11" s="143"/>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4" t="s">
        <v>2051</v>
      </c>
      <c r="P12" s="97" t="s">
        <v>200</v>
      </c>
      <c r="Q12" s="71"/>
      <c r="R12" s="30"/>
      <c r="S12" s="30"/>
      <c r="T12" s="82" t="s">
        <v>263</v>
      </c>
      <c r="U12" s="48"/>
      <c r="V12" s="48"/>
      <c r="W12" s="48"/>
      <c r="X12" s="48"/>
      <c r="Y12" s="43"/>
      <c r="Z12" s="43"/>
      <c r="AA12" s="44"/>
    </row>
    <row r="13" spans="1:32" ht="13.5" customHeight="1" x14ac:dyDescent="0.2">
      <c r="A13" s="2099" t="s">
        <v>2093</v>
      </c>
      <c r="B13" s="2100"/>
      <c r="C13" s="2100"/>
      <c r="D13" s="2100"/>
      <c r="E13" s="2100"/>
      <c r="F13" s="2100"/>
      <c r="G13" s="2100"/>
      <c r="H13" s="2101"/>
      <c r="I13" s="31"/>
      <c r="J13" s="30"/>
      <c r="K13" s="28"/>
      <c r="L13" s="30"/>
      <c r="M13" s="30"/>
      <c r="N13" s="30"/>
      <c r="O13" s="30"/>
      <c r="P13" s="30"/>
      <c r="Q13" s="30"/>
      <c r="R13" s="30"/>
      <c r="S13" s="30"/>
      <c r="T13" s="2105" t="s">
        <v>2060</v>
      </c>
      <c r="U13" s="2106"/>
      <c r="V13" s="2106"/>
      <c r="W13" s="2106"/>
      <c r="X13" s="2106"/>
      <c r="Y13" s="2107"/>
      <c r="Z13" s="2107"/>
      <c r="AA13" s="2108"/>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102" t="s">
        <v>2052</v>
      </c>
      <c r="B15" s="2103"/>
      <c r="C15" s="2103"/>
      <c r="D15" s="2103"/>
      <c r="E15" s="2103"/>
      <c r="F15" s="2103"/>
      <c r="G15" s="2103"/>
      <c r="H15" s="2104"/>
      <c r="T15" s="2109" t="s">
        <v>2091</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2092</v>
      </c>
      <c r="B17" s="2073"/>
      <c r="C17" s="2073"/>
      <c r="D17" s="2073"/>
      <c r="E17" s="2073"/>
      <c r="F17" s="2073"/>
      <c r="G17" s="2073"/>
      <c r="H17" s="2098"/>
      <c r="T17" s="2116" t="s">
        <v>2061</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3" t="s">
        <v>672</v>
      </c>
      <c r="AA18" s="44"/>
    </row>
    <row r="19" spans="1:27" ht="13.5" customHeight="1" x14ac:dyDescent="0.2">
      <c r="A19" s="2102" t="s">
        <v>2053</v>
      </c>
      <c r="B19" s="2058"/>
      <c r="C19" s="2058"/>
      <c r="D19" s="2058"/>
      <c r="E19" s="2058"/>
      <c r="F19" s="2058"/>
      <c r="G19" s="2058"/>
      <c r="H19" s="2038"/>
      <c r="I19" s="30"/>
      <c r="J19" s="96"/>
      <c r="K19" s="40"/>
      <c r="L19" s="38"/>
      <c r="M19" s="108" t="s">
        <v>312</v>
      </c>
      <c r="P19" s="27"/>
      <c r="Q19" s="27"/>
      <c r="R19" s="27"/>
      <c r="S19" s="31"/>
      <c r="T19" s="2102" t="s">
        <v>2062</v>
      </c>
      <c r="U19" s="2037"/>
      <c r="V19" s="2037"/>
      <c r="W19" s="2038"/>
      <c r="X19" s="2114" t="s">
        <v>2063</v>
      </c>
      <c r="Y19" s="2115"/>
      <c r="Z19" s="2112">
        <v>60008</v>
      </c>
      <c r="AA19" s="2113"/>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6" t="s">
        <v>2054</v>
      </c>
      <c r="B21" s="2037"/>
      <c r="C21" s="2037"/>
      <c r="D21" s="2037"/>
      <c r="E21" s="2037"/>
      <c r="F21" s="2037"/>
      <c r="G21" s="2037"/>
      <c r="H21" s="2038"/>
      <c r="I21" s="2092" t="s">
        <v>673</v>
      </c>
      <c r="J21" s="2087"/>
      <c r="K21" s="2087"/>
      <c r="L21" s="2087"/>
      <c r="M21" s="2087"/>
      <c r="N21" s="2087"/>
      <c r="O21" s="2087"/>
      <c r="P21" s="2087"/>
      <c r="Q21" s="2087"/>
      <c r="R21" s="2087"/>
      <c r="S21" s="2093"/>
      <c r="T21" s="2128" t="s">
        <v>2064</v>
      </c>
      <c r="U21" s="2129"/>
      <c r="V21" s="2129"/>
      <c r="W21" s="2129"/>
      <c r="X21" s="2134" t="s">
        <v>2065</v>
      </c>
      <c r="Y21" s="2135"/>
      <c r="Z21" s="2135"/>
      <c r="AA21" s="2136"/>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4" t="s">
        <v>1307</v>
      </c>
      <c r="Z22" s="43"/>
      <c r="AA22" s="44"/>
    </row>
    <row r="23" spans="1:27" ht="13.5" customHeight="1" x14ac:dyDescent="0.2">
      <c r="A23" s="2089" t="s">
        <v>2055</v>
      </c>
      <c r="B23" s="2090"/>
      <c r="C23" s="2090"/>
      <c r="D23" s="2090"/>
      <c r="E23" s="2090"/>
      <c r="F23" s="2090"/>
      <c r="G23" s="2090"/>
      <c r="H23" s="2091"/>
      <c r="T23" s="2126" t="s">
        <v>2089</v>
      </c>
      <c r="U23" s="2127"/>
      <c r="V23" s="2127"/>
      <c r="W23" s="2127"/>
      <c r="X23" s="2131">
        <v>44530</v>
      </c>
      <c r="Y23" s="2132"/>
      <c r="Z23" s="2132"/>
      <c r="AA23" s="2133"/>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1" t="s">
        <v>528</v>
      </c>
      <c r="U24" s="102"/>
      <c r="V24" s="102"/>
      <c r="W24" s="102"/>
      <c r="X24" s="103"/>
      <c r="Y24" s="103"/>
      <c r="Z24" s="103"/>
      <c r="AA24" s="104"/>
    </row>
    <row r="25" spans="1:27" ht="14.1" customHeight="1" x14ac:dyDescent="0.2">
      <c r="A25" s="2036" t="s">
        <v>2056</v>
      </c>
      <c r="B25" s="2037"/>
      <c r="C25" s="2037"/>
      <c r="D25" s="2037"/>
      <c r="E25" s="2037"/>
      <c r="F25" s="2037"/>
      <c r="G25" s="2037"/>
      <c r="H25" s="2038"/>
      <c r="I25" s="109"/>
      <c r="J25" s="2061"/>
      <c r="K25" s="2061"/>
      <c r="L25" s="2061"/>
      <c r="M25" s="2061"/>
      <c r="N25" s="2061"/>
      <c r="O25" s="2061"/>
      <c r="P25" s="2061"/>
      <c r="Q25" s="2061"/>
      <c r="R25" s="2061"/>
      <c r="S25" s="2062"/>
      <c r="T25" s="2123" t="s">
        <v>2066</v>
      </c>
      <c r="U25" s="2124"/>
      <c r="V25" s="2124"/>
      <c r="W25" s="2124"/>
      <c r="X25" s="2124"/>
      <c r="Y25" s="2124"/>
      <c r="Z25" s="2124"/>
      <c r="AA25" s="2125"/>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047" t="s">
        <v>1494</v>
      </c>
      <c r="J27" s="2048"/>
      <c r="K27" s="2048"/>
      <c r="L27" s="2048"/>
      <c r="M27" s="2048"/>
      <c r="N27" s="2048"/>
      <c r="O27" s="2048"/>
      <c r="P27" s="2048"/>
      <c r="Q27" s="2048"/>
      <c r="R27" s="2048"/>
      <c r="S27" s="2049"/>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2051</v>
      </c>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t="s">
        <v>2090</v>
      </c>
      <c r="Q35" s="2037"/>
      <c r="R35" s="2037"/>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72"/>
      <c r="B38" s="2073"/>
      <c r="C38" s="2073"/>
      <c r="D38" s="2073"/>
      <c r="E38" s="2073"/>
      <c r="F38" s="2037"/>
      <c r="G38" s="2037"/>
      <c r="H38" s="2038"/>
      <c r="I38" s="2065" t="s">
        <v>2057</v>
      </c>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30"/>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c r="B42" s="2056"/>
      <c r="C42" s="2057"/>
      <c r="D42" s="2055"/>
      <c r="E42" s="2056"/>
      <c r="F42" s="2056"/>
      <c r="G42" s="2056"/>
      <c r="H42" s="2057"/>
      <c r="I42" s="2039" t="s">
        <v>2058</v>
      </c>
      <c r="J42" s="2040"/>
      <c r="K42" s="2040"/>
      <c r="L42" s="2040"/>
      <c r="M42" s="2040"/>
      <c r="N42" s="2040"/>
      <c r="O42" s="2041"/>
      <c r="P42" s="2074" t="s">
        <v>2059</v>
      </c>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288"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89"/>
      <c r="B3" s="1293"/>
      <c r="C3" s="1294"/>
      <c r="D3" s="1295" t="s">
        <v>254</v>
      </c>
      <c r="E3" s="1294"/>
      <c r="F3" s="1295" t="s">
        <v>255</v>
      </c>
    </row>
    <row r="4" spans="1:8" ht="13.7" customHeight="1" x14ac:dyDescent="0.2">
      <c r="A4" s="578" t="s">
        <v>1145</v>
      </c>
      <c r="B4" s="1720">
        <f>'Revenues 9-14'!C5</f>
        <v>3813945</v>
      </c>
      <c r="C4" s="1721">
        <v>2118343</v>
      </c>
      <c r="D4" s="1722">
        <f>B4-C4</f>
        <v>1695602</v>
      </c>
      <c r="E4" s="1721">
        <v>4031413</v>
      </c>
      <c r="F4" s="1722">
        <f>E4-C4</f>
        <v>1913070</v>
      </c>
    </row>
    <row r="5" spans="1:8" ht="13.7" customHeight="1" x14ac:dyDescent="0.2">
      <c r="A5" s="578" t="s">
        <v>865</v>
      </c>
      <c r="B5" s="1723">
        <f>'Revenues 9-14'!D5</f>
        <v>430801</v>
      </c>
      <c r="C5" s="1663">
        <v>239339</v>
      </c>
      <c r="D5" s="1724">
        <f t="shared" ref="D5:D18" si="0">B5-C5</f>
        <v>191462</v>
      </c>
      <c r="E5" s="1663">
        <v>455584</v>
      </c>
      <c r="F5" s="1724">
        <f>E5-C5</f>
        <v>216245</v>
      </c>
    </row>
    <row r="6" spans="1:8" ht="13.7" customHeight="1" x14ac:dyDescent="0.2">
      <c r="A6" s="578" t="s">
        <v>408</v>
      </c>
      <c r="B6" s="1723">
        <f>'Revenues 9-14'!E5</f>
        <v>395374</v>
      </c>
      <c r="C6" s="1663">
        <v>219566</v>
      </c>
      <c r="D6" s="1724">
        <f t="shared" si="0"/>
        <v>175808</v>
      </c>
      <c r="E6" s="1663">
        <v>417887</v>
      </c>
      <c r="F6" s="1724">
        <f t="shared" ref="F6:F18" si="1">E6-C6</f>
        <v>198321</v>
      </c>
    </row>
    <row r="7" spans="1:8" ht="13.7" customHeight="1" x14ac:dyDescent="0.2">
      <c r="A7" s="578" t="s">
        <v>154</v>
      </c>
      <c r="B7" s="1723">
        <f>'Revenues 9-14'!F5</f>
        <v>96502</v>
      </c>
      <c r="C7" s="1663">
        <v>53711</v>
      </c>
      <c r="D7" s="1724">
        <f t="shared" si="0"/>
        <v>42791</v>
      </c>
      <c r="E7" s="1663">
        <v>102185</v>
      </c>
      <c r="F7" s="1724">
        <f t="shared" si="1"/>
        <v>48474</v>
      </c>
    </row>
    <row r="8" spans="1:8" ht="13.7" customHeight="1" x14ac:dyDescent="0.2">
      <c r="A8" s="578" t="s">
        <v>1169</v>
      </c>
      <c r="B8" s="1723">
        <f>'Revenues 9-14'!G5</f>
        <v>155769</v>
      </c>
      <c r="C8" s="1663">
        <v>87059</v>
      </c>
      <c r="D8" s="1724">
        <f t="shared" si="0"/>
        <v>68710</v>
      </c>
      <c r="E8" s="1663">
        <v>165363</v>
      </c>
      <c r="F8" s="1724">
        <f t="shared" si="1"/>
        <v>78304</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36204</v>
      </c>
      <c r="C10" s="1663">
        <v>20953</v>
      </c>
      <c r="D10" s="1724">
        <f t="shared" si="0"/>
        <v>15251</v>
      </c>
      <c r="E10" s="1663">
        <v>40007</v>
      </c>
      <c r="F10" s="1724">
        <f t="shared" si="1"/>
        <v>19054</v>
      </c>
    </row>
    <row r="11" spans="1:8" x14ac:dyDescent="0.2">
      <c r="A11" s="578" t="s">
        <v>406</v>
      </c>
      <c r="B11" s="1723">
        <f>'Revenues 9-14'!J5</f>
        <v>0</v>
      </c>
      <c r="C11" s="1663"/>
      <c r="D11" s="1724">
        <f t="shared" si="0"/>
        <v>0</v>
      </c>
      <c r="E11" s="1663"/>
      <c r="F11" s="1724">
        <f t="shared" si="1"/>
        <v>0</v>
      </c>
    </row>
    <row r="12" spans="1:8" ht="13.7" customHeight="1" x14ac:dyDescent="0.2">
      <c r="A12" s="578" t="s">
        <v>156</v>
      </c>
      <c r="B12" s="1723">
        <f>'Revenues 9-14'!K5</f>
        <v>0</v>
      </c>
      <c r="C12" s="1663"/>
      <c r="D12" s="1724">
        <f t="shared" si="0"/>
        <v>0</v>
      </c>
      <c r="E12" s="1663"/>
      <c r="F12" s="1724">
        <f t="shared" si="1"/>
        <v>0</v>
      </c>
    </row>
    <row r="13" spans="1:8" ht="13.7" customHeight="1" x14ac:dyDescent="0.2">
      <c r="A13" s="578" t="s">
        <v>930</v>
      </c>
      <c r="B13" s="1723">
        <f>SUM('Revenues 9-14'!C6:D6)</f>
        <v>0</v>
      </c>
      <c r="C13" s="1663"/>
      <c r="D13" s="1724">
        <f t="shared" si="0"/>
        <v>0</v>
      </c>
      <c r="E13" s="1663"/>
      <c r="F13" s="1724">
        <f t="shared" si="1"/>
        <v>0</v>
      </c>
    </row>
    <row r="14" spans="1:8" ht="13.7" customHeight="1" x14ac:dyDescent="0.2">
      <c r="A14" s="578" t="s">
        <v>407</v>
      </c>
      <c r="B14" s="1723">
        <f>SUM('Revenues 9-14'!C7:D7,'Revenues 9-14'!F7:H7)</f>
        <v>381973</v>
      </c>
      <c r="C14" s="1663">
        <v>212189</v>
      </c>
      <c r="D14" s="1724">
        <f t="shared" si="0"/>
        <v>169784</v>
      </c>
      <c r="E14" s="1663">
        <v>404074</v>
      </c>
      <c r="F14" s="1724">
        <f t="shared" si="1"/>
        <v>191885</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0</v>
      </c>
      <c r="C16" s="1663"/>
      <c r="D16" s="1724">
        <f t="shared" si="0"/>
        <v>0</v>
      </c>
      <c r="E16" s="1663"/>
      <c r="F16" s="1724">
        <f t="shared" si="1"/>
        <v>0</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5310568</v>
      </c>
      <c r="C19" s="1725">
        <f>SUM(C4:C18)</f>
        <v>2951160</v>
      </c>
      <c r="D19" s="1725">
        <f>SUM(D4:D18)</f>
        <v>2359408</v>
      </c>
      <c r="E19" s="1725">
        <f>SUM(E4:E18)</f>
        <v>5616513</v>
      </c>
      <c r="F19" s="1725">
        <f>SUM(F4:F18)</f>
        <v>2665353</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pageSetUpPr fitToPage="1"/>
  </sheetPr>
  <dimension ref="A1:K59"/>
  <sheetViews>
    <sheetView showGridLines="0" defaultGridColor="0" topLeftCell="A21" colorId="8" zoomScale="110" zoomScaleNormal="110" workbookViewId="0">
      <selection activeCell="E15" sqref="E15"/>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10" t="s">
        <v>625</v>
      </c>
      <c r="B1" s="2308"/>
      <c r="C1" s="584"/>
    </row>
    <row r="2" spans="1:7" ht="33.75" x14ac:dyDescent="0.2">
      <c r="A2" s="2315" t="s">
        <v>1779</v>
      </c>
      <c r="B2" s="231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5"/>
      <c r="D4" s="1655"/>
      <c r="E4" s="1655"/>
      <c r="F4" s="1731">
        <f>SUM(C4+D4)-E4</f>
        <v>0</v>
      </c>
    </row>
    <row r="5" spans="1:7" ht="15.75" customHeight="1" thickTop="1" x14ac:dyDescent="0.2">
      <c r="A5" s="2309" t="s">
        <v>1101</v>
      </c>
      <c r="B5" s="2304"/>
      <c r="C5" s="2298"/>
      <c r="D5" s="2299"/>
      <c r="E5" s="2299"/>
      <c r="F5" s="2300"/>
    </row>
    <row r="6" spans="1:7" ht="12.75" customHeight="1" thickBot="1" x14ac:dyDescent="0.25">
      <c r="A6" s="586" t="s">
        <v>64</v>
      </c>
      <c r="B6" s="587"/>
      <c r="C6" s="1732"/>
      <c r="D6" s="1663">
        <v>800000</v>
      </c>
      <c r="E6" s="1732">
        <v>800000</v>
      </c>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301" t="s">
        <v>627</v>
      </c>
      <c r="B15" s="2302"/>
      <c r="C15" s="1731">
        <f>SUM(C6:C14)</f>
        <v>0</v>
      </c>
      <c r="D15" s="1731">
        <f>SUM(D6:D14)</f>
        <v>800000</v>
      </c>
      <c r="E15" s="1731">
        <f>SUM(E6:E14)</f>
        <v>800000</v>
      </c>
      <c r="F15" s="1731">
        <f>SUM(F6:F14)</f>
        <v>0</v>
      </c>
      <c r="G15" s="472"/>
    </row>
    <row r="16" spans="1:7" s="196" customFormat="1" ht="15.75" customHeight="1" thickTop="1" x14ac:dyDescent="0.2">
      <c r="A16" s="2314" t="s">
        <v>1102</v>
      </c>
      <c r="B16" s="2304"/>
      <c r="C16" s="2298"/>
      <c r="D16" s="2299"/>
      <c r="E16" s="2299"/>
      <c r="F16" s="2300"/>
    </row>
    <row r="17" spans="1:11" ht="12.75" customHeight="1" thickBot="1" x14ac:dyDescent="0.25">
      <c r="A17" s="2296" t="s">
        <v>64</v>
      </c>
      <c r="B17" s="2297"/>
      <c r="C17" s="1732"/>
      <c r="D17" s="1663"/>
      <c r="E17" s="1732"/>
      <c r="F17" s="1731">
        <f>SUM(C17+D17)-E17</f>
        <v>0</v>
      </c>
    </row>
    <row r="18" spans="1:11" ht="12.75" customHeight="1" thickTop="1" thickBot="1" x14ac:dyDescent="0.25">
      <c r="A18" s="2296" t="s">
        <v>6</v>
      </c>
      <c r="B18" s="2297"/>
      <c r="C18" s="1732"/>
      <c r="D18" s="1663"/>
      <c r="E18" s="1732"/>
      <c r="F18" s="1731">
        <f>SUM(C18+D18)-E18</f>
        <v>0</v>
      </c>
    </row>
    <row r="19" spans="1:11" ht="12.75" customHeight="1" thickTop="1" thickBot="1" x14ac:dyDescent="0.25">
      <c r="A19" s="2296" t="s">
        <v>385</v>
      </c>
      <c r="B19" s="2297"/>
      <c r="C19" s="1732"/>
      <c r="D19" s="1663"/>
      <c r="E19" s="1732"/>
      <c r="F19" s="1731">
        <f>SUM(C19+D19)-E19</f>
        <v>0</v>
      </c>
    </row>
    <row r="20" spans="1:11" ht="12.75" customHeight="1" thickTop="1" thickBot="1" x14ac:dyDescent="0.25">
      <c r="A20" s="2296" t="s">
        <v>445</v>
      </c>
      <c r="B20" s="2297"/>
      <c r="C20" s="1732"/>
      <c r="D20" s="1663"/>
      <c r="E20" s="1732"/>
      <c r="F20" s="1731">
        <f>SUM(C20+D20)-E20</f>
        <v>0</v>
      </c>
    </row>
    <row r="21" spans="1:11" ht="14.25" thickTop="1" thickBot="1" x14ac:dyDescent="0.25">
      <c r="A21" s="2301" t="s">
        <v>628</v>
      </c>
      <c r="B21" s="2302"/>
      <c r="C21" s="1731">
        <f>SUM(C17:C20)</f>
        <v>0</v>
      </c>
      <c r="D21" s="1731">
        <f>SUM(D17:D20)</f>
        <v>0</v>
      </c>
      <c r="E21" s="1731">
        <f>SUM(E17:E20)</f>
        <v>0</v>
      </c>
      <c r="F21" s="1731">
        <f>SUM(F17:F20)</f>
        <v>0</v>
      </c>
      <c r="G21" s="472"/>
    </row>
    <row r="22" spans="1:11" ht="15.75" customHeight="1" thickTop="1" x14ac:dyDescent="0.2">
      <c r="A22" s="2303" t="s">
        <v>1103</v>
      </c>
      <c r="B22" s="2304"/>
      <c r="C22" s="2298"/>
      <c r="D22" s="2299"/>
      <c r="E22" s="2299"/>
      <c r="F22" s="2300"/>
    </row>
    <row r="23" spans="1:11" ht="13.5" thickBot="1" x14ac:dyDescent="0.25">
      <c r="A23" s="2305" t="s">
        <v>629</v>
      </c>
      <c r="B23" s="2306"/>
      <c r="C23" s="1655"/>
      <c r="D23" s="1655"/>
      <c r="E23" s="1655"/>
      <c r="F23" s="1731">
        <f>SUM(C23+D23)-E23</f>
        <v>0</v>
      </c>
      <c r="G23" s="472"/>
    </row>
    <row r="24" spans="1:11" ht="15.75" customHeight="1" thickTop="1" x14ac:dyDescent="0.2">
      <c r="A24" s="2303" t="s">
        <v>2006</v>
      </c>
      <c r="B24" s="2304"/>
      <c r="C24" s="2298"/>
      <c r="D24" s="2299"/>
      <c r="E24" s="2299"/>
      <c r="F24" s="2300"/>
    </row>
    <row r="25" spans="1:11" ht="13.5" thickBot="1" x14ac:dyDescent="0.25">
      <c r="A25" s="2305" t="s">
        <v>2007</v>
      </c>
      <c r="B25" s="2306"/>
      <c r="C25" s="1655"/>
      <c r="D25" s="1655"/>
      <c r="E25" s="1655"/>
      <c r="F25" s="1731">
        <f>SUM(C25+D25)-E25</f>
        <v>0</v>
      </c>
      <c r="G25" s="472"/>
    </row>
    <row r="26" spans="1:11" ht="15.75" customHeight="1" thickTop="1" x14ac:dyDescent="0.2">
      <c r="A26" s="2309" t="s">
        <v>652</v>
      </c>
      <c r="B26" s="2304"/>
      <c r="C26" s="588"/>
      <c r="D26" s="588"/>
      <c r="E26" s="588"/>
      <c r="F26" s="589"/>
    </row>
    <row r="27" spans="1:11" ht="13.5" thickBot="1" x14ac:dyDescent="0.25">
      <c r="A27" s="2301" t="s">
        <v>1061</v>
      </c>
      <c r="B27" s="2302"/>
      <c r="C27" s="1663"/>
      <c r="D27" s="1663"/>
      <c r="E27" s="1663"/>
      <c r="F27" s="1731">
        <f>SUM(C27+D27)-E27</f>
        <v>0</v>
      </c>
      <c r="G27" s="472"/>
    </row>
    <row r="28" spans="1:11" ht="7.5" customHeight="1" thickTop="1" x14ac:dyDescent="0.2">
      <c r="A28" s="488"/>
    </row>
    <row r="29" spans="1:11" ht="23.25" customHeight="1" x14ac:dyDescent="0.2">
      <c r="A29" s="2307" t="s">
        <v>578</v>
      </c>
      <c r="B29" s="2308"/>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t="s">
        <v>2068</v>
      </c>
      <c r="B31" s="594">
        <v>39965</v>
      </c>
      <c r="C31" s="1733">
        <v>2180000</v>
      </c>
      <c r="D31" s="1734">
        <v>4</v>
      </c>
      <c r="E31" s="1733">
        <v>545000</v>
      </c>
      <c r="F31" s="1733"/>
      <c r="G31" s="1733"/>
      <c r="H31" s="1733">
        <v>190000</v>
      </c>
      <c r="I31" s="1735">
        <f>((E31+F31)-H31)+G31</f>
        <v>355000</v>
      </c>
      <c r="J31" s="1733">
        <f>355000-53433</f>
        <v>301567</v>
      </c>
      <c r="K31" s="595"/>
    </row>
    <row r="32" spans="1:11" ht="12" customHeight="1" x14ac:dyDescent="0.2">
      <c r="A32" s="593" t="s">
        <v>2069</v>
      </c>
      <c r="B32" s="594">
        <v>41185</v>
      </c>
      <c r="C32" s="1733">
        <v>1270000</v>
      </c>
      <c r="D32" s="1734">
        <v>3</v>
      </c>
      <c r="E32" s="1733">
        <v>480000</v>
      </c>
      <c r="F32" s="1733"/>
      <c r="G32" s="1733"/>
      <c r="H32" s="1733"/>
      <c r="I32" s="1735">
        <f>((E32+F32)-H32)+G32</f>
        <v>480000</v>
      </c>
      <c r="J32" s="1733">
        <f>480000-76539</f>
        <v>403461</v>
      </c>
      <c r="K32" s="595"/>
    </row>
    <row r="33" spans="1:11" ht="12" customHeight="1" x14ac:dyDescent="0.2">
      <c r="A33" s="593" t="s">
        <v>2070</v>
      </c>
      <c r="B33" s="594">
        <v>41794</v>
      </c>
      <c r="C33" s="1733">
        <v>2000000</v>
      </c>
      <c r="D33" s="1734" t="s">
        <v>2074</v>
      </c>
      <c r="E33" s="1733">
        <v>2000000</v>
      </c>
      <c r="F33" s="1733"/>
      <c r="G33" s="1733"/>
      <c r="H33" s="1733"/>
      <c r="I33" s="1735">
        <f t="shared" ref="I33:I48" si="1">((E33+F33)-H33)+G33</f>
        <v>2000000</v>
      </c>
      <c r="J33" s="1733">
        <f>2000000-305432</f>
        <v>1694568</v>
      </c>
      <c r="K33" s="595"/>
    </row>
    <row r="34" spans="1:11" ht="12" customHeight="1" x14ac:dyDescent="0.2">
      <c r="A34" s="593" t="s">
        <v>2071</v>
      </c>
      <c r="B34" s="594">
        <v>42852</v>
      </c>
      <c r="C34" s="1733">
        <v>1850000</v>
      </c>
      <c r="D34" s="1734" t="s">
        <v>2074</v>
      </c>
      <c r="E34" s="1733">
        <v>1850000</v>
      </c>
      <c r="F34" s="1733"/>
      <c r="G34" s="1733"/>
      <c r="H34" s="1733"/>
      <c r="I34" s="1735">
        <f t="shared" si="1"/>
        <v>1850000</v>
      </c>
      <c r="J34" s="1733">
        <f>1850000-282326</f>
        <v>1567674</v>
      </c>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t="s">
        <v>2072</v>
      </c>
      <c r="B36" s="594" t="s">
        <v>2073</v>
      </c>
      <c r="C36" s="1733"/>
      <c r="D36" s="1734">
        <v>7</v>
      </c>
      <c r="E36" s="1733">
        <v>33712</v>
      </c>
      <c r="F36" s="1733">
        <v>35235</v>
      </c>
      <c r="G36" s="1733"/>
      <c r="H36" s="1733">
        <v>33669</v>
      </c>
      <c r="I36" s="1735">
        <f t="shared" si="1"/>
        <v>35278</v>
      </c>
      <c r="J36" s="1733">
        <f>35278-4332</f>
        <v>30946</v>
      </c>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7300000</v>
      </c>
      <c r="D49" s="1741"/>
      <c r="E49" s="1735">
        <f t="shared" ref="E49:J49" si="2">SUM(E31:E48)</f>
        <v>4908712</v>
      </c>
      <c r="F49" s="1735">
        <f t="shared" si="2"/>
        <v>35235</v>
      </c>
      <c r="G49" s="1735">
        <f t="shared" si="2"/>
        <v>0</v>
      </c>
      <c r="H49" s="1735">
        <f t="shared" si="2"/>
        <v>223669</v>
      </c>
      <c r="I49" s="1735">
        <f t="shared" si="2"/>
        <v>4720278</v>
      </c>
      <c r="J49" s="1735">
        <f t="shared" si="2"/>
        <v>3998216</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290" t="s">
        <v>580</v>
      </c>
      <c r="C52" s="2291"/>
      <c r="D52" s="2291"/>
      <c r="E52" s="602" t="s">
        <v>840</v>
      </c>
      <c r="F52" s="2292" t="s">
        <v>2072</v>
      </c>
      <c r="G52" s="2293"/>
      <c r="H52" s="595"/>
      <c r="I52" s="595"/>
      <c r="J52" s="599"/>
    </row>
    <row r="53" spans="1:11" ht="11.25" customHeight="1" x14ac:dyDescent="0.2">
      <c r="A53" s="603" t="s">
        <v>907</v>
      </c>
      <c r="B53" s="604" t="s">
        <v>945</v>
      </c>
      <c r="C53" s="599"/>
      <c r="D53" s="596"/>
      <c r="E53" s="602" t="s">
        <v>494</v>
      </c>
      <c r="F53" s="2294"/>
      <c r="G53" s="2295"/>
      <c r="H53" s="595"/>
      <c r="I53" s="595"/>
      <c r="J53" s="599"/>
    </row>
    <row r="54" spans="1:11" ht="11.25" customHeight="1" x14ac:dyDescent="0.2">
      <c r="A54" s="605" t="s">
        <v>908</v>
      </c>
      <c r="B54" s="600" t="s">
        <v>946</v>
      </c>
      <c r="C54" s="599"/>
      <c r="D54" s="596"/>
      <c r="E54" s="602" t="s">
        <v>495</v>
      </c>
      <c r="F54" s="2294"/>
      <c r="G54" s="2295"/>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19" t="s">
        <v>851</v>
      </c>
      <c r="B1" s="2320"/>
      <c r="C1" s="2320"/>
      <c r="D1" s="2320"/>
      <c r="E1" s="2320"/>
      <c r="F1" s="2320"/>
      <c r="G1" s="2321"/>
      <c r="H1" s="1297"/>
      <c r="I1" s="613"/>
      <c r="J1" s="399"/>
    </row>
    <row r="2" spans="1:11" ht="26.25" x14ac:dyDescent="0.2">
      <c r="A2" s="2338" t="s">
        <v>1658</v>
      </c>
      <c r="B2" s="2339"/>
      <c r="C2" s="2339"/>
      <c r="D2" s="2339"/>
      <c r="E2" s="2340"/>
      <c r="F2" s="614" t="s">
        <v>898</v>
      </c>
      <c r="G2" s="615" t="s">
        <v>1655</v>
      </c>
      <c r="H2" s="615" t="s">
        <v>407</v>
      </c>
      <c r="I2" s="615" t="s">
        <v>1148</v>
      </c>
      <c r="J2" s="615" t="s">
        <v>1789</v>
      </c>
      <c r="K2" s="615" t="s">
        <v>137</v>
      </c>
    </row>
    <row r="3" spans="1:11" x14ac:dyDescent="0.2">
      <c r="A3" s="2341" t="str">
        <f>"Cash Basis Fund Balance as of July 1, "&amp;'AFR20'!E2-1</f>
        <v>Cash Basis Fund Balance as of July 1, 2019</v>
      </c>
      <c r="B3" s="2342"/>
      <c r="C3" s="2342"/>
      <c r="D3" s="2342"/>
      <c r="E3" s="2343"/>
      <c r="F3" s="616"/>
      <c r="G3" s="1743"/>
      <c r="H3" s="1743"/>
      <c r="I3" s="1743"/>
      <c r="J3" s="1744"/>
      <c r="K3" s="1744"/>
    </row>
    <row r="4" spans="1:11" x14ac:dyDescent="0.2">
      <c r="A4" s="2344" t="s">
        <v>366</v>
      </c>
      <c r="B4" s="2345"/>
      <c r="C4" s="2345"/>
      <c r="D4" s="2345"/>
      <c r="E4" s="2291"/>
      <c r="F4" s="619"/>
      <c r="G4" s="1745"/>
      <c r="H4" s="1746"/>
      <c r="I4" s="1745"/>
      <c r="J4" s="1747"/>
      <c r="K4" s="1747"/>
    </row>
    <row r="5" spans="1:11" x14ac:dyDescent="0.2">
      <c r="A5" s="2322" t="s">
        <v>1060</v>
      </c>
      <c r="B5" s="2323"/>
      <c r="C5" s="2323"/>
      <c r="D5" s="2323"/>
      <c r="E5" s="2324"/>
      <c r="F5" s="621" t="s">
        <v>843</v>
      </c>
      <c r="G5" s="1748"/>
      <c r="H5" s="1743">
        <v>381974</v>
      </c>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22" t="s">
        <v>1790</v>
      </c>
      <c r="B10" s="2323"/>
      <c r="C10" s="2323"/>
      <c r="D10" s="2323"/>
      <c r="E10" s="2325"/>
      <c r="F10" s="632" t="s">
        <v>857</v>
      </c>
      <c r="G10" s="1752"/>
      <c r="H10" s="1753"/>
      <c r="I10" s="1743"/>
      <c r="J10" s="1744"/>
      <c r="K10" s="1744"/>
    </row>
    <row r="11" spans="1:11" x14ac:dyDescent="0.2">
      <c r="A11" s="2322" t="s">
        <v>159</v>
      </c>
      <c r="B11" s="2323"/>
      <c r="C11" s="2323"/>
      <c r="D11" s="2323"/>
      <c r="E11" s="2324"/>
      <c r="F11" s="621" t="s">
        <v>847</v>
      </c>
      <c r="G11" s="1748"/>
      <c r="H11" s="1743"/>
      <c r="I11" s="1743"/>
      <c r="J11" s="1744"/>
      <c r="K11" s="1750"/>
    </row>
    <row r="12" spans="1:11" ht="13.5" thickBot="1" x14ac:dyDescent="0.25">
      <c r="A12" s="2349" t="s">
        <v>899</v>
      </c>
      <c r="B12" s="2350"/>
      <c r="C12" s="2350"/>
      <c r="D12" s="2350"/>
      <c r="E12" s="2351"/>
      <c r="F12" s="1432"/>
      <c r="G12" s="1754">
        <f>SUM(G5:G11)</f>
        <v>0</v>
      </c>
      <c r="H12" s="1754">
        <f>SUM(H5:H11)</f>
        <v>381974</v>
      </c>
      <c r="I12" s="1754">
        <f>SUM(I5:I11)</f>
        <v>0</v>
      </c>
      <c r="J12" s="1754">
        <f>SUM(J5:J11)</f>
        <v>0</v>
      </c>
      <c r="K12" s="1754">
        <f>SUM(K5:K11)</f>
        <v>0</v>
      </c>
    </row>
    <row r="13" spans="1:11" ht="13.5" thickTop="1" x14ac:dyDescent="0.2">
      <c r="A13" s="2346" t="s">
        <v>367</v>
      </c>
      <c r="B13" s="2347"/>
      <c r="C13" s="2347"/>
      <c r="D13" s="2347"/>
      <c r="E13" s="2348"/>
      <c r="F13" s="633"/>
      <c r="G13" s="1755"/>
      <c r="H13" s="1756"/>
      <c r="I13" s="1757"/>
      <c r="J13" s="1757"/>
      <c r="K13" s="1757"/>
    </row>
    <row r="14" spans="1:11" x14ac:dyDescent="0.2">
      <c r="A14" s="2329" t="s">
        <v>453</v>
      </c>
      <c r="B14" s="2329"/>
      <c r="C14" s="2329"/>
      <c r="D14" s="2329"/>
      <c r="E14" s="2330"/>
      <c r="F14" s="634" t="s">
        <v>849</v>
      </c>
      <c r="G14" s="1752"/>
      <c r="H14" s="1743">
        <v>381974</v>
      </c>
      <c r="I14" s="1748"/>
      <c r="J14" s="1750"/>
      <c r="K14" s="1744"/>
    </row>
    <row r="15" spans="1:11" x14ac:dyDescent="0.2">
      <c r="A15" s="2323" t="s">
        <v>4</v>
      </c>
      <c r="B15" s="2323"/>
      <c r="C15" s="2323"/>
      <c r="D15" s="2323"/>
      <c r="E15" s="2324"/>
      <c r="F15" s="634" t="s">
        <v>850</v>
      </c>
      <c r="G15" s="1748"/>
      <c r="H15" s="1743"/>
      <c r="I15" s="1743"/>
      <c r="J15" s="1744"/>
      <c r="K15" s="1744"/>
    </row>
    <row r="16" spans="1:11" x14ac:dyDescent="0.2">
      <c r="A16" s="2323" t="s">
        <v>295</v>
      </c>
      <c r="B16" s="2323"/>
      <c r="C16" s="2323"/>
      <c r="D16" s="2323"/>
      <c r="E16" s="2324"/>
      <c r="F16" s="634" t="s">
        <v>917</v>
      </c>
      <c r="G16" s="1749"/>
      <c r="H16" s="1745"/>
      <c r="I16" s="1745"/>
      <c r="J16" s="1747"/>
      <c r="K16" s="1747"/>
    </row>
    <row r="17" spans="1:15" x14ac:dyDescent="0.2">
      <c r="A17" s="2356" t="s">
        <v>929</v>
      </c>
      <c r="B17" s="2356"/>
      <c r="C17" s="2356"/>
      <c r="D17" s="2356"/>
      <c r="E17" s="2357"/>
      <c r="F17" s="635"/>
      <c r="G17" s="1758"/>
      <c r="H17" s="1759"/>
      <c r="I17" s="1759"/>
      <c r="J17" s="1760"/>
      <c r="K17" s="1761"/>
    </row>
    <row r="18" spans="1:15" x14ac:dyDescent="0.2">
      <c r="A18" s="2333" t="s">
        <v>365</v>
      </c>
      <c r="B18" s="2334"/>
      <c r="C18" s="2334"/>
      <c r="D18" s="2334"/>
      <c r="E18" s="2335"/>
      <c r="F18" s="634" t="s">
        <v>926</v>
      </c>
      <c r="G18" s="1752"/>
      <c r="H18" s="1752"/>
      <c r="I18" s="1752"/>
      <c r="J18" s="1744"/>
      <c r="K18" s="1762"/>
    </row>
    <row r="19" spans="1:15" ht="21.75" customHeight="1" x14ac:dyDescent="0.2">
      <c r="A19" s="2331" t="s">
        <v>1786</v>
      </c>
      <c r="B19" s="2331"/>
      <c r="C19" s="2331"/>
      <c r="D19" s="2331"/>
      <c r="E19" s="2332"/>
      <c r="F19" s="634" t="s">
        <v>927</v>
      </c>
      <c r="G19" s="1752"/>
      <c r="H19" s="1752"/>
      <c r="I19" s="1752"/>
      <c r="J19" s="1744"/>
      <c r="K19" s="1762"/>
    </row>
    <row r="20" spans="1:15" x14ac:dyDescent="0.2">
      <c r="A20" s="2333" t="s">
        <v>1791</v>
      </c>
      <c r="B20" s="2334"/>
      <c r="C20" s="2334"/>
      <c r="D20" s="2334"/>
      <c r="E20" s="2335"/>
      <c r="F20" s="634" t="s">
        <v>928</v>
      </c>
      <c r="G20" s="1752"/>
      <c r="H20" s="1752"/>
      <c r="I20" s="1752"/>
      <c r="J20" s="1744"/>
      <c r="K20" s="1762"/>
    </row>
    <row r="21" spans="1:15" ht="13.5" thickBot="1" x14ac:dyDescent="0.25">
      <c r="A21" s="2352" t="s">
        <v>633</v>
      </c>
      <c r="B21" s="2352"/>
      <c r="C21" s="2352"/>
      <c r="D21" s="2352"/>
      <c r="E21" s="2352"/>
      <c r="F21" s="1433"/>
      <c r="G21" s="1759"/>
      <c r="H21" s="1763"/>
      <c r="I21" s="1763"/>
      <c r="J21" s="1764">
        <f>SUM(J18:J20)</f>
        <v>0</v>
      </c>
      <c r="K21" s="1760"/>
    </row>
    <row r="22" spans="1:15" ht="13.5" thickTop="1" x14ac:dyDescent="0.2">
      <c r="A22" s="2323" t="s">
        <v>1792</v>
      </c>
      <c r="B22" s="2323"/>
      <c r="C22" s="2323"/>
      <c r="D22" s="2323"/>
      <c r="E22" s="2324"/>
      <c r="F22" s="634" t="s">
        <v>857</v>
      </c>
      <c r="G22" s="1752"/>
      <c r="H22" s="1743"/>
      <c r="I22" s="1743"/>
      <c r="J22" s="1765"/>
      <c r="K22" s="1744"/>
    </row>
    <row r="23" spans="1:15" ht="13.5" thickBot="1" x14ac:dyDescent="0.25">
      <c r="A23" s="2353" t="s">
        <v>900</v>
      </c>
      <c r="B23" s="2352"/>
      <c r="C23" s="2352"/>
      <c r="D23" s="2352"/>
      <c r="E23" s="2352"/>
      <c r="F23" s="1435"/>
      <c r="G23" s="1754">
        <f>SUM(G14:G16,G21,G22)</f>
        <v>0</v>
      </c>
      <c r="H23" s="1754">
        <f>SUM(H14:H16,H21,H22)</f>
        <v>381974</v>
      </c>
      <c r="I23" s="1754">
        <f>SUM(I14:I16,I21,I22)</f>
        <v>0</v>
      </c>
      <c r="J23" s="1754">
        <f>SUM(J14:J16,J21,J22)</f>
        <v>0</v>
      </c>
      <c r="K23" s="1754">
        <f>SUM(K14:K16,K21,K22)</f>
        <v>0</v>
      </c>
      <c r="M23" s="1845"/>
      <c r="N23" s="1845"/>
      <c r="O23" s="1845"/>
    </row>
    <row r="24" spans="1:15" ht="14.25" thickTop="1" thickBot="1" x14ac:dyDescent="0.25">
      <c r="A24" s="2354" t="str">
        <f>"Ending Cash Basis Fund Balance as of June 30, "&amp;'AFR20'!E2</f>
        <v>Ending Cash Basis Fund Balance as of June 30, 2020</v>
      </c>
      <c r="B24" s="2355"/>
      <c r="C24" s="2355"/>
      <c r="D24" s="2355"/>
      <c r="E24" s="2355"/>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26"/>
      <c r="I31" s="2327"/>
      <c r="J31" s="2327"/>
      <c r="K31" s="2327"/>
    </row>
    <row r="32" spans="1:15" x14ac:dyDescent="0.2">
      <c r="A32" s="648"/>
      <c r="B32" s="231"/>
      <c r="C32" s="231"/>
      <c r="D32" s="231"/>
      <c r="E32" s="644"/>
      <c r="F32" s="650" t="s">
        <v>537</v>
      </c>
      <c r="G32" s="617"/>
      <c r="H32" s="2328"/>
      <c r="I32" s="2327"/>
      <c r="J32" s="2327"/>
      <c r="K32" s="2327"/>
    </row>
    <row r="33" spans="1:11" ht="1.5" customHeight="1" x14ac:dyDescent="0.2">
      <c r="A33" s="651" t="s">
        <v>1159</v>
      </c>
      <c r="B33" s="340"/>
      <c r="C33" s="340"/>
      <c r="D33" s="340"/>
      <c r="E33" s="340"/>
      <c r="F33" s="340"/>
      <c r="G33" s="652"/>
      <c r="H33" s="2328"/>
      <c r="I33" s="2327"/>
      <c r="J33" s="2327"/>
      <c r="K33" s="2327"/>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v>23285</v>
      </c>
    </row>
    <row r="37" spans="1:11" x14ac:dyDescent="0.2">
      <c r="A37" s="659" t="s">
        <v>890</v>
      </c>
      <c r="B37" s="657"/>
      <c r="C37" s="657"/>
      <c r="D37" s="657"/>
      <c r="E37" s="657"/>
      <c r="F37" s="658"/>
      <c r="G37" s="618"/>
    </row>
    <row r="38" spans="1:11" x14ac:dyDescent="0.2">
      <c r="A38" s="659" t="s">
        <v>986</v>
      </c>
      <c r="B38" s="657"/>
      <c r="C38" s="657"/>
      <c r="D38" s="657"/>
      <c r="E38" s="657"/>
      <c r="F38" s="658"/>
      <c r="G38" s="618">
        <v>48442</v>
      </c>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3" t="s">
        <v>538</v>
      </c>
      <c r="B41" s="2336"/>
      <c r="C41" s="2336"/>
      <c r="D41" s="2336"/>
      <c r="E41" s="2336"/>
      <c r="F41" s="2337"/>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0" t="s">
        <v>1875</v>
      </c>
      <c r="B1" s="2361"/>
      <c r="C1" s="2362"/>
      <c r="D1" s="665"/>
      <c r="E1" s="666"/>
      <c r="F1" s="666"/>
      <c r="G1" s="667"/>
      <c r="H1" s="668"/>
      <c r="I1" s="669"/>
      <c r="J1" s="2358"/>
      <c r="K1" s="2359"/>
      <c r="L1" s="2359"/>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264189</v>
      </c>
      <c r="D5" s="1769"/>
      <c r="E5" s="1769"/>
      <c r="F5" s="1764">
        <f>(C5+D5)-E5</f>
        <v>264189</v>
      </c>
      <c r="G5" s="675"/>
      <c r="H5" s="679"/>
      <c r="I5" s="679"/>
      <c r="J5" s="679"/>
      <c r="K5" s="636"/>
      <c r="L5" s="1441">
        <f>F5-K5</f>
        <v>264189</v>
      </c>
    </row>
    <row r="6" spans="1:14" ht="14.25" thickTop="1" thickBot="1" x14ac:dyDescent="0.25">
      <c r="A6" s="628" t="s">
        <v>1107</v>
      </c>
      <c r="B6" s="678">
        <v>222</v>
      </c>
      <c r="C6" s="1744"/>
      <c r="D6" s="1744"/>
      <c r="E6" s="1744"/>
      <c r="F6" s="1764">
        <f>(C6+D6)-E6</f>
        <v>0</v>
      </c>
      <c r="G6" s="675">
        <v>50</v>
      </c>
      <c r="H6" s="618">
        <v>0</v>
      </c>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3437843</v>
      </c>
      <c r="D8" s="1770">
        <v>5172</v>
      </c>
      <c r="E8" s="1770"/>
      <c r="F8" s="1764">
        <f>(C8+D8)-E8</f>
        <v>3443015</v>
      </c>
      <c r="G8" s="680">
        <v>50</v>
      </c>
      <c r="H8" s="618">
        <v>1907297</v>
      </c>
      <c r="I8" s="618">
        <v>75601</v>
      </c>
      <c r="J8" s="618"/>
      <c r="K8" s="1441">
        <f>(H8+I8)-J8</f>
        <v>1982898</v>
      </c>
      <c r="L8" s="1441">
        <f>F8-K8</f>
        <v>1460117</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94743</v>
      </c>
      <c r="D10" s="1771"/>
      <c r="E10" s="1771"/>
      <c r="F10" s="1772">
        <f>(C10+D10)-E10</f>
        <v>94743</v>
      </c>
      <c r="G10" s="680">
        <v>20</v>
      </c>
      <c r="H10" s="682">
        <v>93439</v>
      </c>
      <c r="I10" s="682">
        <v>182</v>
      </c>
      <c r="J10" s="682"/>
      <c r="K10" s="1441">
        <f>(H10+I10)-J10</f>
        <v>93621</v>
      </c>
      <c r="L10" s="1441">
        <f>F10-K10</f>
        <v>1122</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c r="D12" s="1770"/>
      <c r="E12" s="1770"/>
      <c r="F12" s="1764">
        <f>(C12+D12)-E12</f>
        <v>0</v>
      </c>
      <c r="G12" s="680">
        <v>10</v>
      </c>
      <c r="H12" s="618"/>
      <c r="I12" s="618"/>
      <c r="J12" s="618"/>
      <c r="K12" s="1441">
        <f>(H12+I12)-J12</f>
        <v>0</v>
      </c>
      <c r="L12" s="1441">
        <f>F12-K12</f>
        <v>0</v>
      </c>
    </row>
    <row r="13" spans="1:14" ht="14.25" thickTop="1" thickBot="1" x14ac:dyDescent="0.25">
      <c r="A13" s="683" t="s">
        <v>1112</v>
      </c>
      <c r="B13" s="678">
        <v>252</v>
      </c>
      <c r="C13" s="1770">
        <v>1747887</v>
      </c>
      <c r="D13" s="1770">
        <v>58199</v>
      </c>
      <c r="E13" s="1770">
        <v>2541</v>
      </c>
      <c r="F13" s="1764">
        <f>(C13+D13)-E13</f>
        <v>1803545</v>
      </c>
      <c r="G13" s="680">
        <v>5</v>
      </c>
      <c r="H13" s="618">
        <v>1206420</v>
      </c>
      <c r="I13" s="618">
        <v>108919</v>
      </c>
      <c r="J13" s="618">
        <v>2541</v>
      </c>
      <c r="K13" s="1441">
        <f>(H13+I13)-J13</f>
        <v>1312798</v>
      </c>
      <c r="L13" s="1441">
        <f>F13-K13</f>
        <v>490747</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c r="D15" s="1770"/>
      <c r="E15" s="1770"/>
      <c r="F15" s="1764">
        <f>(C15+D15)-E15</f>
        <v>0</v>
      </c>
      <c r="G15" s="684" t="s">
        <v>857</v>
      </c>
      <c r="H15" s="631"/>
      <c r="I15" s="631"/>
      <c r="J15" s="631"/>
      <c r="K15" s="631"/>
      <c r="L15" s="1441">
        <f>F15-K15</f>
        <v>0</v>
      </c>
    </row>
    <row r="16" spans="1:14" ht="15" customHeight="1" thickTop="1" thickBot="1" x14ac:dyDescent="0.25">
      <c r="A16" s="1437" t="s">
        <v>638</v>
      </c>
      <c r="B16" s="1438">
        <v>200</v>
      </c>
      <c r="C16" s="1764">
        <f>SUM(C3,C5:C6,C8:C10,C12:C15)</f>
        <v>5544662</v>
      </c>
      <c r="D16" s="1764">
        <f>SUM(D3,D5:D6,D8:D10,D12:D15)</f>
        <v>63371</v>
      </c>
      <c r="E16" s="1764">
        <f>SUM(E3,E5:E6,E8:E10,E12:E15)</f>
        <v>2541</v>
      </c>
      <c r="F16" s="1764">
        <f>SUM(F3,F5:F6,F8:F10,F12:F15)</f>
        <v>5605492</v>
      </c>
      <c r="G16" s="680"/>
      <c r="H16" s="1434">
        <f>SUM(H3,H6,H8:H10,H12:H14,)</f>
        <v>3207156</v>
      </c>
      <c r="I16" s="1434">
        <f>SUM(I3,I6,I8:I10,I12:I14,)</f>
        <v>184702</v>
      </c>
      <c r="J16" s="1434">
        <f>SUM(J3,J6,J8:J10,J12:J14,)</f>
        <v>2541</v>
      </c>
      <c r="K16" s="1434">
        <f>(H16+I16)-J16</f>
        <v>3389317</v>
      </c>
      <c r="L16" s="1434">
        <f>F16-K16</f>
        <v>2216175</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1883</v>
      </c>
      <c r="G17" s="675">
        <v>10</v>
      </c>
      <c r="H17" s="620"/>
      <c r="I17" s="1441">
        <f>F17/G17</f>
        <v>188.3</v>
      </c>
      <c r="J17" s="620"/>
      <c r="K17" s="637"/>
      <c r="L17" s="637"/>
    </row>
    <row r="18" spans="1:12" ht="14.25" thickTop="1" thickBot="1" x14ac:dyDescent="0.25">
      <c r="A18" s="1439" t="s">
        <v>680</v>
      </c>
      <c r="B18" s="1440"/>
      <c r="C18" s="622"/>
      <c r="D18" s="622"/>
      <c r="E18" s="622"/>
      <c r="F18" s="685"/>
      <c r="G18" s="686"/>
      <c r="H18" s="623"/>
      <c r="I18" s="1434">
        <f>SUM(I16,I17)</f>
        <v>184890.3</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topLeftCell="A190" colorId="8" zoomScale="110" zoomScaleNormal="110" workbookViewId="0">
      <selection activeCell="F172" sqref="F172"/>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0"/>
      <c r="I1" s="700"/>
    </row>
    <row r="2" spans="1:9" ht="15" customHeight="1" thickBot="1" x14ac:dyDescent="0.25">
      <c r="A2" s="2369" t="s">
        <v>474</v>
      </c>
      <c r="B2" s="2370"/>
      <c r="C2" s="2370"/>
      <c r="D2" s="2370"/>
      <c r="E2" s="2370"/>
      <c r="F2" s="2371"/>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6459292</v>
      </c>
      <c r="G8" s="700"/>
    </row>
    <row r="9" spans="1:9" x14ac:dyDescent="0.2">
      <c r="A9" s="704" t="s">
        <v>457</v>
      </c>
      <c r="B9" s="705" t="s">
        <v>1848</v>
      </c>
      <c r="C9" s="706"/>
      <c r="D9" s="704" t="s">
        <v>498</v>
      </c>
      <c r="E9" s="703"/>
      <c r="F9" s="1774">
        <f>'Expenditures 15-22'!K151</f>
        <v>575085</v>
      </c>
      <c r="G9" s="707"/>
    </row>
    <row r="10" spans="1:9" x14ac:dyDescent="0.2">
      <c r="A10" s="704" t="s">
        <v>496</v>
      </c>
      <c r="B10" s="705" t="s">
        <v>1849</v>
      </c>
      <c r="C10" s="706"/>
      <c r="D10" s="704" t="s">
        <v>498</v>
      </c>
      <c r="E10" s="703"/>
      <c r="F10" s="1774">
        <f>'Expenditures 15-22'!K174</f>
        <v>430056</v>
      </c>
      <c r="G10" s="707"/>
    </row>
    <row r="11" spans="1:9" x14ac:dyDescent="0.2">
      <c r="A11" s="704" t="s">
        <v>458</v>
      </c>
      <c r="B11" s="705" t="s">
        <v>1850</v>
      </c>
      <c r="C11" s="706"/>
      <c r="D11" s="704" t="s">
        <v>498</v>
      </c>
      <c r="E11" s="703"/>
      <c r="F11" s="1774">
        <f>'Expenditures 15-22'!K210</f>
        <v>126149</v>
      </c>
      <c r="G11" s="707"/>
    </row>
    <row r="12" spans="1:9" x14ac:dyDescent="0.2">
      <c r="A12" s="704" t="s">
        <v>459</v>
      </c>
      <c r="B12" s="705" t="s">
        <v>1851</v>
      </c>
      <c r="C12" s="706"/>
      <c r="D12" s="704" t="s">
        <v>498</v>
      </c>
      <c r="E12" s="703"/>
      <c r="F12" s="1774">
        <f>'Expenditures 15-22'!K295</f>
        <v>207944</v>
      </c>
      <c r="G12" s="707"/>
    </row>
    <row r="13" spans="1:9" x14ac:dyDescent="0.2">
      <c r="A13" s="704" t="s">
        <v>106</v>
      </c>
      <c r="B13" s="705" t="s">
        <v>1852</v>
      </c>
      <c r="C13" s="706"/>
      <c r="D13" s="704" t="s">
        <v>498</v>
      </c>
      <c r="E13" s="703"/>
      <c r="F13" s="1774">
        <f>'Expenditures 15-22'!K342</f>
        <v>0</v>
      </c>
      <c r="G13" s="708"/>
    </row>
    <row r="14" spans="1:9" ht="12" customHeight="1" thickBot="1" x14ac:dyDescent="0.25">
      <c r="A14" s="1442"/>
      <c r="B14" s="1443"/>
      <c r="C14" s="1444"/>
      <c r="D14" s="1445" t="s">
        <v>498</v>
      </c>
      <c r="E14" s="1446" t="s">
        <v>952</v>
      </c>
      <c r="F14" s="1775">
        <f>SUM(F8:F13)</f>
        <v>7798526</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98259</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7802</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38930</v>
      </c>
      <c r="G52" s="700"/>
    </row>
    <row r="53" spans="1:7" x14ac:dyDescent="0.2">
      <c r="A53" s="704" t="s">
        <v>456</v>
      </c>
      <c r="B53" s="704" t="s">
        <v>1458</v>
      </c>
      <c r="C53" s="723">
        <f>'Expenditures 15-22'!B102</f>
        <v>4000</v>
      </c>
      <c r="D53" s="722" t="str">
        <f>'Expenditures 15-22'!A102</f>
        <v>Total Payments to Other Govt Units</v>
      </c>
      <c r="E53" s="703"/>
      <c r="F53" s="1781">
        <f>'Expenditures 15-22'!K102</f>
        <v>733763</v>
      </c>
      <c r="G53" s="700"/>
    </row>
    <row r="54" spans="1:7" x14ac:dyDescent="0.2">
      <c r="A54" s="704" t="s">
        <v>456</v>
      </c>
      <c r="B54" s="704" t="s">
        <v>1459</v>
      </c>
      <c r="C54" s="723" t="s">
        <v>975</v>
      </c>
      <c r="D54" s="719" t="s">
        <v>1086</v>
      </c>
      <c r="E54" s="703"/>
      <c r="F54" s="1781">
        <f>'Expenditures 15-22'!G114</f>
        <v>58199</v>
      </c>
      <c r="G54" s="700"/>
    </row>
    <row r="55" spans="1:7" x14ac:dyDescent="0.2">
      <c r="A55" s="704" t="s">
        <v>456</v>
      </c>
      <c r="B55" s="704" t="s">
        <v>1460</v>
      </c>
      <c r="C55" s="723" t="s">
        <v>975</v>
      </c>
      <c r="D55" s="719" t="s">
        <v>288</v>
      </c>
      <c r="E55" s="703"/>
      <c r="F55" s="1781">
        <f>'Expenditures 15-22'!I114</f>
        <v>0</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5171</v>
      </c>
      <c r="G58" s="700"/>
    </row>
    <row r="59" spans="1:7" x14ac:dyDescent="0.2">
      <c r="A59" s="727" t="s">
        <v>457</v>
      </c>
      <c r="B59" s="691" t="s">
        <v>1855</v>
      </c>
      <c r="C59" s="728" t="s">
        <v>975</v>
      </c>
      <c r="D59" s="691" t="s">
        <v>288</v>
      </c>
      <c r="F59" s="1784">
        <f>'Expenditures 15-22'!I151</f>
        <v>1883</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223669</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4390</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129</v>
      </c>
      <c r="G71" s="700"/>
    </row>
    <row r="72" spans="1:9" x14ac:dyDescent="0.2">
      <c r="A72" s="704" t="s">
        <v>459</v>
      </c>
      <c r="B72" s="704" t="s">
        <v>1867</v>
      </c>
      <c r="C72" s="720">
        <f>'Expenditures 15-22'!B280</f>
        <v>3000</v>
      </c>
      <c r="D72" s="711" t="s">
        <v>446</v>
      </c>
      <c r="E72" s="703"/>
      <c r="F72" s="1781">
        <f>'Expenditures 15-22'!K280</f>
        <v>5411</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1177606</v>
      </c>
      <c r="G77" s="700"/>
    </row>
    <row r="78" spans="1:9" s="727" customFormat="1" ht="12" customHeight="1" thickTop="1" thickBot="1" x14ac:dyDescent="0.25">
      <c r="A78" s="1449"/>
      <c r="B78" s="1447"/>
      <c r="C78" s="1444"/>
      <c r="D78" s="1448" t="s">
        <v>2012</v>
      </c>
      <c r="E78" s="1446"/>
      <c r="F78" s="1787">
        <f>(F14-F77)</f>
        <v>6620920</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475.4</v>
      </c>
      <c r="G79" s="732"/>
      <c r="H79" s="704"/>
      <c r="I79" s="704"/>
    </row>
    <row r="80" spans="1:9" s="727" customFormat="1" ht="12" customHeight="1" thickBot="1" x14ac:dyDescent="0.25">
      <c r="A80" s="1451"/>
      <c r="B80" s="1447"/>
      <c r="C80" s="1444"/>
      <c r="D80" s="1448" t="s">
        <v>2013</v>
      </c>
      <c r="E80" s="1446" t="s">
        <v>952</v>
      </c>
      <c r="F80" s="1789">
        <f>IF(F79&gt;0,F78/F79," Complete Line 79")</f>
        <v>13927.050904501473</v>
      </c>
      <c r="G80" s="704"/>
    </row>
    <row r="81" spans="1:7" s="727" customFormat="1" ht="8.25" customHeight="1" thickTop="1" x14ac:dyDescent="0.2">
      <c r="A81" s="733"/>
      <c r="B81" s="704"/>
      <c r="C81" s="706"/>
      <c r="D81" s="734"/>
      <c r="E81" s="703"/>
      <c r="F81" s="1790"/>
      <c r="G81" s="704"/>
    </row>
    <row r="82" spans="1:7" s="727" customFormat="1" ht="12" thickBot="1" x14ac:dyDescent="0.25">
      <c r="A82" s="2363" t="s">
        <v>1096</v>
      </c>
      <c r="B82" s="2364"/>
      <c r="C82" s="2364"/>
      <c r="D82" s="2364"/>
      <c r="E82" s="2364"/>
      <c r="F82" s="2365"/>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0</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23897</v>
      </c>
      <c r="G95" s="744"/>
    </row>
    <row r="96" spans="1:7" x14ac:dyDescent="0.2">
      <c r="A96" s="740" t="s">
        <v>139</v>
      </c>
      <c r="B96" s="740" t="s">
        <v>174</v>
      </c>
      <c r="C96" s="742">
        <v>1700</v>
      </c>
      <c r="D96" s="750" t="str">
        <f>'Revenues 9-14'!A82</f>
        <v>Total District/School Activity Income</v>
      </c>
      <c r="E96" s="738"/>
      <c r="F96" s="1792">
        <f>SUM('Revenues 9-14'!C82,'Revenues 9-14'!D82)</f>
        <v>8342</v>
      </c>
      <c r="G96" s="744"/>
    </row>
    <row r="97" spans="1:7" x14ac:dyDescent="0.2">
      <c r="A97" s="740" t="s">
        <v>456</v>
      </c>
      <c r="B97" s="740" t="s">
        <v>175</v>
      </c>
      <c r="C97" s="742">
        <f>'Revenues 9-14'!B84</f>
        <v>1811</v>
      </c>
      <c r="D97" s="743" t="str">
        <f>'Revenues 9-14'!A84</f>
        <v>Rentals - Regular Textbooks</v>
      </c>
      <c r="E97" s="738"/>
      <c r="F97" s="1792">
        <f>'Revenues 9-14'!C84</f>
        <v>47383</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9080</v>
      </c>
      <c r="G101" s="744"/>
    </row>
    <row r="102" spans="1:7" x14ac:dyDescent="0.2">
      <c r="A102" s="740" t="s">
        <v>139</v>
      </c>
      <c r="B102" s="740" t="s">
        <v>180</v>
      </c>
      <c r="C102" s="742">
        <f>'Revenues 9-14'!B95</f>
        <v>1910</v>
      </c>
      <c r="D102" s="743" t="str">
        <f>'Revenues 9-14'!A95</f>
        <v>Rentals</v>
      </c>
      <c r="E102" s="738"/>
      <c r="F102" s="1792">
        <f>SUM('Revenues 9-14'!C95:D95)</f>
        <v>2514</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57410</v>
      </c>
      <c r="G105" s="744"/>
    </row>
    <row r="106" spans="1:7" x14ac:dyDescent="0.2">
      <c r="A106" s="740" t="s">
        <v>500</v>
      </c>
      <c r="B106" s="740" t="s">
        <v>1910</v>
      </c>
      <c r="C106" s="745">
        <v>3100</v>
      </c>
      <c r="D106" s="751" t="str">
        <f>'Revenues 9-14'!A132</f>
        <v>Total Special Education</v>
      </c>
      <c r="E106" s="738"/>
      <c r="F106" s="1792">
        <f>SUM('Revenues 9-14'!C132:D132,'Revenues 9-14'!F132)</f>
        <v>32793</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866</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58808</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76611</v>
      </c>
      <c r="G126" s="762"/>
    </row>
    <row r="127" spans="1:7" x14ac:dyDescent="0.2">
      <c r="A127" s="759" t="s">
        <v>663</v>
      </c>
      <c r="B127" s="759" t="s">
        <v>1931</v>
      </c>
      <c r="C127" s="764">
        <v>4300</v>
      </c>
      <c r="D127" s="765" t="str">
        <f>'Revenues 9-14'!A204</f>
        <v>Total Title I</v>
      </c>
      <c r="E127" s="738"/>
      <c r="F127" s="1792">
        <f>SUM('Revenues 9-14'!C204,'Revenues 9-14'!D204,'Revenues 9-14'!F204,'Revenues 9-14'!G204)</f>
        <v>73170</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0</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99922</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16806</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6461</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5880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8492</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62780</v>
      </c>
      <c r="G171" s="759"/>
    </row>
    <row r="172" spans="1:7" x14ac:dyDescent="0.2">
      <c r="A172" s="1528" t="s">
        <v>5</v>
      </c>
      <c r="B172" s="1529" t="s">
        <v>1885</v>
      </c>
      <c r="C172" s="1530">
        <v>3100</v>
      </c>
      <c r="D172" s="1531" t="s">
        <v>1887</v>
      </c>
      <c r="E172" s="738"/>
      <c r="F172" s="1793">
        <v>211791</v>
      </c>
      <c r="G172" s="759"/>
    </row>
    <row r="173" spans="1:7" x14ac:dyDescent="0.2">
      <c r="A173" s="1528" t="s">
        <v>659</v>
      </c>
      <c r="B173" s="1529" t="s">
        <v>1885</v>
      </c>
      <c r="C173" s="1530">
        <v>3300</v>
      </c>
      <c r="D173" s="1531" t="s">
        <v>1888</v>
      </c>
      <c r="E173" s="738"/>
      <c r="F173" s="1793">
        <v>17398</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820404</v>
      </c>
    </row>
    <row r="176" spans="1:7" ht="12" customHeight="1" x14ac:dyDescent="0.2">
      <c r="A176" s="1442"/>
      <c r="B176" s="1452"/>
      <c r="C176" s="1453"/>
      <c r="D176" s="1454" t="s">
        <v>2014</v>
      </c>
      <c r="E176" s="1455"/>
      <c r="F176" s="1792">
        <f>'PCTC-OEPP 27-28'!F78-F175</f>
        <v>5800516</v>
      </c>
    </row>
    <row r="177" spans="1:9" ht="12" customHeight="1" x14ac:dyDescent="0.2">
      <c r="A177" s="1442"/>
      <c r="B177" s="1452"/>
      <c r="C177" s="1453"/>
      <c r="D177" s="1454" t="s">
        <v>1794</v>
      </c>
      <c r="E177" s="1455"/>
      <c r="F177" s="1792">
        <f>'Cap Outlay Deprec 26'!I18</f>
        <v>184890.3</v>
      </c>
    </row>
    <row r="178" spans="1:9" ht="12" customHeight="1" x14ac:dyDescent="0.2">
      <c r="A178" s="1442"/>
      <c r="B178" s="1452"/>
      <c r="C178" s="1453"/>
      <c r="D178" s="1454" t="s">
        <v>2015</v>
      </c>
      <c r="E178" s="1455"/>
      <c r="F178" s="1792">
        <f>F176+F177</f>
        <v>5985406.2999999998</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475.4</v>
      </c>
      <c r="G179" s="762"/>
      <c r="I179" s="700"/>
    </row>
    <row r="180" spans="1:9" ht="12" customHeight="1" thickBot="1" x14ac:dyDescent="0.25">
      <c r="A180" s="1442"/>
      <c r="B180" s="1456"/>
      <c r="C180" s="1453"/>
      <c r="D180" s="1454" t="s">
        <v>2017</v>
      </c>
      <c r="E180" s="1455" t="s">
        <v>1528</v>
      </c>
      <c r="F180" s="1797">
        <f>F178/F179</f>
        <v>12590.253050063106</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10" zoomScaleNormal="100" workbookViewId="0">
      <selection activeCell="D19" sqref="D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6" t="s">
        <v>1796</v>
      </c>
      <c r="B6" s="1867"/>
      <c r="C6" s="1868"/>
      <c r="D6" s="1868"/>
      <c r="E6" s="1868"/>
      <c r="F6" s="1869"/>
    </row>
    <row r="7" spans="1:6" ht="47.25" customHeight="1" x14ac:dyDescent="0.25">
      <c r="A7" s="2383" t="s">
        <v>1985</v>
      </c>
      <c r="B7" s="2384"/>
      <c r="C7" s="2384"/>
      <c r="D7" s="2384"/>
      <c r="E7" s="2384"/>
      <c r="F7" s="2385"/>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2" t="s">
        <v>1982</v>
      </c>
      <c r="B12" s="1873"/>
      <c r="C12" s="1874"/>
      <c r="D12" s="1874"/>
      <c r="E12" s="1874"/>
      <c r="F12" s="1875"/>
    </row>
    <row r="13" spans="1:6" ht="17.25" customHeight="1" x14ac:dyDescent="0.25">
      <c r="A13" s="2383" t="s">
        <v>1983</v>
      </c>
      <c r="B13" s="2384"/>
      <c r="C13" s="2384"/>
      <c r="D13" s="2384"/>
      <c r="E13" s="2384"/>
      <c r="F13" s="2385"/>
    </row>
    <row r="14" spans="1:6" ht="15" customHeight="1" x14ac:dyDescent="0.25">
      <c r="A14" s="1872" t="s">
        <v>1800</v>
      </c>
      <c r="B14" s="1873"/>
      <c r="C14" s="1874"/>
      <c r="D14" s="1874"/>
      <c r="E14" s="1874"/>
      <c r="F14" s="1875"/>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4" t="s">
        <v>2087</v>
      </c>
      <c r="B18" s="1907">
        <v>102560400</v>
      </c>
      <c r="C18" s="2035" t="s">
        <v>2088</v>
      </c>
      <c r="D18" s="1885">
        <v>90780</v>
      </c>
      <c r="E18" s="1905" t="str">
        <f t="shared" ref="E18:E81" si="0">IF(D18&lt;25000,D18,"25,000")</f>
        <v>25,000</v>
      </c>
      <c r="F18" s="1905">
        <f t="shared" ref="F18:F81" si="1">IF(D18&gt;=25000,(D18-E18),"0")</f>
        <v>65780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90780</v>
      </c>
      <c r="E142" s="1892">
        <f>SUM(E18:E141)</f>
        <v>0</v>
      </c>
      <c r="F142" s="1893">
        <f>SUM(F18:F141)</f>
        <v>65780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9" t="s">
        <v>1660</v>
      </c>
      <c r="B5" s="2390"/>
      <c r="C5" s="2390"/>
      <c r="D5" s="2390"/>
      <c r="E5" s="2390"/>
      <c r="F5" s="2390"/>
      <c r="G5" s="2391"/>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v>89726</v>
      </c>
      <c r="F10" s="804"/>
      <c r="G10" s="805"/>
      <c r="H10" s="156"/>
      <c r="I10" s="156"/>
    </row>
    <row r="11" spans="1:13" s="541"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0">
        <v>13270</v>
      </c>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3963365</v>
      </c>
      <c r="F19" s="1801"/>
      <c r="G19" s="1803">
        <f>'Expenditures 15-22'!K33-SUM('Expenditures 15-22'!G33,'Expenditures 15-22'!I33)+'Expenditures 15-22'!D229</f>
        <v>3963365</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305749</v>
      </c>
      <c r="F21" s="1804"/>
      <c r="G21" s="1807">
        <f>'Expenditures 15-22'!K42-SUM('Expenditures 15-22'!G42,'Expenditures 15-22'!I42)+'Expenditures 15-22'!K120-SUM('Expenditures 15-22'!G120,'Expenditures 15-22'!I120)+'Expenditures 15-22'!K180-SUM('Expenditures 15-22'!G180,'Expenditures 15-22'!I180)+'Expenditures 15-22'!D238</f>
        <v>305749</v>
      </c>
      <c r="H21" s="816"/>
      <c r="I21" s="156"/>
    </row>
    <row r="22" spans="1:9" s="541" customFormat="1" ht="12" customHeight="1" x14ac:dyDescent="0.2">
      <c r="A22" s="823" t="s">
        <v>560</v>
      </c>
      <c r="B22" s="824"/>
      <c r="C22" s="822">
        <v>2200</v>
      </c>
      <c r="D22" s="1804"/>
      <c r="E22" s="1806">
        <f>'Expenditures 15-22'!K47-SUM('Expenditures 15-22'!G47,'Expenditures 15-22'!I47)+'Expenditures 15-22'!D243</f>
        <v>234422</v>
      </c>
      <c r="F22" s="1804"/>
      <c r="G22" s="1807">
        <f>'Expenditures 15-22'!K47-SUM('Expenditures 15-22'!G47,'Expenditures 15-22'!I47)+'Expenditures 15-22'!D243</f>
        <v>234422</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442507</v>
      </c>
      <c r="F23" s="1804"/>
      <c r="G23" s="1806">
        <f>'Expenditures 15-22'!K53-SUM('Expenditures 15-22'!G53,'Expenditures 15-22'!I53)+'Expenditures 15-22'!D257+'Expenditures 15-22'!K330-SUM('Expenditures 15-22'!G330,'Expenditures 15-22'!I330)</f>
        <v>442507</v>
      </c>
      <c r="H23" s="816"/>
      <c r="I23" s="156"/>
    </row>
    <row r="24" spans="1:9" s="541" customFormat="1" ht="12" customHeight="1" x14ac:dyDescent="0.2">
      <c r="A24" s="823" t="s">
        <v>562</v>
      </c>
      <c r="B24" s="824"/>
      <c r="C24" s="822">
        <v>2400</v>
      </c>
      <c r="D24" s="1804"/>
      <c r="E24" s="1806">
        <f>'Expenditures 15-22'!K57-SUM('Expenditures 15-22'!G57,'Expenditures 15-22'!I57)+'Expenditures 15-22'!D261</f>
        <v>458006</v>
      </c>
      <c r="F24" s="1804"/>
      <c r="G24" s="1807">
        <f>'Expenditures 15-22'!K57-SUM('Expenditures 15-22'!G57,'Expenditures 15-22'!I57)+'Expenditures 15-22'!D261</f>
        <v>458006</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195180</v>
      </c>
      <c r="E27" s="1806">
        <f>E8</f>
        <v>0</v>
      </c>
      <c r="F27" s="1806">
        <f>'Expenditures 15-22'!K60-SUM('Expenditures 15-22'!G60,'Expenditures 15-22'!I60)+'Expenditures 15-22'!D264-E8</f>
        <v>195180</v>
      </c>
      <c r="G27" s="1807">
        <f>E8</f>
        <v>0</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607530</v>
      </c>
      <c r="F28" s="1808">
        <f>'Expenditures 15-22'!K61-SUM('Expenditures 15-22'!G61,'Expenditures 15-22'!I61)+'Expenditures 15-22'!K124-SUM('Expenditures 15-22'!G124,'Expenditures 15-22'!I124)+'Expenditures 15-22'!D266-E9</f>
        <v>607530</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126149</v>
      </c>
      <c r="F29" s="1804"/>
      <c r="G29" s="1807">
        <f>'Expenditures 15-22'!K62-SUM('Expenditures 15-22'!G62,'Expenditures 15-22'!I62)+'Expenditures 15-22'!K125-SUM('Expenditures 15-22'!G125,'Expenditures 15-22'!I125)+'Expenditures 15-22'!K182-SUM('Expenditures 15-22'!G182,'Expenditures 15-22'!I182)+'Expenditures 15-22'!D267</f>
        <v>126149</v>
      </c>
      <c r="H29" s="814"/>
    </row>
    <row r="30" spans="1:9" ht="12" customHeight="1" x14ac:dyDescent="0.2">
      <c r="A30" s="823" t="s">
        <v>100</v>
      </c>
      <c r="B30" s="826"/>
      <c r="C30" s="822">
        <v>2560</v>
      </c>
      <c r="D30" s="1804"/>
      <c r="E30" s="1806">
        <f>'Expenditures 15-22'!K63-SUM('Expenditures 15-22'!G63,'Expenditures 15-22'!I63)+'Expenditures 15-22'!D268-E10</f>
        <v>98519</v>
      </c>
      <c r="F30" s="1804"/>
      <c r="G30" s="1806">
        <f>'Expenditures 15-22'!K63-SUM('Expenditures 15-22'!G63,'Expenditures 15-22'!I63)+'Expenditures 15-22'!D268-E10</f>
        <v>98519</v>
      </c>
    </row>
    <row r="31" spans="1:9" ht="12" customHeight="1" x14ac:dyDescent="0.2">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44341</v>
      </c>
      <c r="F39" s="1804"/>
      <c r="G39" s="1806">
        <f>'Expenditures 15-22'!K75-SUM('Expenditures 15-22'!G75,'Expenditures 15-22'!I75)+'Expenditures 15-22'!K130-SUM('Expenditures 15-22'!G130,'Expenditures 15-22'!I130)+'Expenditures 15-22'!K185-SUM('Expenditures 15-22'!G185,'Expenditures 15-22'!I185)+'Expenditures 15-22'!D280</f>
        <v>44341</v>
      </c>
    </row>
    <row r="40" spans="1:7" ht="12" customHeight="1" x14ac:dyDescent="0.2">
      <c r="A40" s="819" t="s">
        <v>1798</v>
      </c>
      <c r="B40" s="820"/>
      <c r="C40" s="822"/>
      <c r="D40" s="1804"/>
      <c r="E40" s="1808">
        <f>-'Contracts Paid in CY 29'!F142</f>
        <v>-65780</v>
      </c>
      <c r="F40" s="1804"/>
      <c r="G40" s="1808">
        <f>-'Contracts Paid in CY 29'!F142</f>
        <v>-65780</v>
      </c>
    </row>
    <row r="41" spans="1:7" ht="12" customHeight="1" x14ac:dyDescent="0.2">
      <c r="A41" s="827" t="s">
        <v>155</v>
      </c>
      <c r="B41" s="828"/>
      <c r="C41" s="829"/>
      <c r="D41" s="1808">
        <f>SUM(D19:D39)</f>
        <v>195180</v>
      </c>
      <c r="E41" s="1808">
        <f>SUM(E19:E40)</f>
        <v>6214808</v>
      </c>
      <c r="F41" s="1808">
        <f>SUM(F19:F39)</f>
        <v>802710</v>
      </c>
      <c r="G41" s="1808">
        <f>SUM(G19:G40)</f>
        <v>5607278</v>
      </c>
    </row>
    <row r="42" spans="1:7" x14ac:dyDescent="0.2">
      <c r="A42" s="816"/>
      <c r="B42" s="156"/>
      <c r="C42" s="830"/>
      <c r="D42" s="2392" t="s">
        <v>519</v>
      </c>
      <c r="E42" s="2393"/>
      <c r="F42" s="831" t="s">
        <v>520</v>
      </c>
      <c r="G42" s="832"/>
    </row>
    <row r="43" spans="1:7" ht="12" customHeight="1" x14ac:dyDescent="0.2">
      <c r="A43" s="816"/>
      <c r="B43" s="156"/>
      <c r="C43" s="830"/>
      <c r="D43" s="1457" t="s">
        <v>470</v>
      </c>
      <c r="E43" s="1809">
        <f>D41</f>
        <v>195180</v>
      </c>
      <c r="F43" s="1457" t="s">
        <v>470</v>
      </c>
      <c r="G43" s="1809">
        <f>F41</f>
        <v>802710</v>
      </c>
    </row>
    <row r="44" spans="1:7" ht="12" customHeight="1" x14ac:dyDescent="0.2">
      <c r="A44" s="816"/>
      <c r="B44" s="156"/>
      <c r="C44" s="830"/>
      <c r="D44" s="1457" t="s">
        <v>471</v>
      </c>
      <c r="E44" s="1809">
        <f>E41</f>
        <v>6214808</v>
      </c>
      <c r="F44" s="1457" t="s">
        <v>471</v>
      </c>
      <c r="G44" s="1809">
        <f>G41</f>
        <v>5607278</v>
      </c>
    </row>
    <row r="45" spans="1:7" ht="12" customHeight="1" x14ac:dyDescent="0.2">
      <c r="A45" s="816"/>
      <c r="B45" s="156"/>
      <c r="C45" s="156"/>
      <c r="D45" s="1458" t="s">
        <v>999</v>
      </c>
      <c r="E45" s="1810">
        <f>(E43/E44)</f>
        <v>3.140563634467871E-2</v>
      </c>
      <c r="F45" s="1458" t="s">
        <v>999</v>
      </c>
      <c r="G45" s="1810">
        <f>(G43/G44)</f>
        <v>0.14315502102802821</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sheetPr>
  <dimension ref="A1:O97"/>
  <sheetViews>
    <sheetView showGridLines="0" zoomScale="110" zoomScaleNormal="110" workbookViewId="0">
      <selection activeCell="A2" sqref="A2:F4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1" t="s">
        <v>1363</v>
      </c>
      <c r="B1" s="2411"/>
      <c r="C1" s="2411"/>
      <c r="D1" s="2411"/>
      <c r="E1" s="2411"/>
      <c r="F1" s="2411"/>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2" t="s">
        <v>1529</v>
      </c>
      <c r="B5" s="2413"/>
      <c r="C5" s="2414"/>
      <c r="D5" s="2414"/>
      <c r="E5" s="2414"/>
      <c r="F5" s="2414"/>
      <c r="G5" s="1506"/>
      <c r="L5" s="1506"/>
      <c r="M5" s="1854"/>
      <c r="N5" s="1854"/>
      <c r="O5" s="1854"/>
    </row>
    <row r="6" spans="1:15" ht="12" customHeight="1" x14ac:dyDescent="0.25">
      <c r="A6" s="1479"/>
      <c r="B6" s="1480"/>
      <c r="C6" s="2415" t="str">
        <f>COVER!A17</f>
        <v xml:space="preserve">  Komarek SD 94</v>
      </c>
      <c r="D6" s="2415"/>
      <c r="E6" s="2415"/>
      <c r="F6" s="1481"/>
      <c r="G6" s="1506"/>
      <c r="L6" s="1506"/>
      <c r="M6" s="1854"/>
      <c r="N6" s="1854"/>
      <c r="O6" s="1854"/>
    </row>
    <row r="7" spans="1:15" ht="11.25" customHeight="1" thickBot="1" x14ac:dyDescent="0.3">
      <c r="A7" s="1479"/>
      <c r="B7" s="1480"/>
      <c r="C7" s="2416" t="str">
        <f>COVER!A13</f>
        <v xml:space="preserve">06016094002  </v>
      </c>
      <c r="D7" s="2416"/>
      <c r="E7" s="2416"/>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2051</v>
      </c>
      <c r="D19" s="1494" t="s">
        <v>2051</v>
      </c>
      <c r="E19" s="1497" t="s">
        <v>2051</v>
      </c>
      <c r="F19" s="1496" t="s">
        <v>2082</v>
      </c>
      <c r="G19" s="1506"/>
      <c r="H19" s="1506">
        <f t="shared" si="0"/>
        <v>5</v>
      </c>
      <c r="I19" s="1506">
        <f t="shared" si="1"/>
        <v>5</v>
      </c>
      <c r="J19" s="1506">
        <f t="shared" si="2"/>
        <v>5</v>
      </c>
      <c r="L19" s="1506"/>
      <c r="M19" s="1854"/>
      <c r="N19" s="1854"/>
      <c r="O19" s="1854"/>
    </row>
    <row r="20" spans="1:15" ht="12" customHeight="1" x14ac:dyDescent="0.2">
      <c r="A20" s="1492" t="s">
        <v>1511</v>
      </c>
      <c r="B20" s="1493"/>
      <c r="C20" s="1494" t="s">
        <v>2051</v>
      </c>
      <c r="D20" s="1494" t="s">
        <v>2051</v>
      </c>
      <c r="E20" s="1497" t="s">
        <v>2051</v>
      </c>
      <c r="F20" s="1496" t="s">
        <v>2083</v>
      </c>
      <c r="G20" s="1506"/>
      <c r="H20" s="1506">
        <f t="shared" si="0"/>
        <v>5</v>
      </c>
      <c r="I20" s="1506">
        <f t="shared" si="1"/>
        <v>5</v>
      </c>
      <c r="J20" s="1506">
        <f t="shared" si="2"/>
        <v>5</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t="s">
        <v>2084</v>
      </c>
      <c r="D32" s="1494" t="s">
        <v>2084</v>
      </c>
      <c r="E32" s="1497" t="s">
        <v>2084</v>
      </c>
      <c r="F32" s="1496" t="s">
        <v>2085</v>
      </c>
      <c r="G32" s="1506"/>
      <c r="H32" s="1506">
        <f t="shared" si="0"/>
        <v>5</v>
      </c>
      <c r="I32" s="1506">
        <f t="shared" si="1"/>
        <v>5</v>
      </c>
      <c r="J32" s="1506">
        <f t="shared" si="2"/>
        <v>5</v>
      </c>
      <c r="L32" s="1506"/>
      <c r="M32" s="1854"/>
      <c r="N32" s="1854"/>
      <c r="O32" s="1854"/>
    </row>
    <row r="33" spans="1:15" ht="12" customHeight="1" x14ac:dyDescent="0.2">
      <c r="A33" s="1492" t="s">
        <v>1524</v>
      </c>
      <c r="B33" s="1493"/>
      <c r="C33" s="1494" t="s">
        <v>2084</v>
      </c>
      <c r="D33" s="1494" t="s">
        <v>2084</v>
      </c>
      <c r="E33" s="1497" t="s">
        <v>2084</v>
      </c>
      <c r="F33" s="1496" t="s">
        <v>2086</v>
      </c>
      <c r="G33" s="1506"/>
      <c r="H33" s="1506">
        <f t="shared" si="0"/>
        <v>5</v>
      </c>
      <c r="I33" s="1506">
        <f t="shared" si="1"/>
        <v>5</v>
      </c>
      <c r="J33" s="1506">
        <f t="shared" si="2"/>
        <v>5</v>
      </c>
      <c r="L33" s="1506"/>
      <c r="M33" s="1854"/>
      <c r="N33" s="1854"/>
      <c r="O33" s="1854"/>
    </row>
    <row r="34" spans="1:15" ht="12" customHeight="1" x14ac:dyDescent="0.25">
      <c r="A34" s="1498"/>
      <c r="B34" s="1498"/>
      <c r="C34" s="1498"/>
      <c r="D34" s="1498"/>
      <c r="E34" s="1498"/>
      <c r="F34" s="1498"/>
      <c r="G34" s="1506"/>
      <c r="H34" s="1506">
        <f>SUM(H11:H32)</f>
        <v>15</v>
      </c>
      <c r="I34" s="1506">
        <f>SUM(I11:I32)</f>
        <v>15</v>
      </c>
      <c r="J34" s="1506">
        <f>SUM(J11:J32)</f>
        <v>15</v>
      </c>
      <c r="K34" s="1506">
        <f>SUM(H34:J34)</f>
        <v>45</v>
      </c>
      <c r="L34" s="1506"/>
      <c r="M34" s="1854"/>
      <c r="N34" s="1854"/>
      <c r="O34" s="1854"/>
    </row>
    <row r="35" spans="1:15" ht="12" customHeight="1" x14ac:dyDescent="0.2">
      <c r="A35" s="1499" t="s">
        <v>1376</v>
      </c>
      <c r="B35" s="1500"/>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1"/>
      <c r="B39" s="1501"/>
      <c r="C39" s="1501"/>
      <c r="D39" s="1501"/>
      <c r="E39" s="1501"/>
      <c r="F39" s="1501"/>
    </row>
    <row r="40" spans="1:15" s="1498" customFormat="1" ht="12" customHeight="1" x14ac:dyDescent="0.25">
      <c r="A40" s="1502" t="s">
        <v>1375</v>
      </c>
      <c r="B40" s="1503"/>
      <c r="C40" s="2406"/>
      <c r="D40" s="2406"/>
      <c r="E40" s="2406"/>
      <c r="F40" s="2407"/>
      <c r="H40" s="1507"/>
      <c r="I40" s="1507"/>
      <c r="J40" s="1507"/>
      <c r="K40" s="1507"/>
    </row>
    <row r="41" spans="1:15" s="1498" customFormat="1" ht="12" customHeight="1" x14ac:dyDescent="0.25">
      <c r="A41" s="2408"/>
      <c r="B41" s="2409"/>
      <c r="C41" s="2409"/>
      <c r="D41" s="2409"/>
      <c r="E41" s="2409"/>
      <c r="F41" s="2410"/>
      <c r="H41" s="1507"/>
      <c r="I41" s="1507"/>
      <c r="J41" s="1507"/>
      <c r="K41" s="1507"/>
    </row>
    <row r="42" spans="1:15" s="1498" customFormat="1" ht="12" customHeight="1" x14ac:dyDescent="0.25">
      <c r="A42" s="2408"/>
      <c r="B42" s="2409"/>
      <c r="C42" s="2409"/>
      <c r="D42" s="2409"/>
      <c r="E42" s="2409"/>
      <c r="F42" s="2410"/>
      <c r="H42" s="1507"/>
      <c r="I42" s="1507"/>
      <c r="J42" s="1507"/>
      <c r="K42" s="1507"/>
    </row>
    <row r="43" spans="1:15" s="1498" customFormat="1" ht="15" x14ac:dyDescent="0.25">
      <c r="A43" s="2397"/>
      <c r="B43" s="2398"/>
      <c r="C43" s="2398"/>
      <c r="D43" s="2398"/>
      <c r="E43" s="2398"/>
      <c r="F43" s="2399"/>
      <c r="H43" s="1507"/>
      <c r="I43" s="1507"/>
      <c r="J43" s="1507"/>
      <c r="K43" s="1507"/>
    </row>
    <row r="44" spans="1:15" s="1498" customFormat="1" ht="12" hidden="1" customHeight="1" x14ac:dyDescent="0.25">
      <c r="A44" s="2397"/>
      <c r="B44" s="2398"/>
      <c r="C44" s="2398"/>
      <c r="D44" s="2398"/>
      <c r="E44" s="2398"/>
      <c r="F44" s="239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FF33"/>
    <pageSetUpPr fitToPage="1"/>
  </sheetPr>
  <dimension ref="A1:N83"/>
  <sheetViews>
    <sheetView showGridLines="0" topLeftCell="A70" zoomScaleNormal="100" workbookViewId="0">
      <selection activeCell="I15" sqref="I15"/>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7"/>
      <c r="C2" s="837"/>
      <c r="D2" s="837"/>
      <c r="E2" s="837"/>
      <c r="F2" s="837"/>
      <c r="G2" s="1922" t="s">
        <v>2002</v>
      </c>
      <c r="H2" s="1919"/>
      <c r="I2" s="837"/>
      <c r="J2" s="837"/>
      <c r="K2" s="837"/>
      <c r="L2" s="837"/>
      <c r="M2" s="837"/>
      <c r="N2" s="1997"/>
    </row>
    <row r="3" spans="1:14" x14ac:dyDescent="0.2">
      <c r="A3" s="1996"/>
      <c r="B3" s="837"/>
      <c r="C3" s="837"/>
      <c r="D3" s="837"/>
      <c r="E3" s="837"/>
      <c r="F3" s="837"/>
      <c r="G3" s="1922" t="s">
        <v>403</v>
      </c>
      <c r="H3" s="837"/>
      <c r="I3" s="837"/>
      <c r="J3" s="837"/>
      <c r="K3" s="837"/>
      <c r="L3" s="837"/>
      <c r="M3" s="837"/>
      <c r="N3" s="1997"/>
    </row>
    <row r="4" spans="1:14" x14ac:dyDescent="0.2">
      <c r="A4" s="1996"/>
      <c r="B4" s="837"/>
      <c r="C4" s="837"/>
      <c r="D4" s="837"/>
      <c r="E4" s="837"/>
      <c r="F4" s="837"/>
      <c r="G4" s="1922" t="s">
        <v>863</v>
      </c>
      <c r="H4" s="837"/>
      <c r="I4" s="837"/>
      <c r="J4" s="837"/>
      <c r="K4" s="837"/>
      <c r="L4" s="837"/>
      <c r="M4" s="837"/>
      <c r="N4" s="1997"/>
    </row>
    <row r="5" spans="1:14" x14ac:dyDescent="0.2">
      <c r="A5" s="1996"/>
      <c r="B5" s="837"/>
      <c r="C5" s="837"/>
      <c r="D5" s="837"/>
      <c r="E5" s="837"/>
      <c r="F5" s="1922"/>
      <c r="G5" s="1922"/>
      <c r="H5" s="837"/>
      <c r="I5" s="837"/>
      <c r="J5" s="837"/>
      <c r="K5" s="837"/>
      <c r="L5" s="837"/>
      <c r="M5" s="837"/>
      <c r="N5" s="1997"/>
    </row>
    <row r="6" spans="1:14" x14ac:dyDescent="0.2">
      <c r="A6" s="1998" t="s">
        <v>667</v>
      </c>
      <c r="B6" s="1376"/>
      <c r="C6" s="1376"/>
      <c r="D6" s="1376"/>
      <c r="E6" s="1377"/>
      <c r="F6" s="1921"/>
      <c r="G6" s="1922"/>
      <c r="H6" s="837"/>
      <c r="I6" s="1923" t="s">
        <v>1021</v>
      </c>
      <c r="J6" s="2437" t="str">
        <f>COVER!A17</f>
        <v xml:space="preserve">  Komarek SD 94</v>
      </c>
      <c r="K6" s="2437"/>
      <c r="L6" s="2451"/>
      <c r="M6" s="837"/>
      <c r="N6" s="1997"/>
    </row>
    <row r="7" spans="1:14" x14ac:dyDescent="0.2">
      <c r="A7" s="2452" t="s">
        <v>864</v>
      </c>
      <c r="B7" s="2453"/>
      <c r="C7" s="2453"/>
      <c r="D7" s="2453"/>
      <c r="E7" s="2454"/>
      <c r="F7" s="838"/>
      <c r="G7" s="837"/>
      <c r="H7" s="837"/>
      <c r="I7" s="1923" t="s">
        <v>369</v>
      </c>
      <c r="J7" s="2439" t="str">
        <f>COVER!A13</f>
        <v xml:space="preserve">06016094002  </v>
      </c>
      <c r="K7" s="2439"/>
      <c r="L7" s="2439"/>
      <c r="M7" s="837"/>
      <c r="N7" s="1997"/>
    </row>
    <row r="8" spans="1:14" x14ac:dyDescent="0.2">
      <c r="A8" s="1999"/>
      <c r="B8" s="1924"/>
      <c r="C8" s="1924"/>
      <c r="D8" s="1924"/>
      <c r="E8" s="1925"/>
      <c r="F8" s="1926"/>
      <c r="G8" s="1911"/>
      <c r="H8" s="1911"/>
      <c r="I8" s="1911"/>
      <c r="J8" s="1911"/>
      <c r="K8" s="1911"/>
      <c r="L8" s="1911"/>
      <c r="M8" s="837"/>
      <c r="N8" s="1997"/>
    </row>
    <row r="9" spans="1:14" x14ac:dyDescent="0.2">
      <c r="A9" s="2000"/>
      <c r="B9" s="839"/>
      <c r="C9" s="839"/>
      <c r="D9" s="840"/>
      <c r="E9" s="1927" t="s">
        <v>2018</v>
      </c>
      <c r="F9" s="1856"/>
      <c r="G9" s="1856"/>
      <c r="H9" s="1856"/>
      <c r="I9" s="1928" t="s">
        <v>2019</v>
      </c>
      <c r="J9" s="1856"/>
      <c r="K9" s="1856"/>
      <c r="L9" s="1857"/>
      <c r="M9" s="837"/>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7"/>
      <c r="N10" s="1997"/>
    </row>
    <row r="11" spans="1:14" ht="51" x14ac:dyDescent="0.2">
      <c r="A11" s="2455" t="s">
        <v>478</v>
      </c>
      <c r="B11" s="2456"/>
      <c r="C11" s="2457"/>
      <c r="D11" s="1936" t="s">
        <v>866</v>
      </c>
      <c r="E11" s="1936" t="s">
        <v>64</v>
      </c>
      <c r="F11" s="1936" t="s">
        <v>6</v>
      </c>
      <c r="G11" s="1937" t="s">
        <v>2020</v>
      </c>
      <c r="H11" s="1938" t="s">
        <v>155</v>
      </c>
      <c r="I11" s="1936" t="s">
        <v>64</v>
      </c>
      <c r="J11" s="1936" t="s">
        <v>6</v>
      </c>
      <c r="K11" s="1937" t="s">
        <v>2001</v>
      </c>
      <c r="L11" s="1938" t="s">
        <v>155</v>
      </c>
      <c r="M11" s="837"/>
      <c r="N11" s="1997"/>
    </row>
    <row r="12" spans="1:14" x14ac:dyDescent="0.2">
      <c r="A12" s="2002">
        <v>1</v>
      </c>
      <c r="B12" s="1939" t="s">
        <v>813</v>
      </c>
      <c r="C12" s="841"/>
      <c r="D12" s="1940">
        <v>2320</v>
      </c>
      <c r="E12" s="1943">
        <f>'Expenditures 15-22'!K50</f>
        <v>224170</v>
      </c>
      <c r="F12" s="1941"/>
      <c r="G12" s="1967">
        <f>G68</f>
        <v>0</v>
      </c>
      <c r="H12" s="1943">
        <f t="shared" ref="H12:H18" si="0">SUM(E12:G12)</f>
        <v>224170</v>
      </c>
      <c r="I12" s="1942">
        <v>206406</v>
      </c>
      <c r="J12" s="1941"/>
      <c r="K12" s="1942"/>
      <c r="L12" s="1943">
        <f t="shared" ref="L12:L18" si="1">SUM(I12:K12)</f>
        <v>206406</v>
      </c>
      <c r="M12" s="837"/>
      <c r="N12" s="1997"/>
    </row>
    <row r="13" spans="1:14" x14ac:dyDescent="0.2">
      <c r="A13" s="2002">
        <v>2</v>
      </c>
      <c r="B13" s="1939" t="s">
        <v>42</v>
      </c>
      <c r="C13" s="841"/>
      <c r="D13" s="1940">
        <v>2330</v>
      </c>
      <c r="E13" s="1943">
        <f>'Expenditures 15-22'!K51</f>
        <v>0</v>
      </c>
      <c r="F13" s="1941"/>
      <c r="G13" s="1967">
        <f>H68</f>
        <v>0</v>
      </c>
      <c r="H13" s="1943">
        <f t="shared" si="0"/>
        <v>0</v>
      </c>
      <c r="I13" s="1942"/>
      <c r="J13" s="1941"/>
      <c r="K13" s="1942"/>
      <c r="L13" s="1943">
        <f t="shared" si="1"/>
        <v>0</v>
      </c>
      <c r="M13" s="837"/>
      <c r="N13" s="1997"/>
    </row>
    <row r="14" spans="1:14" x14ac:dyDescent="0.2">
      <c r="A14" s="2002">
        <v>3</v>
      </c>
      <c r="B14" s="1939" t="s">
        <v>43</v>
      </c>
      <c r="C14" s="841"/>
      <c r="D14" s="1944">
        <v>2490</v>
      </c>
      <c r="E14" s="1943">
        <f>'Expenditures 15-22'!K56</f>
        <v>100554</v>
      </c>
      <c r="F14" s="1941"/>
      <c r="G14" s="1967">
        <f>I68</f>
        <v>0</v>
      </c>
      <c r="H14" s="1943">
        <f t="shared" si="0"/>
        <v>100554</v>
      </c>
      <c r="I14" s="1942">
        <v>0</v>
      </c>
      <c r="J14" s="1941"/>
      <c r="K14" s="1942"/>
      <c r="L14" s="1943">
        <f t="shared" si="1"/>
        <v>0</v>
      </c>
      <c r="M14" s="837"/>
      <c r="N14" s="1997"/>
    </row>
    <row r="15" spans="1:14" x14ac:dyDescent="0.2">
      <c r="A15" s="2002">
        <v>4</v>
      </c>
      <c r="B15" s="1939" t="s">
        <v>1059</v>
      </c>
      <c r="C15" s="841"/>
      <c r="D15" s="1940">
        <v>2510</v>
      </c>
      <c r="E15" s="1943">
        <f>'Expenditures 15-22'!K59</f>
        <v>0</v>
      </c>
      <c r="F15" s="1943">
        <f>'Expenditures 15-22'!K122</f>
        <v>0</v>
      </c>
      <c r="G15" s="1967">
        <f>J68</f>
        <v>0</v>
      </c>
      <c r="H15" s="1943">
        <f t="shared" si="0"/>
        <v>0</v>
      </c>
      <c r="I15" s="1942"/>
      <c r="J15" s="1942"/>
      <c r="K15" s="1942"/>
      <c r="L15" s="1943">
        <f t="shared" si="1"/>
        <v>0</v>
      </c>
      <c r="M15" s="837"/>
      <c r="N15" s="1997"/>
    </row>
    <row r="16" spans="1:14" x14ac:dyDescent="0.2">
      <c r="A16" s="2002">
        <v>5</v>
      </c>
      <c r="B16" s="1939" t="s">
        <v>101</v>
      </c>
      <c r="C16" s="841"/>
      <c r="D16" s="1940">
        <v>2570</v>
      </c>
      <c r="E16" s="1943">
        <f>'Expenditures 15-22'!K64</f>
        <v>0</v>
      </c>
      <c r="F16" s="1941"/>
      <c r="G16" s="1967">
        <f>K68</f>
        <v>0</v>
      </c>
      <c r="H16" s="1943">
        <f t="shared" si="0"/>
        <v>0</v>
      </c>
      <c r="I16" s="1942"/>
      <c r="J16" s="1941"/>
      <c r="K16" s="1942"/>
      <c r="L16" s="1943">
        <f t="shared" si="1"/>
        <v>0</v>
      </c>
      <c r="M16" s="837"/>
      <c r="N16" s="1997"/>
    </row>
    <row r="17" spans="1:14" x14ac:dyDescent="0.2">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x14ac:dyDescent="0.2">
      <c r="A18" s="2003">
        <v>7</v>
      </c>
      <c r="B18" s="2458" t="s">
        <v>7</v>
      </c>
      <c r="C18" s="2459"/>
      <c r="D18" s="2460"/>
      <c r="E18" s="1945"/>
      <c r="F18" s="1945"/>
      <c r="G18" s="1942"/>
      <c r="H18" s="1946">
        <f t="shared" si="0"/>
        <v>0</v>
      </c>
      <c r="I18" s="1942"/>
      <c r="J18" s="1942"/>
      <c r="K18" s="1942"/>
      <c r="L18" s="1943">
        <f t="shared" si="1"/>
        <v>0</v>
      </c>
      <c r="M18" s="837"/>
      <c r="N18" s="1997"/>
    </row>
    <row r="19" spans="1:14" ht="13.5" thickBot="1" x14ac:dyDescent="0.25">
      <c r="A19" s="2002">
        <v>8</v>
      </c>
      <c r="B19" s="1947" t="s">
        <v>1151</v>
      </c>
      <c r="C19" s="837"/>
      <c r="D19" s="1948"/>
      <c r="E19" s="1949">
        <f t="shared" ref="E19:L19" si="2">SUM(E12:E17)-E18</f>
        <v>324724</v>
      </c>
      <c r="F19" s="1949">
        <f t="shared" si="2"/>
        <v>0</v>
      </c>
      <c r="G19" s="1949">
        <f t="shared" ref="G19" si="3">SUM(G12:G17)-G18</f>
        <v>0</v>
      </c>
      <c r="H19" s="1949">
        <f t="shared" si="2"/>
        <v>324724</v>
      </c>
      <c r="I19" s="1949">
        <f t="shared" si="2"/>
        <v>206406</v>
      </c>
      <c r="J19" s="1949">
        <f t="shared" si="2"/>
        <v>0</v>
      </c>
      <c r="K19" s="1949">
        <f t="shared" si="2"/>
        <v>0</v>
      </c>
      <c r="L19" s="1949">
        <f t="shared" si="2"/>
        <v>206406</v>
      </c>
      <c r="M19" s="837"/>
      <c r="N19" s="1997"/>
    </row>
    <row r="20" spans="1:14" ht="13.5" thickTop="1" x14ac:dyDescent="0.2">
      <c r="A20" s="2002">
        <v>9</v>
      </c>
      <c r="B20" s="2461" t="s">
        <v>2021</v>
      </c>
      <c r="C20" s="2461"/>
      <c r="D20" s="2462"/>
      <c r="E20" s="1950"/>
      <c r="F20" s="1950"/>
      <c r="G20" s="1950"/>
      <c r="H20" s="1950"/>
      <c r="I20" s="1950"/>
      <c r="J20" s="1950"/>
      <c r="K20" s="1950"/>
      <c r="L20" s="1951">
        <f>IF(AND(H19&gt;0,L19&gt;0),(((L19-H19)/H19)),"Enter Budget Data")</f>
        <v>-0.36436481442702112</v>
      </c>
      <c r="M20" s="837"/>
      <c r="N20" s="1997"/>
    </row>
    <row r="21" spans="1:14" x14ac:dyDescent="0.2">
      <c r="A21" s="2004" t="s">
        <v>194</v>
      </c>
      <c r="B21" s="2005" t="s">
        <v>2046</v>
      </c>
      <c r="C21" s="837"/>
      <c r="D21" s="1952"/>
      <c r="E21" s="1953"/>
      <c r="F21" s="1954"/>
      <c r="G21" s="1954"/>
      <c r="H21" s="1954"/>
      <c r="I21" s="1954"/>
      <c r="J21" s="1954"/>
      <c r="K21" s="1954"/>
      <c r="L21" s="1955"/>
      <c r="M21" s="837"/>
      <c r="N21" s="1997"/>
    </row>
    <row r="22" spans="1:14" x14ac:dyDescent="0.2">
      <c r="A22" s="1996"/>
      <c r="B22" s="2006"/>
      <c r="C22" s="837"/>
      <c r="D22" s="837"/>
      <c r="E22" s="837"/>
      <c r="F22" s="837"/>
      <c r="G22" s="837"/>
      <c r="H22" s="837"/>
      <c r="I22" s="837"/>
      <c r="J22" s="837"/>
      <c r="K22" s="837"/>
      <c r="L22" s="837"/>
      <c r="M22" s="837"/>
      <c r="N22" s="1997"/>
    </row>
    <row r="23" spans="1:14" x14ac:dyDescent="0.2">
      <c r="A23" s="2007" t="s">
        <v>132</v>
      </c>
      <c r="B23" s="2006"/>
      <c r="C23" s="837"/>
      <c r="D23" s="837"/>
      <c r="E23" s="837"/>
      <c r="F23" s="837"/>
      <c r="G23" s="837"/>
      <c r="H23" s="837"/>
      <c r="I23" s="837"/>
      <c r="J23" s="837"/>
      <c r="K23" s="837"/>
      <c r="L23" s="837"/>
      <c r="M23" s="837"/>
      <c r="N23" s="1997"/>
    </row>
    <row r="24" spans="1:14" x14ac:dyDescent="0.2">
      <c r="A24" s="2008" t="s">
        <v>2022</v>
      </c>
      <c r="B24" s="2009"/>
      <c r="C24" s="2010"/>
      <c r="D24" s="2010"/>
      <c r="E24" s="2010"/>
      <c r="F24" s="2010"/>
      <c r="G24" s="2010"/>
      <c r="H24" s="2010"/>
      <c r="I24" s="2010"/>
      <c r="J24" s="2010"/>
      <c r="K24" s="2010"/>
      <c r="L24" s="837"/>
      <c r="M24" s="837"/>
      <c r="N24" s="1997"/>
    </row>
    <row r="25" spans="1:14" x14ac:dyDescent="0.2">
      <c r="A25" s="2008" t="s">
        <v>2023</v>
      </c>
      <c r="B25" s="2009"/>
      <c r="C25" s="2010"/>
      <c r="D25" s="2010"/>
      <c r="E25" s="2010"/>
      <c r="F25" s="2010"/>
      <c r="G25" s="2010"/>
      <c r="H25" s="2010"/>
      <c r="I25" s="2010"/>
      <c r="J25" s="2010"/>
      <c r="K25" s="2010"/>
      <c r="L25" s="837"/>
      <c r="M25" s="837"/>
      <c r="N25" s="1997"/>
    </row>
    <row r="26" spans="1:14" x14ac:dyDescent="0.2">
      <c r="A26" s="2011"/>
      <c r="B26" s="2006"/>
      <c r="C26" s="837"/>
      <c r="D26" s="837"/>
      <c r="E26" s="837"/>
      <c r="F26" s="837"/>
      <c r="G26" s="837"/>
      <c r="H26" s="837"/>
      <c r="I26" s="837"/>
      <c r="J26" s="837"/>
      <c r="K26" s="837"/>
      <c r="L26" s="837"/>
      <c r="M26" s="837"/>
      <c r="N26" s="1997"/>
    </row>
    <row r="27" spans="1:14" x14ac:dyDescent="0.2">
      <c r="A27" s="1996"/>
      <c r="B27" s="2006"/>
      <c r="C27" s="2463"/>
      <c r="D27" s="2463"/>
      <c r="E27" s="842"/>
      <c r="F27" s="2464"/>
      <c r="G27" s="2464"/>
      <c r="H27" s="2464"/>
      <c r="I27" s="837"/>
      <c r="J27" s="837"/>
      <c r="K27" s="837"/>
      <c r="L27" s="837"/>
      <c r="M27" s="837"/>
      <c r="N27" s="1997"/>
    </row>
    <row r="28" spans="1:14" x14ac:dyDescent="0.2">
      <c r="A28" s="1996"/>
      <c r="B28" s="2006"/>
      <c r="C28" s="1956" t="s">
        <v>1026</v>
      </c>
      <c r="D28" s="843"/>
      <c r="E28" s="1957"/>
      <c r="F28" s="2465" t="s">
        <v>1492</v>
      </c>
      <c r="G28" s="2465"/>
      <c r="H28" s="2465"/>
      <c r="I28" s="837"/>
      <c r="J28" s="837"/>
      <c r="K28" s="837"/>
      <c r="L28" s="837"/>
      <c r="M28" s="837"/>
      <c r="N28" s="1997"/>
    </row>
    <row r="29" spans="1:14" x14ac:dyDescent="0.2">
      <c r="A29" s="1996"/>
      <c r="B29" s="2006"/>
      <c r="C29" s="2466"/>
      <c r="D29" s="2466"/>
      <c r="E29" s="844"/>
      <c r="F29" s="2466"/>
      <c r="G29" s="2466"/>
      <c r="H29" s="2466"/>
      <c r="I29" s="837"/>
      <c r="J29" s="837"/>
      <c r="K29" s="837"/>
      <c r="L29" s="837"/>
      <c r="M29" s="837"/>
      <c r="N29" s="1997"/>
    </row>
    <row r="30" spans="1:14" x14ac:dyDescent="0.2">
      <c r="A30" s="1996"/>
      <c r="B30" s="2006"/>
      <c r="C30" s="1959" t="s">
        <v>1544</v>
      </c>
      <c r="D30" s="837"/>
      <c r="E30" s="1958"/>
      <c r="F30" s="2450" t="s">
        <v>1493</v>
      </c>
      <c r="G30" s="2450"/>
      <c r="H30" s="2450"/>
      <c r="I30" s="837"/>
      <c r="J30" s="837"/>
      <c r="K30" s="837"/>
      <c r="L30" s="837"/>
      <c r="M30" s="837"/>
      <c r="N30" s="1997"/>
    </row>
    <row r="31" spans="1:14" x14ac:dyDescent="0.2">
      <c r="A31" s="1996"/>
      <c r="B31" s="2006"/>
      <c r="C31" s="2012"/>
      <c r="D31" s="837"/>
      <c r="E31" s="1952"/>
      <c r="F31" s="1953"/>
      <c r="G31" s="1953"/>
      <c r="H31" s="1953"/>
      <c r="I31" s="837"/>
      <c r="J31" s="837"/>
      <c r="K31" s="837"/>
      <c r="L31" s="837"/>
      <c r="M31" s="837"/>
      <c r="N31" s="1997"/>
    </row>
    <row r="32" spans="1:14" x14ac:dyDescent="0.2">
      <c r="A32" s="1996"/>
      <c r="B32" s="2013" t="s">
        <v>1027</v>
      </c>
      <c r="C32" s="837"/>
      <c r="D32" s="837"/>
      <c r="E32" s="837"/>
      <c r="F32" s="837"/>
      <c r="G32" s="837"/>
      <c r="H32" s="837"/>
      <c r="I32" s="837"/>
      <c r="J32" s="837"/>
      <c r="K32" s="837"/>
      <c r="L32" s="837"/>
      <c r="M32" s="837"/>
      <c r="N32" s="1997"/>
    </row>
    <row r="33" spans="1:14" x14ac:dyDescent="0.2">
      <c r="A33" s="1996"/>
      <c r="B33" s="2014"/>
      <c r="C33" s="837"/>
      <c r="D33" s="837"/>
      <c r="E33" s="837"/>
      <c r="F33" s="837"/>
      <c r="G33" s="837"/>
      <c r="H33" s="837"/>
      <c r="I33" s="837"/>
      <c r="J33" s="837"/>
      <c r="K33" s="837"/>
      <c r="L33" s="837"/>
      <c r="M33" s="837"/>
      <c r="N33" s="1997"/>
    </row>
    <row r="34" spans="1:14" x14ac:dyDescent="0.2">
      <c r="A34" s="1996"/>
      <c r="B34" s="845"/>
      <c r="C34" s="2427" t="s">
        <v>2024</v>
      </c>
      <c r="D34" s="2428"/>
      <c r="E34" s="2428"/>
      <c r="F34" s="2428"/>
      <c r="G34" s="2428"/>
      <c r="H34" s="2428"/>
      <c r="I34" s="2428"/>
      <c r="J34" s="2428"/>
      <c r="K34" s="2015"/>
      <c r="L34" s="837"/>
      <c r="M34" s="837"/>
      <c r="N34" s="1997"/>
    </row>
    <row r="35" spans="1:14" x14ac:dyDescent="0.2">
      <c r="A35" s="1996"/>
      <c r="B35" s="837"/>
      <c r="C35" s="2428"/>
      <c r="D35" s="2428"/>
      <c r="E35" s="2428"/>
      <c r="F35" s="2428"/>
      <c r="G35" s="2428"/>
      <c r="H35" s="2428"/>
      <c r="I35" s="2428"/>
      <c r="J35" s="2428"/>
      <c r="K35" s="2015"/>
      <c r="L35" s="837"/>
      <c r="M35" s="837"/>
      <c r="N35" s="1997"/>
    </row>
    <row r="36" spans="1:14" x14ac:dyDescent="0.2">
      <c r="A36" s="1996"/>
      <c r="B36" s="837"/>
      <c r="C36" s="2016"/>
      <c r="D36" s="837"/>
      <c r="E36" s="837"/>
      <c r="F36" s="837"/>
      <c r="G36" s="837"/>
      <c r="H36" s="837"/>
      <c r="I36" s="837"/>
      <c r="J36" s="837"/>
      <c r="K36" s="837"/>
      <c r="L36" s="837"/>
      <c r="M36" s="837"/>
      <c r="N36" s="1997"/>
    </row>
    <row r="37" spans="1:14" x14ac:dyDescent="0.2">
      <c r="A37" s="1996"/>
      <c r="B37" s="845"/>
      <c r="C37" s="2427" t="s">
        <v>2025</v>
      </c>
      <c r="D37" s="2428"/>
      <c r="E37" s="2428"/>
      <c r="F37" s="2428"/>
      <c r="G37" s="2428"/>
      <c r="H37" s="2428"/>
      <c r="I37" s="2428"/>
      <c r="J37" s="2428"/>
      <c r="K37" s="2015"/>
      <c r="L37" s="2017"/>
      <c r="M37" s="837"/>
      <c r="N37" s="1997"/>
    </row>
    <row r="38" spans="1:14" x14ac:dyDescent="0.2">
      <c r="A38" s="1996"/>
      <c r="B38" s="837"/>
      <c r="C38" s="2428"/>
      <c r="D38" s="2428"/>
      <c r="E38" s="2428"/>
      <c r="F38" s="2428"/>
      <c r="G38" s="2428"/>
      <c r="H38" s="2428"/>
      <c r="I38" s="2428"/>
      <c r="J38" s="2428"/>
      <c r="K38" s="2015"/>
      <c r="L38" s="2017"/>
      <c r="M38" s="837"/>
      <c r="N38" s="1997"/>
    </row>
    <row r="39" spans="1:14" x14ac:dyDescent="0.2">
      <c r="A39" s="1996"/>
      <c r="B39" s="837"/>
      <c r="C39" s="2016"/>
      <c r="D39" s="837"/>
      <c r="E39" s="1960"/>
      <c r="F39" s="1961"/>
      <c r="G39" s="1961"/>
      <c r="H39" s="1960"/>
      <c r="I39" s="837"/>
      <c r="J39" s="837"/>
      <c r="K39" s="837"/>
      <c r="L39" s="837"/>
      <c r="M39" s="837"/>
      <c r="N39" s="1997"/>
    </row>
    <row r="40" spans="1:14" x14ac:dyDescent="0.2">
      <c r="A40" s="1996"/>
      <c r="B40" s="845"/>
      <c r="C40" s="2429" t="s">
        <v>2026</v>
      </c>
      <c r="D40" s="2430"/>
      <c r="E40" s="2430"/>
      <c r="F40" s="2430"/>
      <c r="G40" s="2430"/>
      <c r="H40" s="2430"/>
      <c r="I40" s="2430"/>
      <c r="J40" s="2430"/>
      <c r="K40" s="1962"/>
      <c r="L40" s="837"/>
      <c r="M40" s="837"/>
      <c r="N40" s="1997"/>
    </row>
    <row r="41" spans="1:14" x14ac:dyDescent="0.2">
      <c r="A41" s="1996"/>
      <c r="B41" s="837"/>
      <c r="C41" s="2018"/>
      <c r="D41" s="2018"/>
      <c r="E41" s="2018"/>
      <c r="F41" s="2018"/>
      <c r="G41" s="2018"/>
      <c r="H41" s="2018"/>
      <c r="I41" s="2018"/>
      <c r="J41" s="2018"/>
      <c r="K41" s="2018"/>
      <c r="L41" s="837"/>
      <c r="M41" s="837"/>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7" t="str">
        <f>J6</f>
        <v xml:space="preserve">  Komarek SD 94</v>
      </c>
      <c r="M52" s="2437"/>
      <c r="N52" s="2438"/>
    </row>
    <row r="53" spans="1:14" x14ac:dyDescent="0.2">
      <c r="A53" s="1981"/>
      <c r="B53" s="1982"/>
      <c r="C53" s="1982"/>
      <c r="D53" s="1982"/>
      <c r="E53" s="1982"/>
      <c r="F53" s="1982"/>
      <c r="G53" s="1982"/>
      <c r="H53" s="1982"/>
      <c r="I53" s="1982"/>
      <c r="J53" s="1982"/>
      <c r="K53" s="1923" t="s">
        <v>369</v>
      </c>
      <c r="L53" s="2439" t="str">
        <f>J7</f>
        <v xml:space="preserve">06016094002  </v>
      </c>
      <c r="M53" s="2439"/>
      <c r="N53" s="244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1"/>
      <c r="B55" s="2442"/>
      <c r="C55" s="2442"/>
      <c r="D55" s="1969"/>
      <c r="E55" s="1969"/>
      <c r="F55" s="1969"/>
      <c r="G55" s="2443" t="s">
        <v>2030</v>
      </c>
      <c r="H55" s="2443"/>
      <c r="I55" s="2443"/>
      <c r="J55" s="2443"/>
      <c r="K55" s="2443"/>
      <c r="L55" s="2443"/>
      <c r="M55" s="2443"/>
      <c r="N55" s="2444"/>
    </row>
    <row r="56" spans="1:14" ht="63.75" x14ac:dyDescent="0.2">
      <c r="A56" s="2445" t="s">
        <v>2031</v>
      </c>
      <c r="B56" s="2446"/>
      <c r="C56" s="244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8" t="s">
        <v>296</v>
      </c>
      <c r="B57" s="2449"/>
      <c r="C57" s="244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5" t="s">
        <v>2041</v>
      </c>
      <c r="B58" s="2426"/>
      <c r="C58" s="2426"/>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19" t="s">
        <v>297</v>
      </c>
      <c r="B59" s="2420"/>
      <c r="C59" s="2420"/>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19" t="s">
        <v>236</v>
      </c>
      <c r="B60" s="2420"/>
      <c r="C60" s="2420"/>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19" t="s">
        <v>697</v>
      </c>
      <c r="B61" s="2420"/>
      <c r="C61" s="2420"/>
      <c r="D61" s="1966">
        <v>2365</v>
      </c>
      <c r="E61" s="1976">
        <f>'Expenditures 15-22'!K323</f>
        <v>0</v>
      </c>
      <c r="F61" s="1971"/>
      <c r="G61" s="2030"/>
      <c r="H61" s="2031"/>
      <c r="I61" s="2031"/>
      <c r="J61" s="2031"/>
      <c r="K61" s="2031"/>
      <c r="L61" s="2031"/>
      <c r="M61" s="2031"/>
      <c r="N61" s="1974">
        <f t="shared" si="4"/>
        <v>0</v>
      </c>
    </row>
    <row r="62" spans="1:14" ht="24" customHeight="1" x14ac:dyDescent="0.2">
      <c r="A62" s="2419" t="s">
        <v>237</v>
      </c>
      <c r="B62" s="2420"/>
      <c r="C62" s="2420"/>
      <c r="D62" s="1966">
        <v>2366</v>
      </c>
      <c r="E62" s="1976">
        <f>'Expenditures 15-22'!K324</f>
        <v>0</v>
      </c>
      <c r="F62" s="1971"/>
      <c r="G62" s="2030"/>
      <c r="H62" s="2031"/>
      <c r="I62" s="2031"/>
      <c r="J62" s="2031"/>
      <c r="K62" s="2031"/>
      <c r="L62" s="2031"/>
      <c r="M62" s="2031"/>
      <c r="N62" s="1974">
        <f t="shared" si="4"/>
        <v>0</v>
      </c>
    </row>
    <row r="63" spans="1:14" ht="24" customHeight="1" x14ac:dyDescent="0.2">
      <c r="A63" s="2425" t="s">
        <v>1022</v>
      </c>
      <c r="B63" s="2426"/>
      <c r="C63" s="2426"/>
      <c r="D63" s="1966">
        <v>2367</v>
      </c>
      <c r="E63" s="1976">
        <f>'Expenditures 15-22'!K325</f>
        <v>0</v>
      </c>
      <c r="F63" s="1971"/>
      <c r="G63" s="2030"/>
      <c r="H63" s="2031"/>
      <c r="I63" s="2031"/>
      <c r="J63" s="2031"/>
      <c r="K63" s="2031"/>
      <c r="L63" s="2031"/>
      <c r="M63" s="2031"/>
      <c r="N63" s="1974">
        <f t="shared" si="4"/>
        <v>0</v>
      </c>
    </row>
    <row r="64" spans="1:14" ht="24" customHeight="1" x14ac:dyDescent="0.2">
      <c r="A64" s="2419" t="s">
        <v>1023</v>
      </c>
      <c r="B64" s="2420"/>
      <c r="C64" s="2420"/>
      <c r="D64" s="1966">
        <v>2368</v>
      </c>
      <c r="E64" s="1976">
        <f>'Expenditures 15-22'!K326</f>
        <v>0</v>
      </c>
      <c r="F64" s="1971"/>
      <c r="G64" s="2030"/>
      <c r="H64" s="2031"/>
      <c r="I64" s="2031"/>
      <c r="J64" s="2031"/>
      <c r="K64" s="2031"/>
      <c r="L64" s="2031"/>
      <c r="M64" s="2031"/>
      <c r="N64" s="1974">
        <f t="shared" si="4"/>
        <v>0</v>
      </c>
    </row>
    <row r="65" spans="1:14" ht="24" customHeight="1" x14ac:dyDescent="0.2">
      <c r="A65" s="2419" t="s">
        <v>965</v>
      </c>
      <c r="B65" s="2420"/>
      <c r="C65" s="2420"/>
      <c r="D65" s="1966">
        <v>2369</v>
      </c>
      <c r="E65" s="1976">
        <f>'Expenditures 15-22'!K327</f>
        <v>0</v>
      </c>
      <c r="F65" s="1971"/>
      <c r="G65" s="2030"/>
      <c r="H65" s="2031"/>
      <c r="I65" s="2031"/>
      <c r="J65" s="2031"/>
      <c r="K65" s="2031"/>
      <c r="L65" s="2031"/>
      <c r="M65" s="2031"/>
      <c r="N65" s="1974">
        <f t="shared" si="4"/>
        <v>0</v>
      </c>
    </row>
    <row r="66" spans="1:14" ht="24" customHeight="1" x14ac:dyDescent="0.2">
      <c r="A66" s="2419" t="s">
        <v>469</v>
      </c>
      <c r="B66" s="2420"/>
      <c r="C66" s="2420"/>
      <c r="D66" s="1966">
        <v>2371</v>
      </c>
      <c r="E66" s="1976">
        <f>'Expenditures 15-22'!K328</f>
        <v>0</v>
      </c>
      <c r="F66" s="1971"/>
      <c r="G66" s="2030"/>
      <c r="H66" s="2031"/>
      <c r="I66" s="2031"/>
      <c r="J66" s="2031"/>
      <c r="K66" s="2031"/>
      <c r="L66" s="2031"/>
      <c r="M66" s="2031"/>
      <c r="N66" s="1974">
        <f t="shared" si="4"/>
        <v>0</v>
      </c>
    </row>
    <row r="67" spans="1:14" ht="24.75" customHeight="1" x14ac:dyDescent="0.2">
      <c r="A67" s="2421" t="s">
        <v>2042</v>
      </c>
      <c r="B67" s="2422"/>
      <c r="C67" s="2422"/>
      <c r="D67" s="1968">
        <v>2372</v>
      </c>
      <c r="E67" s="1977">
        <f>'Expenditures 15-22'!K329</f>
        <v>0</v>
      </c>
      <c r="F67" s="1971"/>
      <c r="G67" s="2032"/>
      <c r="H67" s="2033"/>
      <c r="I67" s="2033"/>
      <c r="J67" s="2033"/>
      <c r="K67" s="2033"/>
      <c r="L67" s="2033"/>
      <c r="M67" s="2033"/>
      <c r="N67" s="1974">
        <f t="shared" si="4"/>
        <v>0</v>
      </c>
    </row>
    <row r="68" spans="1:14" x14ac:dyDescent="0.2">
      <c r="A68" s="2423" t="s">
        <v>1151</v>
      </c>
      <c r="B68" s="2424"/>
      <c r="C68" s="2424"/>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B65"/>
  <sheetViews>
    <sheetView showGridLines="0" zoomScale="110" zoomScaleNormal="110" workbookViewId="0">
      <selection activeCell="B11" sqref="B11"/>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2075</v>
      </c>
    </row>
    <row r="6" spans="1:2" x14ac:dyDescent="0.2">
      <c r="A6" s="846">
        <v>2</v>
      </c>
      <c r="B6" s="306" t="s">
        <v>2076</v>
      </c>
    </row>
    <row r="7" spans="1:2" x14ac:dyDescent="0.2">
      <c r="A7" s="846">
        <v>3</v>
      </c>
      <c r="B7" s="306" t="s">
        <v>2077</v>
      </c>
    </row>
    <row r="8" spans="1:2" x14ac:dyDescent="0.2">
      <c r="A8" s="846">
        <v>4</v>
      </c>
      <c r="B8" s="306" t="s">
        <v>2078</v>
      </c>
    </row>
    <row r="9" spans="1:2" x14ac:dyDescent="0.2">
      <c r="A9" s="846">
        <v>5</v>
      </c>
      <c r="B9" s="306" t="s">
        <v>2079</v>
      </c>
    </row>
    <row r="10" spans="1:2" x14ac:dyDescent="0.2">
      <c r="A10" s="846">
        <v>6</v>
      </c>
      <c r="B10" s="306" t="s">
        <v>2080</v>
      </c>
    </row>
    <row r="11" spans="1:2" x14ac:dyDescent="0.2">
      <c r="A11" s="846">
        <v>7</v>
      </c>
      <c r="B11" s="306" t="s">
        <v>2081</v>
      </c>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Komarek SD 94</v>
      </c>
    </row>
    <row r="65" spans="2:2" x14ac:dyDescent="0.2">
      <c r="B65" s="848" t="str">
        <f>COVER!A13</f>
        <v xml:space="preserve">06016094002  </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3" t="s">
        <v>1056</v>
      </c>
      <c r="B35" s="2153"/>
      <c r="C35" s="2153"/>
      <c r="D35" s="2153"/>
      <c r="E35" s="2153"/>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4" sqref="G14"/>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6</xdr:row>
                <xdr:rowOff>0</xdr:rowOff>
              </from>
              <to>
                <xdr:col>4</xdr:col>
                <xdr:colOff>304800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7</xdr:col>
                <xdr:colOff>0</xdr:colOff>
                <xdr:row>8</xdr:row>
                <xdr:rowOff>0</xdr:rowOff>
              </from>
              <to>
                <xdr:col>8</xdr:col>
                <xdr:colOff>304800</xdr:colOff>
                <xdr:row>12</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5"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2"/>
      <c r="H2" s="852"/>
    </row>
    <row r="3" spans="1:8" ht="57" customHeight="1" x14ac:dyDescent="0.2">
      <c r="A3" s="2481" t="s">
        <v>1972</v>
      </c>
      <c r="B3" s="2482"/>
      <c r="C3" s="2482"/>
      <c r="D3" s="2482"/>
      <c r="E3" s="2482"/>
      <c r="F3" s="2483"/>
      <c r="G3" s="852"/>
      <c r="H3" s="852"/>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2"/>
      <c r="H4" s="852"/>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2"/>
      <c r="H5" s="852"/>
    </row>
    <row r="6" spans="1:8" s="853" customFormat="1" ht="41.25" customHeight="1" x14ac:dyDescent="0.2">
      <c r="A6" s="2484" t="s">
        <v>1670</v>
      </c>
      <c r="B6" s="2485"/>
      <c r="C6" s="2485"/>
      <c r="D6" s="2485"/>
      <c r="E6" s="2485"/>
      <c r="F6" s="2486"/>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5870572</v>
      </c>
      <c r="C8" s="1812">
        <f>'Acct Summary 7-8'!D8</f>
        <v>598566</v>
      </c>
      <c r="D8" s="1812">
        <f>'Acct Summary 7-8'!F8</f>
        <v>159168</v>
      </c>
      <c r="E8" s="1812">
        <f>'Acct Summary 7-8'!I8</f>
        <v>40931</v>
      </c>
      <c r="F8" s="1812">
        <f>SUM(B8:E8)</f>
        <v>6669237</v>
      </c>
    </row>
    <row r="9" spans="1:8" s="857" customFormat="1" ht="14.25" customHeight="1" thickBot="1" x14ac:dyDescent="0.25">
      <c r="A9" s="856" t="s">
        <v>1353</v>
      </c>
      <c r="B9" s="1813">
        <f>'Acct Summary 7-8'!C17</f>
        <v>6459292</v>
      </c>
      <c r="C9" s="1813">
        <f>'Acct Summary 7-8'!D17</f>
        <v>575085</v>
      </c>
      <c r="D9" s="1813">
        <f>'Acct Summary 7-8'!F17</f>
        <v>126149</v>
      </c>
      <c r="E9" s="1812"/>
      <c r="F9" s="1812">
        <f>SUM(B9:E9)</f>
        <v>7160526</v>
      </c>
    </row>
    <row r="10" spans="1:8" s="857" customFormat="1" ht="14.25" thickTop="1" thickBot="1" x14ac:dyDescent="0.25">
      <c r="A10" s="858" t="s">
        <v>1354</v>
      </c>
      <c r="B10" s="1814">
        <f>(B8-B9)</f>
        <v>-588720</v>
      </c>
      <c r="C10" s="1814">
        <f>(C8-C9)</f>
        <v>23481</v>
      </c>
      <c r="D10" s="1814">
        <f>(D8-D9)</f>
        <v>33019</v>
      </c>
      <c r="E10" s="1813">
        <f>(E8-E9)</f>
        <v>40931</v>
      </c>
      <c r="F10" s="1815">
        <f>SUM(F8-F9)</f>
        <v>-491289</v>
      </c>
    </row>
    <row r="11" spans="1:8" s="857" customFormat="1" ht="14.25" thickTop="1" thickBot="1" x14ac:dyDescent="0.25">
      <c r="A11" s="859" t="s">
        <v>1903</v>
      </c>
      <c r="B11" s="1816">
        <f>'Acct Summary 7-8'!C81</f>
        <v>1176269</v>
      </c>
      <c r="C11" s="1816">
        <f>'Acct Summary 7-8'!D81</f>
        <v>934268</v>
      </c>
      <c r="D11" s="1816">
        <f>'Acct Summary 7-8'!F81</f>
        <v>236948</v>
      </c>
      <c r="E11" s="1816">
        <f>'Acct Summary 7-8'!I81</f>
        <v>41223</v>
      </c>
      <c r="F11" s="1817">
        <f>SUM(B11:E11)</f>
        <v>2388708</v>
      </c>
    </row>
    <row r="12" spans="1:8" ht="16.5" customHeight="1" thickTop="1" x14ac:dyDescent="0.2">
      <c r="A12" s="860"/>
      <c r="B12" s="861"/>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2"/>
      <c r="B13" s="863"/>
      <c r="C13" s="2472"/>
      <c r="D13" s="2473"/>
      <c r="E13" s="2473"/>
      <c r="F13" s="2474"/>
      <c r="H13" s="852"/>
    </row>
    <row r="14" spans="1:8" ht="19.5" customHeight="1" x14ac:dyDescent="0.2">
      <c r="A14" s="862"/>
      <c r="B14" s="863"/>
      <c r="C14" s="2472"/>
      <c r="D14" s="2473"/>
      <c r="E14" s="2473"/>
      <c r="F14" s="2474"/>
      <c r="H14" s="852"/>
    </row>
    <row r="15" spans="1:8" ht="17.25" customHeight="1" x14ac:dyDescent="0.2">
      <c r="A15" s="862"/>
      <c r="B15" s="863"/>
      <c r="C15" s="2475"/>
      <c r="D15" s="2476"/>
      <c r="E15" s="2476"/>
      <c r="F15" s="2477"/>
      <c r="H15" s="852"/>
    </row>
    <row r="16" spans="1:8" s="287" customFormat="1" ht="51.75" hidden="1" customHeight="1" x14ac:dyDescent="0.2">
      <c r="A16" s="2471" t="s">
        <v>1666</v>
      </c>
      <c r="B16" s="2471"/>
      <c r="C16" s="2471"/>
      <c r="D16" s="2471"/>
      <c r="E16" s="2471"/>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73" sqref="C7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3" t="s">
        <v>660</v>
      </c>
      <c r="B3" s="2494"/>
      <c r="C3" s="2494"/>
      <c r="D3" s="2495"/>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4" t="s">
        <v>1487</v>
      </c>
      <c r="D7" s="2505"/>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6" t="s">
        <v>1001</v>
      </c>
      <c r="B15" s="2497"/>
      <c r="C15" s="2497"/>
      <c r="D15" s="2498"/>
    </row>
    <row r="16" spans="1:4" s="541" customFormat="1" ht="24" customHeight="1" x14ac:dyDescent="0.2">
      <c r="A16" s="2499" t="s">
        <v>658</v>
      </c>
      <c r="B16" s="2500"/>
      <c r="C16" s="2500"/>
      <c r="D16" s="2501"/>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8" t="s">
        <v>311</v>
      </c>
      <c r="D21" s="2509"/>
    </row>
    <row r="22" spans="1:10" ht="12.75" x14ac:dyDescent="0.2">
      <c r="A22" s="917"/>
      <c r="B22" s="918">
        <v>2</v>
      </c>
      <c r="C22" s="2506" t="s">
        <v>1507</v>
      </c>
      <c r="D22" s="2507"/>
    </row>
    <row r="23" spans="1:10" ht="12.2" customHeight="1" x14ac:dyDescent="0.2">
      <c r="A23" s="917"/>
      <c r="B23" s="918"/>
      <c r="C23" s="919" t="s">
        <v>948</v>
      </c>
      <c r="D23" s="920" t="str">
        <f>IF(COVER!O11="X","CASH",IF(COVER!O12="X","ACCRUAL ","PLEASE CHECK AN ACCOUNTING BASIS."))</f>
        <v xml:space="preserve">ACCRUAL </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0" t="s">
        <v>533</v>
      </c>
      <c r="D43" s="2511"/>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2" t="s">
        <v>779</v>
      </c>
      <c r="D56" s="2503"/>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2" t="s">
        <v>1674</v>
      </c>
      <c r="D70" s="2503"/>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2" t="s">
        <v>1967</v>
      </c>
      <c r="F1" s="1542" t="s">
        <v>1968</v>
      </c>
      <c r="G1" s="1899" t="s">
        <v>1978</v>
      </c>
    </row>
    <row r="2" spans="1:7" ht="15.75" x14ac:dyDescent="0.25">
      <c r="A2" t="s">
        <v>260</v>
      </c>
      <c r="B2" s="134" t="str">
        <f>COVER!A13</f>
        <v xml:space="preserve">06016094002  </v>
      </c>
      <c r="E2" s="1541">
        <v>2020</v>
      </c>
      <c r="F2" s="1541">
        <v>1</v>
      </c>
      <c r="G2" s="1898">
        <v>101000300</v>
      </c>
    </row>
    <row r="3" spans="1:7" ht="15" x14ac:dyDescent="0.25">
      <c r="A3" t="s">
        <v>950</v>
      </c>
      <c r="B3" s="134" t="str">
        <f>COVER!A15</f>
        <v>Cook</v>
      </c>
      <c r="E3" s="1829" t="s">
        <v>1971</v>
      </c>
      <c r="F3" s="1829" t="s">
        <v>1970</v>
      </c>
      <c r="G3" s="1898">
        <v>101000400</v>
      </c>
    </row>
    <row r="4" spans="1:7" ht="15" x14ac:dyDescent="0.25">
      <c r="A4" t="s">
        <v>1000</v>
      </c>
      <c r="B4" s="134" t="str">
        <f>COVER!A17</f>
        <v xml:space="preserve">  Komarek SD 94</v>
      </c>
      <c r="E4" s="1827">
        <v>44119</v>
      </c>
      <c r="F4" s="1828">
        <v>44151</v>
      </c>
      <c r="G4" s="1898">
        <v>101000600</v>
      </c>
    </row>
    <row r="5" spans="1:7" ht="15" x14ac:dyDescent="0.25">
      <c r="A5" t="s">
        <v>699</v>
      </c>
      <c r="B5" s="134">
        <f>COVER!A38</f>
        <v>0</v>
      </c>
      <c r="G5" s="1898">
        <v>101000800</v>
      </c>
    </row>
    <row r="6" spans="1:7" ht="15" x14ac:dyDescent="0.25">
      <c r="A6" t="s">
        <v>704</v>
      </c>
      <c r="B6" s="134" t="str">
        <f>COVER!P35</f>
        <v>Proviso</v>
      </c>
      <c r="G6" s="1898">
        <v>102100300</v>
      </c>
    </row>
    <row r="7" spans="1:7" ht="15" x14ac:dyDescent="0.25">
      <c r="A7" t="s">
        <v>700</v>
      </c>
      <c r="B7" s="134" t="str">
        <f>COVER!I38</f>
        <v>Daniel Coglianese</v>
      </c>
      <c r="G7" s="1898">
        <v>102100400</v>
      </c>
    </row>
    <row r="8" spans="1:7" ht="15" x14ac:dyDescent="0.25">
      <c r="A8" t="s">
        <v>701</v>
      </c>
      <c r="B8" s="134">
        <f>COVER!T38</f>
        <v>0</v>
      </c>
      <c r="G8" s="1898">
        <v>102100600</v>
      </c>
    </row>
    <row r="9" spans="1:7" ht="15" x14ac:dyDescent="0.25">
      <c r="A9" s="3" t="s">
        <v>951</v>
      </c>
      <c r="B9" s="152" t="str">
        <f>AUDITCHECK!D23</f>
        <v xml:space="preserve">ACCRUAL </v>
      </c>
      <c r="G9" s="1898">
        <v>102100800</v>
      </c>
    </row>
    <row r="10" spans="1:7" ht="15" x14ac:dyDescent="0.25">
      <c r="A10" t="s">
        <v>970</v>
      </c>
      <c r="B10" s="134" t="str">
        <f>COVER!B5</f>
        <v>X</v>
      </c>
      <c r="G10" s="1898">
        <v>202100300</v>
      </c>
    </row>
    <row r="11" spans="1:7" ht="15" x14ac:dyDescent="0.25">
      <c r="A11" t="s">
        <v>971</v>
      </c>
      <c r="B11" s="134">
        <f>COVER!B6</f>
        <v>0</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t="str">
        <f>COVER!T23</f>
        <v>066-005340</v>
      </c>
      <c r="G15" s="1898">
        <v>402100400</v>
      </c>
    </row>
    <row r="16" spans="1:7" ht="15" x14ac:dyDescent="0.25">
      <c r="A16" t="s">
        <v>419</v>
      </c>
      <c r="B16" s="134" t="str">
        <f>COVER!T13</f>
        <v>Evans, Marshall and Pease, P.C.</v>
      </c>
      <c r="G16" s="1898">
        <v>402100600</v>
      </c>
    </row>
    <row r="17" spans="1:7" ht="15" x14ac:dyDescent="0.25">
      <c r="A17" t="s">
        <v>878</v>
      </c>
      <c r="B17" s="134" t="str">
        <f>COVER!T15</f>
        <v>Jeffery M. Rollefson, CPA</v>
      </c>
      <c r="G17" s="1898">
        <v>402100800</v>
      </c>
    </row>
    <row r="18" spans="1:7" ht="15" x14ac:dyDescent="0.25">
      <c r="A18" t="s">
        <v>1140</v>
      </c>
      <c r="B18" s="134" t="str">
        <f>COVER!T17</f>
        <v>1875 Hicks Road</v>
      </c>
      <c r="G18" s="1898">
        <v>102200300</v>
      </c>
    </row>
    <row r="19" spans="1:7" ht="15" x14ac:dyDescent="0.25">
      <c r="A19" t="s">
        <v>880</v>
      </c>
      <c r="B19" s="134" t="str">
        <f>COVER!T25</f>
        <v>Jeff@empcpa.com</v>
      </c>
      <c r="G19" s="1898">
        <v>102200400</v>
      </c>
    </row>
    <row r="20" spans="1:7" ht="15" x14ac:dyDescent="0.25">
      <c r="A20" t="s">
        <v>881</v>
      </c>
      <c r="B20" s="134" t="str">
        <f>COVER!T19</f>
        <v>Rolling Meadows</v>
      </c>
      <c r="G20" s="1898">
        <v>102200600</v>
      </c>
    </row>
    <row r="21" spans="1:7" ht="15" x14ac:dyDescent="0.25">
      <c r="A21" t="s">
        <v>476</v>
      </c>
      <c r="B21" s="134" t="str">
        <f>COVER!X19</f>
        <v>Il</v>
      </c>
      <c r="G21" s="1898">
        <v>102200800</v>
      </c>
    </row>
    <row r="22" spans="1:7" ht="15" x14ac:dyDescent="0.25">
      <c r="A22" t="s">
        <v>882</v>
      </c>
      <c r="B22" s="134">
        <f>COVER!Z19</f>
        <v>60008</v>
      </c>
      <c r="G22" s="1898">
        <v>102300300</v>
      </c>
    </row>
    <row r="23" spans="1:7" ht="15" x14ac:dyDescent="0.25">
      <c r="A23" t="s">
        <v>1142</v>
      </c>
      <c r="B23" s="134" t="str">
        <f>COVER!T21</f>
        <v>847-221-5700</v>
      </c>
      <c r="G23" s="1898">
        <v>102300400</v>
      </c>
    </row>
    <row r="24" spans="1:7" ht="15" x14ac:dyDescent="0.25">
      <c r="A24" t="s">
        <v>1141</v>
      </c>
      <c r="B24" s="134">
        <f>COVER!Y21</f>
        <v>0</v>
      </c>
      <c r="G24" s="1898">
        <v>102300600</v>
      </c>
    </row>
    <row r="25" spans="1:7" ht="15" x14ac:dyDescent="0.25">
      <c r="A25" t="s">
        <v>756</v>
      </c>
      <c r="B25" s="134">
        <f>COVER!B34</f>
        <v>0</v>
      </c>
      <c r="G25" s="1898">
        <v>102300800</v>
      </c>
    </row>
    <row r="26" spans="1:7" ht="15" x14ac:dyDescent="0.25">
      <c r="A26" t="s">
        <v>1143</v>
      </c>
      <c r="B26" s="134" t="str">
        <f>COVER!L34</f>
        <v>X</v>
      </c>
      <c r="G26" s="1898">
        <v>802300300</v>
      </c>
    </row>
    <row r="27" spans="1:7" ht="15" x14ac:dyDescent="0.25">
      <c r="A27" t="s">
        <v>266</v>
      </c>
      <c r="B27" s="134">
        <f>COVER!U34</f>
        <v>0</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0</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Yes</v>
      </c>
      <c r="G49" s="1898">
        <v>102540800</v>
      </c>
    </row>
    <row r="50" spans="1:7" ht="15" x14ac:dyDescent="0.25">
      <c r="A50" s="1" t="s">
        <v>1463</v>
      </c>
      <c r="B50" s="145">
        <f>'Aud Quest 2'!H53</f>
        <v>33512</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2060601</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2519555</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372015</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1343286</v>
      </c>
      <c r="C91" s="2" t="s">
        <v>569</v>
      </c>
      <c r="D91" s="2" t="str">
        <f t="shared" si="0"/>
        <v>Error?</v>
      </c>
      <c r="G91" s="1898">
        <v>102640400</v>
      </c>
    </row>
    <row r="92" spans="1:7" ht="15" x14ac:dyDescent="0.25">
      <c r="A92" s="5">
        <v>31</v>
      </c>
      <c r="B92" s="1831">
        <f>'Assets-Liab 5-6'!C39</f>
        <v>1176269</v>
      </c>
      <c r="D92" s="2" t="str">
        <f t="shared" si="0"/>
        <v>Error?</v>
      </c>
      <c r="G92" s="1898">
        <v>102640600</v>
      </c>
    </row>
    <row r="93" spans="1:7" ht="15" x14ac:dyDescent="0.25">
      <c r="A93" s="5">
        <v>32</v>
      </c>
      <c r="B93" s="1831">
        <f>'Assets-Liab 5-6'!C41</f>
        <v>2519555</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211689</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978191</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38276</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43923</v>
      </c>
      <c r="C122" s="2" t="s">
        <v>569</v>
      </c>
      <c r="D122" s="2" t="str">
        <f t="shared" si="0"/>
        <v>Error?</v>
      </c>
      <c r="G122" s="1898">
        <v>203000300</v>
      </c>
    </row>
    <row r="123" spans="1:7" ht="15" x14ac:dyDescent="0.25">
      <c r="A123" s="5">
        <v>62</v>
      </c>
      <c r="B123" s="1831">
        <f>'Assets-Liab 5-6'!D39</f>
        <v>934268</v>
      </c>
      <c r="D123" s="2" t="str">
        <f t="shared" si="0"/>
        <v>Error?</v>
      </c>
      <c r="G123" s="1898">
        <v>203000400</v>
      </c>
    </row>
    <row r="124" spans="1:7" ht="15" x14ac:dyDescent="0.25">
      <c r="A124" s="5">
        <v>63</v>
      </c>
      <c r="B124" s="1831">
        <f>'Assets-Liab 5-6'!D41</f>
        <v>978191</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194142</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722062</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35055</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35055</v>
      </c>
      <c r="C139" s="2" t="s">
        <v>569</v>
      </c>
      <c r="D139" s="2" t="str">
        <f t="shared" si="1"/>
        <v>Error?</v>
      </c>
    </row>
    <row r="140" spans="1:7" x14ac:dyDescent="0.2">
      <c r="A140" s="5">
        <v>79</v>
      </c>
      <c r="B140" s="1831">
        <f>'Assets-Liab 5-6'!E39</f>
        <v>687007</v>
      </c>
      <c r="D140" s="2" t="str">
        <f t="shared" si="1"/>
        <v>Error?</v>
      </c>
    </row>
    <row r="141" spans="1:7" x14ac:dyDescent="0.2">
      <c r="A141" s="5">
        <v>80</v>
      </c>
      <c r="B141" s="1831">
        <f>'Assets-Liab 5-6'!E41</f>
        <v>722062</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47452</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245484</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8536</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8536</v>
      </c>
      <c r="C169" s="2" t="s">
        <v>569</v>
      </c>
      <c r="D169" s="2" t="str">
        <f t="shared" si="1"/>
        <v>Error?</v>
      </c>
    </row>
    <row r="170" spans="1:4" x14ac:dyDescent="0.2">
      <c r="A170" s="5">
        <v>109</v>
      </c>
      <c r="B170" s="1831">
        <f>'Assets-Liab 5-6'!F39</f>
        <v>236948</v>
      </c>
      <c r="D170" s="2" t="str">
        <f t="shared" si="1"/>
        <v>Error?</v>
      </c>
    </row>
    <row r="171" spans="1:4" x14ac:dyDescent="0.2">
      <c r="A171" s="5">
        <v>110</v>
      </c>
      <c r="B171" s="1831">
        <f>'Assets-Liab 5-6'!F41</f>
        <v>245484</v>
      </c>
      <c r="C171" s="2" t="s">
        <v>569</v>
      </c>
      <c r="D171" s="2" t="str">
        <f t="shared" si="1"/>
        <v>Error?</v>
      </c>
    </row>
    <row r="172" spans="1:4" x14ac:dyDescent="0.2">
      <c r="A172" s="10">
        <v>111</v>
      </c>
      <c r="B172" s="1831"/>
      <c r="D172" s="2" t="str">
        <f t="shared" si="1"/>
        <v>OK</v>
      </c>
    </row>
    <row r="173" spans="1:4" x14ac:dyDescent="0.2">
      <c r="A173" s="5">
        <v>112</v>
      </c>
      <c r="B173" s="1831">
        <f>'Assets-Liab 5-6'!G6</f>
        <v>76650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99494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13571</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34868</v>
      </c>
      <c r="C188" s="2" t="s">
        <v>569</v>
      </c>
      <c r="D188" s="2" t="str">
        <f t="shared" si="1"/>
        <v>Error?</v>
      </c>
    </row>
    <row r="189" spans="1:4" x14ac:dyDescent="0.2">
      <c r="A189" s="5">
        <v>128</v>
      </c>
      <c r="B189" s="1831">
        <f>'Assets-Liab 5-6'!G39</f>
        <v>64626</v>
      </c>
      <c r="D189" s="2" t="str">
        <f t="shared" si="1"/>
        <v>Error?</v>
      </c>
    </row>
    <row r="190" spans="1:4" x14ac:dyDescent="0.2">
      <c r="A190" s="5">
        <v>129</v>
      </c>
      <c r="B190" s="1831">
        <f>'Assets-Liab 5-6'!G41</f>
        <v>99494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264189</v>
      </c>
      <c r="D273" s="2" t="str">
        <f t="shared" si="3"/>
        <v>Error?</v>
      </c>
    </row>
    <row r="274" spans="1:4" x14ac:dyDescent="0.2">
      <c r="A274" s="5">
        <v>213</v>
      </c>
      <c r="B274" s="1831">
        <f>'Assets-Liab 5-6'!M17</f>
        <v>3443015</v>
      </c>
      <c r="D274" s="2" t="str">
        <f t="shared" si="3"/>
        <v>Error?</v>
      </c>
    </row>
    <row r="275" spans="1:4" x14ac:dyDescent="0.2">
      <c r="A275" s="5">
        <v>214</v>
      </c>
      <c r="B275" s="1831">
        <f>'Assets-Liab 5-6'!M18</f>
        <v>94743</v>
      </c>
      <c r="D275" s="2" t="str">
        <f t="shared" si="3"/>
        <v>Error?</v>
      </c>
    </row>
    <row r="276" spans="1:4" x14ac:dyDescent="0.2">
      <c r="A276" s="5">
        <v>215</v>
      </c>
      <c r="B276" s="1831">
        <f>'Assets-Liab 5-6'!M19</f>
        <v>1803545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5605492</v>
      </c>
      <c r="C279" s="2" t="s">
        <v>569</v>
      </c>
      <c r="D279" s="2" t="str">
        <f t="shared" si="3"/>
        <v>Error?</v>
      </c>
    </row>
    <row r="280" spans="1:4" x14ac:dyDescent="0.2">
      <c r="A280" s="5">
        <v>219</v>
      </c>
      <c r="B280" s="1831">
        <f>'Assets-Liab 5-6'!M40</f>
        <v>5605492</v>
      </c>
      <c r="D280" s="2" t="str">
        <f t="shared" si="3"/>
        <v>Error?</v>
      </c>
    </row>
    <row r="281" spans="1:4" x14ac:dyDescent="0.2">
      <c r="A281" s="5">
        <v>220</v>
      </c>
      <c r="B281" s="1831">
        <f>'Assets-Liab 5-6'!M41</f>
        <v>5605492</v>
      </c>
      <c r="C281" s="2" t="s">
        <v>569</v>
      </c>
      <c r="D281" s="2" t="str">
        <f t="shared" si="3"/>
        <v>Error?</v>
      </c>
    </row>
    <row r="282" spans="1:4" x14ac:dyDescent="0.2">
      <c r="A282" s="5">
        <v>221</v>
      </c>
      <c r="B282" s="1831">
        <f>'Assets-Liab 5-6'!N21</f>
        <v>722062</v>
      </c>
      <c r="D282" s="2" t="str">
        <f t="shared" si="3"/>
        <v>Error?</v>
      </c>
    </row>
    <row r="283" spans="1:4" x14ac:dyDescent="0.2">
      <c r="A283" s="5">
        <v>222</v>
      </c>
      <c r="B283" s="1831">
        <f>'Assets-Liab 5-6'!N22</f>
        <v>3998216</v>
      </c>
      <c r="D283" s="2" t="str">
        <f t="shared" si="3"/>
        <v>Error?</v>
      </c>
    </row>
    <row r="284" spans="1:4" x14ac:dyDescent="0.2">
      <c r="A284" s="5">
        <v>223</v>
      </c>
      <c r="B284" s="1831">
        <f>'Assets-Liab 5-6'!N23</f>
        <v>4720278</v>
      </c>
      <c r="C284" s="2" t="s">
        <v>569</v>
      </c>
      <c r="D284" s="2" t="str">
        <f t="shared" si="3"/>
        <v>Error?</v>
      </c>
    </row>
    <row r="285" spans="1:4" x14ac:dyDescent="0.2">
      <c r="A285" s="5">
        <v>224</v>
      </c>
      <c r="B285" s="1831">
        <f>'Assets-Liab 5-6'!N36</f>
        <v>4720278</v>
      </c>
      <c r="D285" s="2" t="str">
        <f t="shared" si="3"/>
        <v>Error?</v>
      </c>
    </row>
    <row r="286" spans="1:4" x14ac:dyDescent="0.2">
      <c r="A286" s="10">
        <v>225</v>
      </c>
      <c r="B286" s="1831"/>
      <c r="D286" s="2" t="str">
        <f t="shared" si="3"/>
        <v>OK</v>
      </c>
    </row>
    <row r="287" spans="1:4" x14ac:dyDescent="0.2">
      <c r="A287" s="5">
        <v>226</v>
      </c>
      <c r="B287" s="1831">
        <f>'Assets-Liab 5-6'!N37</f>
        <v>4720278</v>
      </c>
      <c r="C287" s="2" t="s">
        <v>569</v>
      </c>
      <c r="D287" s="2" t="str">
        <f t="shared" si="3"/>
        <v>Error?</v>
      </c>
    </row>
    <row r="288" spans="1:4" x14ac:dyDescent="0.2">
      <c r="A288" s="5">
        <v>227</v>
      </c>
      <c r="B288" s="1831">
        <f>'Assets-Liab 5-6'!N41</f>
        <v>4720278</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236000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35235</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2084271</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100480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160435</v>
      </c>
      <c r="D718" s="2" t="str">
        <f t="shared" si="10"/>
        <v>Error?</v>
      </c>
    </row>
    <row r="719" spans="1:4" x14ac:dyDescent="0.2">
      <c r="A719" s="5">
        <v>658</v>
      </c>
      <c r="B719" s="1831">
        <f>'Expenditures 15-22'!C15</f>
        <v>6282</v>
      </c>
      <c r="D719" s="2" t="str">
        <f t="shared" si="10"/>
        <v>Error?</v>
      </c>
    </row>
    <row r="720" spans="1:4" x14ac:dyDescent="0.2">
      <c r="A720" s="5">
        <v>659</v>
      </c>
      <c r="B720" s="1831">
        <f>'Expenditures 15-22'!C33</f>
        <v>3069529</v>
      </c>
      <c r="C720" s="2" t="s">
        <v>569</v>
      </c>
      <c r="D720" s="2" t="str">
        <f t="shared" si="10"/>
        <v>Error?</v>
      </c>
    </row>
    <row r="721" spans="1:4" x14ac:dyDescent="0.2">
      <c r="A721" s="5">
        <v>660</v>
      </c>
      <c r="B721" s="1831">
        <f>'Expenditures 15-22'!C36</f>
        <v>95914</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52434</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92008</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240356</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111162</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111162</v>
      </c>
      <c r="C731" s="2" t="s">
        <v>569</v>
      </c>
      <c r="D731" s="2" t="str">
        <f t="shared" si="10"/>
        <v>Error?</v>
      </c>
    </row>
    <row r="732" spans="1:4" x14ac:dyDescent="0.2">
      <c r="A732" s="5">
        <v>671</v>
      </c>
      <c r="B732" s="1831">
        <f>'Expenditures 15-22'!C49</f>
        <v>63228</v>
      </c>
      <c r="D732" s="2" t="str">
        <f t="shared" si="10"/>
        <v>Error?</v>
      </c>
    </row>
    <row r="733" spans="1:4" x14ac:dyDescent="0.2">
      <c r="A733" s="5">
        <v>672</v>
      </c>
      <c r="B733" s="1831">
        <f>'Expenditures 15-22'!C50</f>
        <v>168000</v>
      </c>
      <c r="D733" s="2" t="str">
        <f t="shared" si="10"/>
        <v>Error?</v>
      </c>
    </row>
    <row r="734" spans="1:4" x14ac:dyDescent="0.2">
      <c r="A734" s="5">
        <v>673</v>
      </c>
      <c r="B734" s="1831">
        <f>'Expenditures 15-22'!C53</f>
        <v>231228</v>
      </c>
      <c r="C734" s="2" t="s">
        <v>569</v>
      </c>
      <c r="D734" s="2" t="str">
        <f t="shared" si="10"/>
        <v>Error?</v>
      </c>
    </row>
    <row r="735" spans="1:4" x14ac:dyDescent="0.2">
      <c r="A735" s="5">
        <v>674</v>
      </c>
      <c r="B735" s="1831">
        <f>'Expenditures 15-22'!C55</f>
        <v>248797</v>
      </c>
      <c r="D735" s="2" t="str">
        <f t="shared" si="10"/>
        <v>Error?</v>
      </c>
    </row>
    <row r="736" spans="1:4" x14ac:dyDescent="0.2">
      <c r="A736" s="5">
        <v>675</v>
      </c>
      <c r="B736" s="1831">
        <f>'Expenditures 15-22'!C56</f>
        <v>64201</v>
      </c>
      <c r="D736" s="2" t="str">
        <f t="shared" si="10"/>
        <v>Error?</v>
      </c>
    </row>
    <row r="737" spans="1:4" x14ac:dyDescent="0.2">
      <c r="A737" s="5">
        <v>676</v>
      </c>
      <c r="B737" s="1831">
        <f>'Expenditures 15-22'!C57</f>
        <v>312998</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132810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92696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225506</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1121250</v>
      </c>
      <c r="C755" s="2" t="s">
        <v>569</v>
      </c>
      <c r="D755" s="2" t="str">
        <f t="shared" si="10"/>
        <v>Error?</v>
      </c>
    </row>
    <row r="756" spans="1:4" x14ac:dyDescent="0.2">
      <c r="A756" s="5">
        <v>695</v>
      </c>
      <c r="B756" s="1831">
        <f>'Expenditures 15-22'!C75</f>
        <v>38503</v>
      </c>
      <c r="D756" s="2" t="str">
        <f t="shared" si="10"/>
        <v>Error?</v>
      </c>
    </row>
    <row r="757" spans="1:4" x14ac:dyDescent="0.2">
      <c r="A757" s="5">
        <v>696</v>
      </c>
      <c r="B757" s="1831">
        <f>'Expenditures 15-22'!C114</f>
        <v>4229282</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375125</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19618</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11700</v>
      </c>
      <c r="D776" s="2" t="str">
        <f t="shared" si="11"/>
        <v>Error?</v>
      </c>
    </row>
    <row r="777" spans="1:4" x14ac:dyDescent="0.2">
      <c r="A777" s="5">
        <v>716</v>
      </c>
      <c r="B777" s="1831">
        <f>'Expenditures 15-22'!D15</f>
        <v>90</v>
      </c>
      <c r="D777" s="2" t="str">
        <f t="shared" si="11"/>
        <v>Error?</v>
      </c>
    </row>
    <row r="778" spans="1:4" x14ac:dyDescent="0.2">
      <c r="A778" s="5">
        <v>717</v>
      </c>
      <c r="B778" s="1831">
        <f>'Expenditures 15-22'!D33</f>
        <v>549734</v>
      </c>
      <c r="C778" s="2" t="s">
        <v>569</v>
      </c>
      <c r="D778" s="2" t="str">
        <f t="shared" si="11"/>
        <v>Error?</v>
      </c>
    </row>
    <row r="779" spans="1:4" x14ac:dyDescent="0.2">
      <c r="A779" s="5">
        <v>718</v>
      </c>
      <c r="B779" s="1831">
        <f>'Expenditures 15-22'!D36</f>
        <v>23541</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9534</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17007</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50082</v>
      </c>
      <c r="C785" s="2" t="s">
        <v>569</v>
      </c>
      <c r="D785" s="2" t="str">
        <f t="shared" si="11"/>
        <v>Error?</v>
      </c>
    </row>
    <row r="786" spans="1:4" x14ac:dyDescent="0.2">
      <c r="A786" s="5">
        <v>725</v>
      </c>
      <c r="B786" s="1831">
        <f>'Expenditures 15-22'!D44</f>
        <v>7795</v>
      </c>
      <c r="D786" s="2" t="str">
        <f t="shared" si="11"/>
        <v>Error?</v>
      </c>
    </row>
    <row r="787" spans="1:4" x14ac:dyDescent="0.2">
      <c r="A787" s="5">
        <v>726</v>
      </c>
      <c r="B787" s="1831">
        <f>'Expenditures 15-22'!D45</f>
        <v>18811</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26606</v>
      </c>
      <c r="C789" s="2" t="s">
        <v>569</v>
      </c>
      <c r="D789" s="2" t="str">
        <f t="shared" si="11"/>
        <v>Error?</v>
      </c>
    </row>
    <row r="790" spans="1:4" x14ac:dyDescent="0.2">
      <c r="A790" s="5">
        <v>729</v>
      </c>
      <c r="B790" s="1831">
        <f>'Expenditures 15-22'!D49</f>
        <v>11063</v>
      </c>
      <c r="D790" s="2" t="str">
        <f t="shared" si="11"/>
        <v>Error?</v>
      </c>
    </row>
    <row r="791" spans="1:4" x14ac:dyDescent="0.2">
      <c r="A791" s="5">
        <v>730</v>
      </c>
      <c r="B791" s="1831">
        <f>'Expenditures 15-22'!D50</f>
        <v>53718</v>
      </c>
      <c r="D791" s="2" t="str">
        <f t="shared" si="11"/>
        <v>Error?</v>
      </c>
    </row>
    <row r="792" spans="1:4" x14ac:dyDescent="0.2">
      <c r="A792" s="5">
        <v>731</v>
      </c>
      <c r="B792" s="1831">
        <f>'Expenditures 15-22'!D53</f>
        <v>64781</v>
      </c>
      <c r="C792" s="2" t="s">
        <v>569</v>
      </c>
      <c r="D792" s="2" t="str">
        <f t="shared" si="11"/>
        <v>Error?</v>
      </c>
    </row>
    <row r="793" spans="1:4" x14ac:dyDescent="0.2">
      <c r="A793" s="5">
        <v>732</v>
      </c>
      <c r="B793" s="1831">
        <f>'Expenditures 15-22'!D55</f>
        <v>95815</v>
      </c>
      <c r="D793" s="2" t="str">
        <f t="shared" si="11"/>
        <v>Error?</v>
      </c>
    </row>
    <row r="794" spans="1:4" x14ac:dyDescent="0.2">
      <c r="A794" s="5">
        <v>733</v>
      </c>
      <c r="B794" s="1831">
        <f>'Expenditures 15-22'!D56</f>
        <v>36353</v>
      </c>
      <c r="D794" s="2" t="str">
        <f t="shared" si="11"/>
        <v>Error?</v>
      </c>
    </row>
    <row r="795" spans="1:4" x14ac:dyDescent="0.2">
      <c r="A795" s="5">
        <v>734</v>
      </c>
      <c r="B795" s="1831">
        <f>'Expenditures 15-22'!D57</f>
        <v>132168</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4712</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4712</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278349</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828083</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70330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315</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3500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75293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1125</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1125</v>
      </c>
      <c r="C843" s="2" t="s">
        <v>569</v>
      </c>
      <c r="D843" s="2" t="str">
        <f t="shared" si="12"/>
        <v>Error?</v>
      </c>
    </row>
    <row r="844" spans="1:4" x14ac:dyDescent="0.2">
      <c r="A844" s="5">
        <v>783</v>
      </c>
      <c r="B844" s="1831">
        <f>'Expenditures 15-22'!E44</f>
        <v>10076</v>
      </c>
      <c r="D844" s="2" t="str">
        <f t="shared" si="12"/>
        <v>Error?</v>
      </c>
    </row>
    <row r="845" spans="1:4" x14ac:dyDescent="0.2">
      <c r="A845" s="5">
        <v>784</v>
      </c>
      <c r="B845" s="1831">
        <f>'Expenditures 15-22'!E45</f>
        <v>8615</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18691</v>
      </c>
      <c r="C847" s="2" t="s">
        <v>569</v>
      </c>
      <c r="D847" s="2" t="str">
        <f t="shared" si="12"/>
        <v>Error?</v>
      </c>
    </row>
    <row r="848" spans="1:4" x14ac:dyDescent="0.2">
      <c r="A848" s="5">
        <v>787</v>
      </c>
      <c r="B848" s="1831">
        <f>'Expenditures 15-22'!E49</f>
        <v>118699</v>
      </c>
      <c r="D848" s="2" t="str">
        <f t="shared" si="12"/>
        <v>Error?</v>
      </c>
    </row>
    <row r="849" spans="1:4" x14ac:dyDescent="0.2">
      <c r="A849" s="5">
        <v>788</v>
      </c>
      <c r="B849" s="1831">
        <f>'Expenditures 15-22'!E50</f>
        <v>680</v>
      </c>
      <c r="D849" s="2" t="str">
        <f t="shared" si="12"/>
        <v>Error?</v>
      </c>
    </row>
    <row r="850" spans="1:4" x14ac:dyDescent="0.2">
      <c r="A850" s="5">
        <v>789</v>
      </c>
      <c r="B850" s="1831">
        <f>'Expenditures 15-22'!E53</f>
        <v>119379</v>
      </c>
      <c r="C850" s="2" t="s">
        <v>569</v>
      </c>
      <c r="D850" s="2" t="str">
        <f t="shared" si="12"/>
        <v>Error?</v>
      </c>
    </row>
    <row r="851" spans="1:4" x14ac:dyDescent="0.2">
      <c r="A851" s="5">
        <v>790</v>
      </c>
      <c r="B851" s="1831">
        <f>'Expenditures 15-22'!E55</f>
        <v>753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753</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40169</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763</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40932</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180880</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598698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141193</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1009</v>
      </c>
      <c r="D892" s="2" t="str">
        <f t="shared" si="12"/>
        <v>Error?</v>
      </c>
    </row>
    <row r="893" spans="1:4" x14ac:dyDescent="0.2">
      <c r="A893" s="5">
        <v>832</v>
      </c>
      <c r="B893" s="1831">
        <f>'Expenditures 15-22'!F15</f>
        <v>1430</v>
      </c>
      <c r="D893" s="2" t="str">
        <f t="shared" si="12"/>
        <v>Error?</v>
      </c>
    </row>
    <row r="894" spans="1:4" x14ac:dyDescent="0.2">
      <c r="A894" s="5">
        <v>833</v>
      </c>
      <c r="B894" s="1831">
        <f>'Expenditures 15-22'!F33</f>
        <v>147527</v>
      </c>
      <c r="C894" s="2" t="s">
        <v>569</v>
      </c>
      <c r="D894" s="2" t="str">
        <f t="shared" si="12"/>
        <v>Error?</v>
      </c>
    </row>
    <row r="895" spans="1:4" x14ac:dyDescent="0.2">
      <c r="A895" s="5">
        <v>834</v>
      </c>
      <c r="B895" s="1831">
        <f>'Expenditures 15-22'!F36</f>
        <v>1992</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301</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1647</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3940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63302</v>
      </c>
      <c r="D903" s="2" t="str">
        <f t="shared" si="13"/>
        <v>Error?</v>
      </c>
    </row>
    <row r="904" spans="1:4" x14ac:dyDescent="0.2">
      <c r="A904" s="5">
        <v>843</v>
      </c>
      <c r="B904" s="1831">
        <f>'Expenditures 15-22'!F46</f>
        <v>5000</v>
      </c>
      <c r="D904" s="2" t="str">
        <f t="shared" si="13"/>
        <v>Error?</v>
      </c>
    </row>
    <row r="905" spans="1:4" x14ac:dyDescent="0.2">
      <c r="A905" s="5">
        <v>844</v>
      </c>
      <c r="B905" s="1831">
        <f>'Expenditures 15-22'!F47</f>
        <v>68302</v>
      </c>
      <c r="C905" s="2" t="s">
        <v>569</v>
      </c>
      <c r="D905" s="2" t="str">
        <f t="shared" si="13"/>
        <v>Error?</v>
      </c>
    </row>
    <row r="906" spans="1:4" x14ac:dyDescent="0.2">
      <c r="A906" s="5">
        <v>845</v>
      </c>
      <c r="B906" s="1831">
        <f>'Expenditures 15-22'!F49</f>
        <v>1275</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1275</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151</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88963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89114</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162631</v>
      </c>
      <c r="C929" s="2" t="s">
        <v>569</v>
      </c>
      <c r="D929" s="2" t="str">
        <f t="shared" si="13"/>
        <v>Error?</v>
      </c>
    </row>
    <row r="930" spans="1:4" x14ac:dyDescent="0.2">
      <c r="A930" s="5">
        <v>869</v>
      </c>
      <c r="B930" s="1831">
        <f>'Expenditures 15-22'!F75</f>
        <v>427</v>
      </c>
      <c r="D930" s="2" t="str">
        <f t="shared" si="13"/>
        <v>Error?</v>
      </c>
    </row>
    <row r="931" spans="1:4" x14ac:dyDescent="0.2">
      <c r="A931" s="5">
        <v>870</v>
      </c>
      <c r="B931" s="1831">
        <f>'Expenditures 15-22'!F114</f>
        <v>310585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1514</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333</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1847</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56352</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56352</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56352</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58199</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23953</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23953</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12385</v>
      </c>
      <c r="D1022" s="2" t="str">
        <f t="shared" si="14"/>
        <v>Error?</v>
      </c>
    </row>
    <row r="1023" spans="1:4" x14ac:dyDescent="0.2">
      <c r="A1023" s="5">
        <v>962</v>
      </c>
      <c r="B1023" s="1831">
        <f>'Expenditures 15-22'!H50</f>
        <v>1772</v>
      </c>
      <c r="D1023" s="2" t="str">
        <f t="shared" ref="D1023:D1086" si="15">IF(ISBLANK(B1023),"OK",IF(A1023-B1023=0,"OK","Error?"))</f>
        <v>Error?</v>
      </c>
    </row>
    <row r="1024" spans="1:4" x14ac:dyDescent="0.2">
      <c r="A1024" s="5">
        <v>963</v>
      </c>
      <c r="B1024" s="1831">
        <f>'Expenditures 15-22'!H53</f>
        <v>14157</v>
      </c>
      <c r="C1024" s="2" t="s">
        <v>569</v>
      </c>
      <c r="D1024" s="2" t="str">
        <f t="shared" si="15"/>
        <v>Error?</v>
      </c>
    </row>
    <row r="1025" spans="1:4" x14ac:dyDescent="0.2">
      <c r="A1025" s="5">
        <v>964</v>
      </c>
      <c r="B1025" s="1831">
        <f>'Expenditures 15-22'!H55</f>
        <v>797</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797</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340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340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15294</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391238</v>
      </c>
      <c r="C1047" s="2" t="s">
        <v>569</v>
      </c>
      <c r="D1047" s="2" t="str">
        <f t="shared" si="15"/>
        <v>Error?</v>
      </c>
    </row>
    <row r="1048" spans="1:5" x14ac:dyDescent="0.2">
      <c r="A1048" s="5">
        <v>987</v>
      </c>
      <c r="B1048" s="1831">
        <f>'Expenditures 15-22'!H105</f>
        <v>3960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3960</v>
      </c>
      <c r="C1053" s="2" t="s">
        <v>569</v>
      </c>
      <c r="D1053" s="2" t="str">
        <f t="shared" si="15"/>
        <v>Error?</v>
      </c>
    </row>
    <row r="1054" spans="1:5" x14ac:dyDescent="0.2">
      <c r="A1054" s="5">
        <v>993</v>
      </c>
      <c r="B1054" s="1831">
        <f>'Expenditures 15-22'!H114</f>
        <v>434445</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2696386</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120413</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176977</v>
      </c>
      <c r="C1106" s="2" t="s">
        <v>569</v>
      </c>
      <c r="D1106" s="2" t="str">
        <f t="shared" si="16"/>
        <v>Error?</v>
      </c>
    </row>
    <row r="1107" spans="1:4" x14ac:dyDescent="0.2">
      <c r="A1107" s="5">
        <v>1046</v>
      </c>
      <c r="B1107" s="1831">
        <f>'Expenditures 15-22'!K15</f>
        <v>7802</v>
      </c>
      <c r="C1107" s="2" t="s">
        <v>569</v>
      </c>
      <c r="D1107" s="2" t="str">
        <f t="shared" si="16"/>
        <v>Error?</v>
      </c>
    </row>
    <row r="1108" spans="1:4" x14ac:dyDescent="0.2">
      <c r="A1108" s="5">
        <v>1047</v>
      </c>
      <c r="B1108" s="1831">
        <f>'Expenditures 15-22'!K33</f>
        <v>3867883</v>
      </c>
      <c r="C1108" s="2" t="s">
        <v>569</v>
      </c>
      <c r="D1108" s="2" t="str">
        <f t="shared" si="16"/>
        <v>Error?</v>
      </c>
    </row>
    <row r="1109" spans="1:4" x14ac:dyDescent="0.2">
      <c r="A1109" s="5">
        <v>1048</v>
      </c>
      <c r="B1109" s="1831">
        <f>'Expenditures 15-22'!K36</f>
        <v>121447</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63394</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110662</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295503</v>
      </c>
      <c r="C1115" s="2" t="s">
        <v>569</v>
      </c>
      <c r="D1115" s="2" t="str">
        <f t="shared" si="16"/>
        <v>Error?</v>
      </c>
    </row>
    <row r="1116" spans="1:4" x14ac:dyDescent="0.2">
      <c r="A1116" s="5">
        <v>1055</v>
      </c>
      <c r="B1116" s="1831">
        <f>'Expenditures 15-22'!K44</f>
        <v>17871</v>
      </c>
      <c r="C1116" s="2" t="s">
        <v>569</v>
      </c>
      <c r="D1116" s="2" t="str">
        <f t="shared" si="16"/>
        <v>Error?</v>
      </c>
    </row>
    <row r="1117" spans="1:4" x14ac:dyDescent="0.2">
      <c r="A1117" s="5">
        <v>1056</v>
      </c>
      <c r="B1117" s="1831">
        <f>'Expenditures 15-22'!K45</f>
        <v>258242</v>
      </c>
      <c r="C1117" s="2" t="s">
        <v>569</v>
      </c>
      <c r="D1117" s="2" t="str">
        <f t="shared" si="16"/>
        <v>Error?</v>
      </c>
    </row>
    <row r="1118" spans="1:4" x14ac:dyDescent="0.2">
      <c r="A1118" s="5">
        <v>1057</v>
      </c>
      <c r="B1118" s="1831">
        <f>'Expenditures 15-22'!K46</f>
        <v>5000</v>
      </c>
      <c r="C1118" s="2" t="s">
        <v>569</v>
      </c>
      <c r="D1118" s="2" t="str">
        <f t="shared" si="16"/>
        <v>Error?</v>
      </c>
    </row>
    <row r="1119" spans="1:4" x14ac:dyDescent="0.2">
      <c r="A1119" s="5">
        <v>1058</v>
      </c>
      <c r="B1119" s="1831">
        <f>'Expenditures 15-22'!K47</f>
        <v>281113</v>
      </c>
      <c r="C1119" s="2" t="s">
        <v>569</v>
      </c>
      <c r="D1119" s="2" t="str">
        <f t="shared" si="16"/>
        <v>Error?</v>
      </c>
    </row>
    <row r="1120" spans="1:4" x14ac:dyDescent="0.2">
      <c r="A1120" s="5">
        <v>1059</v>
      </c>
      <c r="B1120" s="1831">
        <f>'Expenditures 15-22'!K49</f>
        <v>206650</v>
      </c>
      <c r="C1120" s="2" t="s">
        <v>569</v>
      </c>
      <c r="D1120" s="2" t="str">
        <f t="shared" si="16"/>
        <v>Error?</v>
      </c>
    </row>
    <row r="1121" spans="1:4" x14ac:dyDescent="0.2">
      <c r="A1121" s="5">
        <v>1060</v>
      </c>
      <c r="B1121" s="1831">
        <f>'Expenditures 15-22'!K50</f>
        <v>224170</v>
      </c>
      <c r="C1121" s="2" t="s">
        <v>569</v>
      </c>
      <c r="D1121" s="2" t="str">
        <f t="shared" si="16"/>
        <v>Error?</v>
      </c>
    </row>
    <row r="1122" spans="1:4" x14ac:dyDescent="0.2">
      <c r="A1122" s="5">
        <v>1061</v>
      </c>
      <c r="B1122" s="1831">
        <f>'Expenditures 15-22'!K53</f>
        <v>430820</v>
      </c>
      <c r="C1122" s="2" t="s">
        <v>569</v>
      </c>
      <c r="D1122" s="2" t="str">
        <f t="shared" si="16"/>
        <v>Error?</v>
      </c>
    </row>
    <row r="1123" spans="1:4" x14ac:dyDescent="0.2">
      <c r="A1123" s="5">
        <v>1062</v>
      </c>
      <c r="B1123" s="1831">
        <f>'Expenditures 15-22'!K55</f>
        <v>346162</v>
      </c>
      <c r="C1123" s="2" t="s">
        <v>569</v>
      </c>
      <c r="D1123" s="2" t="str">
        <f t="shared" si="16"/>
        <v>Error?</v>
      </c>
    </row>
    <row r="1124" spans="1:4" x14ac:dyDescent="0.2">
      <c r="A1124" s="5">
        <v>1063</v>
      </c>
      <c r="B1124" s="1831">
        <f>'Expenditures 15-22'!K56</f>
        <v>100554</v>
      </c>
      <c r="C1124" s="2" t="s">
        <v>569</v>
      </c>
      <c r="D1124" s="2" t="str">
        <f t="shared" si="16"/>
        <v>Error?</v>
      </c>
    </row>
    <row r="1125" spans="1:4" x14ac:dyDescent="0.2">
      <c r="A1125" s="5">
        <v>1064</v>
      </c>
      <c r="B1125" s="1831">
        <f>'Expenditures 15-22'!K57</f>
        <v>446716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178182</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182422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360604</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1814756</v>
      </c>
      <c r="C1143" s="2" t="s">
        <v>569</v>
      </c>
      <c r="D1143" s="2" t="str">
        <f t="shared" si="16"/>
        <v>Error?</v>
      </c>
    </row>
    <row r="1144" spans="1:4" x14ac:dyDescent="0.2">
      <c r="A1144" s="5">
        <v>1083</v>
      </c>
      <c r="B1144" s="1831">
        <f>'Expenditures 15-22'!K75</f>
        <v>38930</v>
      </c>
      <c r="C1144" s="2" t="s">
        <v>569</v>
      </c>
      <c r="D1144" s="2" t="str">
        <f t="shared" si="16"/>
        <v>Error?</v>
      </c>
    </row>
    <row r="1145" spans="1:4" x14ac:dyDescent="0.2">
      <c r="A1145" s="5">
        <v>1084</v>
      </c>
      <c r="B1145" s="1831">
        <f>'Expenditures 15-22'!K102</f>
        <v>733763</v>
      </c>
      <c r="C1145" s="2" t="s">
        <v>569</v>
      </c>
      <c r="D1145" s="2" t="str">
        <f t="shared" si="16"/>
        <v>Error?</v>
      </c>
    </row>
    <row r="1146" spans="1:4" x14ac:dyDescent="0.2">
      <c r="A1146" s="5">
        <v>1085</v>
      </c>
      <c r="B1146" s="1831">
        <f>'Expenditures 15-22'!K105</f>
        <v>3960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3960</v>
      </c>
      <c r="C1151" s="2" t="s">
        <v>569</v>
      </c>
      <c r="D1151" s="2" t="str">
        <f t="shared" ref="D1151:D1214" si="17">IF(ISBLANK(B1151),"OK",IF(A1151-B1151=0,"OK","Error?"))</f>
        <v>Error?</v>
      </c>
    </row>
    <row r="1152" spans="1:4" x14ac:dyDescent="0.2">
      <c r="A1152" s="5">
        <v>1091</v>
      </c>
      <c r="B1152" s="1831">
        <f>'Expenditures 15-22'!K114</f>
        <v>6459292</v>
      </c>
      <c r="C1152" s="2" t="s">
        <v>569</v>
      </c>
      <c r="D1152" s="2" t="str">
        <f t="shared" si="17"/>
        <v>Error?</v>
      </c>
    </row>
    <row r="1153" spans="1:4" x14ac:dyDescent="0.2">
      <c r="A1153" s="5">
        <v>1092</v>
      </c>
      <c r="B1153" s="1831">
        <f>'Expenditures 15-22'!K115</f>
        <v>-588720</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267110</v>
      </c>
      <c r="D1221" s="2" t="str">
        <f t="shared" si="18"/>
        <v>Error?</v>
      </c>
    </row>
    <row r="1222" spans="1:4" x14ac:dyDescent="0.2">
      <c r="A1222" s="10">
        <v>1161</v>
      </c>
      <c r="B1222" s="1831"/>
      <c r="D1222" s="2" t="str">
        <f t="shared" si="18"/>
        <v>OK</v>
      </c>
    </row>
    <row r="1223" spans="1:4" x14ac:dyDescent="0.2">
      <c r="A1223" s="5">
        <v>1162</v>
      </c>
      <c r="B1223" s="1831">
        <f>'Expenditures 15-22'!C127</f>
        <v>267110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267110</v>
      </c>
      <c r="C1225" s="2" t="s">
        <v>569</v>
      </c>
      <c r="D1225" s="2" t="str">
        <f t="shared" si="18"/>
        <v>Error?</v>
      </c>
    </row>
    <row r="1226" spans="1:4" x14ac:dyDescent="0.2">
      <c r="A1226" s="5">
        <v>1165</v>
      </c>
      <c r="B1226" s="1831">
        <f>'Expenditures 15-22'!C151</f>
        <v>267110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36455</v>
      </c>
      <c r="D1229" s="2" t="str">
        <f t="shared" si="18"/>
        <v>Error?</v>
      </c>
    </row>
    <row r="1230" spans="1:4" x14ac:dyDescent="0.2">
      <c r="A1230" s="10">
        <v>1169</v>
      </c>
      <c r="B1230" s="1831"/>
      <c r="D1230" s="2" t="str">
        <f t="shared" si="18"/>
        <v>OK</v>
      </c>
    </row>
    <row r="1231" spans="1:4" x14ac:dyDescent="0.2">
      <c r="A1231" s="5">
        <v>1170</v>
      </c>
      <c r="B1231" s="1831">
        <f>'Expenditures 15-22'!D127</f>
        <v>36455</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36455</v>
      </c>
      <c r="C1233" s="2" t="s">
        <v>569</v>
      </c>
      <c r="D1233" s="2" t="str">
        <f t="shared" si="18"/>
        <v>Error?</v>
      </c>
    </row>
    <row r="1234" spans="1:4" x14ac:dyDescent="0.2">
      <c r="A1234" s="5">
        <v>1173</v>
      </c>
      <c r="B1234" s="1831">
        <f>'Expenditures 15-22'!D151</f>
        <v>36455</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174391</v>
      </c>
      <c r="D1237" s="2" t="str">
        <f t="shared" si="18"/>
        <v>Error?</v>
      </c>
    </row>
    <row r="1238" spans="1:4" x14ac:dyDescent="0.2">
      <c r="A1238" s="10">
        <v>1177</v>
      </c>
      <c r="B1238" s="1831"/>
      <c r="D1238" s="2" t="str">
        <f t="shared" si="18"/>
        <v>OK</v>
      </c>
    </row>
    <row r="1239" spans="1:4" x14ac:dyDescent="0.2">
      <c r="A1239" s="5">
        <v>1178</v>
      </c>
      <c r="B1239" s="1831">
        <f>'Expenditures 15-22'!E127</f>
        <v>174391</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174391</v>
      </c>
      <c r="C1241" s="2" t="s">
        <v>569</v>
      </c>
      <c r="D1241" s="2" t="str">
        <f t="shared" si="18"/>
        <v>Error?</v>
      </c>
    </row>
    <row r="1242" spans="1:4" x14ac:dyDescent="0.2">
      <c r="A1242" s="5">
        <v>1181</v>
      </c>
      <c r="B1242" s="1831">
        <f>'Expenditures 15-22'!E151</f>
        <v>174391</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90075</v>
      </c>
      <c r="D1245" s="2" t="str">
        <f t="shared" si="18"/>
        <v>Error?</v>
      </c>
    </row>
    <row r="1246" spans="1:4" x14ac:dyDescent="0.2">
      <c r="A1246" s="10">
        <v>1185</v>
      </c>
      <c r="B1246" s="1831"/>
      <c r="D1246" s="2" t="str">
        <f t="shared" si="18"/>
        <v>OK</v>
      </c>
    </row>
    <row r="1247" spans="1:4" x14ac:dyDescent="0.2">
      <c r="A1247" s="5">
        <v>1186</v>
      </c>
      <c r="B1247" s="1831">
        <f>'Expenditures 15-22'!F127</f>
        <v>90075</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90075</v>
      </c>
      <c r="C1249" s="2" t="s">
        <v>569</v>
      </c>
      <c r="D1249" s="2" t="str">
        <f t="shared" si="18"/>
        <v>Error?</v>
      </c>
    </row>
    <row r="1250" spans="1:4" x14ac:dyDescent="0.2">
      <c r="A1250" s="5">
        <v>1189</v>
      </c>
      <c r="B1250" s="1831">
        <f>'Expenditures 15-22'!F151</f>
        <v>90075</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5171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5171</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5171</v>
      </c>
      <c r="C1258" s="2" t="s">
        <v>569</v>
      </c>
      <c r="D1258" s="2" t="str">
        <f t="shared" si="18"/>
        <v>Error?</v>
      </c>
    </row>
    <row r="1259" spans="1:4" x14ac:dyDescent="0.2">
      <c r="A1259" s="5">
        <v>1198</v>
      </c>
      <c r="B1259" s="1831">
        <f>'Expenditures 15-22'!G151</f>
        <v>5171</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575085</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575085</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575085</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575085</v>
      </c>
      <c r="C1288" s="2" t="s">
        <v>569</v>
      </c>
      <c r="D1288" s="2" t="str">
        <f t="shared" si="19"/>
        <v>Error?</v>
      </c>
    </row>
    <row r="1289" spans="1:4" x14ac:dyDescent="0.2">
      <c r="A1289" s="5">
        <v>1228</v>
      </c>
      <c r="B1289" s="1831">
        <f>'Expenditures 15-22'!K152</f>
        <v>23481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203863</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223669</v>
      </c>
      <c r="D1315" s="2" t="str">
        <f t="shared" si="19"/>
        <v>Error?</v>
      </c>
    </row>
    <row r="1316" spans="1:4" x14ac:dyDescent="0.2">
      <c r="A1316" s="5">
        <v>1255</v>
      </c>
      <c r="B1316" s="1831">
        <f>'Expenditures 15-22'!H171</f>
        <v>2524</v>
      </c>
      <c r="D1316" s="2" t="str">
        <f t="shared" si="19"/>
        <v>Error?</v>
      </c>
    </row>
    <row r="1317" spans="1:4" x14ac:dyDescent="0.2">
      <c r="A1317" s="5">
        <v>1256</v>
      </c>
      <c r="B1317" s="1831">
        <f>'Expenditures 15-22'!H172</f>
        <v>430056</v>
      </c>
      <c r="C1317" s="2" t="s">
        <v>569</v>
      </c>
      <c r="D1317" s="2" t="str">
        <f t="shared" si="19"/>
        <v>Error?</v>
      </c>
    </row>
    <row r="1318" spans="1:4" x14ac:dyDescent="0.2">
      <c r="A1318" s="5">
        <v>1257</v>
      </c>
      <c r="B1318" s="1831">
        <f>'Expenditures 15-22'!H174</f>
        <v>430056</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203863</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223669</v>
      </c>
      <c r="C1329" s="2" t="s">
        <v>569</v>
      </c>
      <c r="D1329" s="2" t="str">
        <f t="shared" si="19"/>
        <v>Error?</v>
      </c>
    </row>
    <row r="1330" spans="1:4" x14ac:dyDescent="0.2">
      <c r="A1330" s="5">
        <v>1269</v>
      </c>
      <c r="B1330" s="1831">
        <f>'Expenditures 15-22'!K171</f>
        <v>2524</v>
      </c>
      <c r="C1330" s="2" t="s">
        <v>569</v>
      </c>
      <c r="D1330" s="2" t="str">
        <f t="shared" si="19"/>
        <v>Error?</v>
      </c>
    </row>
    <row r="1331" spans="1:4" x14ac:dyDescent="0.2">
      <c r="A1331" s="5">
        <v>1270</v>
      </c>
      <c r="B1331" s="1831">
        <f>'Expenditures 15-22'!K172</f>
        <v>430056</v>
      </c>
      <c r="C1331" s="2" t="s">
        <v>569</v>
      </c>
      <c r="D1331" s="2" t="str">
        <f t="shared" si="19"/>
        <v>Error?</v>
      </c>
    </row>
    <row r="1332" spans="1:4" x14ac:dyDescent="0.2">
      <c r="A1332" s="5">
        <v>1271</v>
      </c>
      <c r="B1332" s="1831">
        <f>'Expenditures 15-22'!K174</f>
        <v>430056</v>
      </c>
      <c r="C1332" s="2" t="s">
        <v>569</v>
      </c>
      <c r="D1332" s="2" t="str">
        <f t="shared" si="19"/>
        <v>Error?</v>
      </c>
    </row>
    <row r="1333" spans="1:4" x14ac:dyDescent="0.2">
      <c r="A1333" s="5">
        <v>1272</v>
      </c>
      <c r="B1333" s="1831">
        <f>'Expenditures 15-22'!K175</f>
        <v>-21764</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126149</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126149</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126149</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126149</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126149</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126149</v>
      </c>
      <c r="C1388" s="2" t="s">
        <v>569</v>
      </c>
      <c r="D1388" s="2" t="str">
        <f t="shared" si="20"/>
        <v>Error?</v>
      </c>
    </row>
    <row r="1389" spans="1:4" x14ac:dyDescent="0.2">
      <c r="A1389" s="5">
        <v>1328</v>
      </c>
      <c r="B1389" s="1831">
        <f>'Expenditures 15-22'!K211</f>
        <v>33019</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1299</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2137</v>
      </c>
      <c r="D1408" s="2" t="str">
        <f t="shared" si="21"/>
        <v>Error?</v>
      </c>
    </row>
    <row r="1409" spans="1:4" x14ac:dyDescent="0.2">
      <c r="A1409" s="5">
        <v>1348</v>
      </c>
      <c r="B1409" s="1831">
        <f>'Expenditures 15-22'!D224</f>
        <v>129</v>
      </c>
      <c r="D1409" s="2" t="str">
        <f t="shared" si="21"/>
        <v>Error?</v>
      </c>
    </row>
    <row r="1410" spans="1:4" x14ac:dyDescent="0.2">
      <c r="A1410" s="5">
        <v>1349</v>
      </c>
      <c r="B1410" s="1831">
        <f>'Expenditures 15-22'!D229</f>
        <v>97329</v>
      </c>
      <c r="C1410" s="2" t="s">
        <v>569</v>
      </c>
      <c r="D1410" s="2" t="str">
        <f t="shared" si="21"/>
        <v>Error?</v>
      </c>
    </row>
    <row r="1411" spans="1:4" x14ac:dyDescent="0.2">
      <c r="A1411" s="5">
        <v>1350</v>
      </c>
      <c r="B1411" s="1831">
        <f>'Expenditures 15-22'!D232</f>
        <v>1373</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7680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1193</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10246</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9661</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9661</v>
      </c>
      <c r="C1421" s="2" t="s">
        <v>569</v>
      </c>
      <c r="D1421" s="2" t="str">
        <f t="shared" si="21"/>
        <v>Error?</v>
      </c>
    </row>
    <row r="1422" spans="1:4" x14ac:dyDescent="0.2">
      <c r="A1422" s="5">
        <v>1361</v>
      </c>
      <c r="B1422" s="1831">
        <f>'Expenditures 15-22'!D245</f>
        <v>9014</v>
      </c>
      <c r="D1422" s="2" t="str">
        <f t="shared" si="21"/>
        <v>Error?</v>
      </c>
    </row>
    <row r="1423" spans="1:4" x14ac:dyDescent="0.2">
      <c r="A1423" s="5">
        <v>1362</v>
      </c>
      <c r="B1423" s="1831">
        <f>'Expenditures 15-22'!D246</f>
        <v>2673</v>
      </c>
      <c r="D1423" s="2" t="str">
        <f t="shared" si="21"/>
        <v>Error?</v>
      </c>
    </row>
    <row r="1424" spans="1:4" x14ac:dyDescent="0.2">
      <c r="A1424" s="5">
        <v>1363</v>
      </c>
      <c r="B1424" s="1831">
        <f>'Expenditures 15-22'!D257</f>
        <v>11687</v>
      </c>
      <c r="C1424" s="2" t="s">
        <v>569</v>
      </c>
      <c r="D1424" s="2" t="str">
        <f t="shared" si="21"/>
        <v>Error?</v>
      </c>
    </row>
    <row r="1425" spans="1:4" x14ac:dyDescent="0.2">
      <c r="A1425" s="5">
        <v>1364</v>
      </c>
      <c r="B1425" s="1831">
        <f>'Expenditures 15-22'!D259</f>
        <v>8946</v>
      </c>
      <c r="D1425" s="2" t="str">
        <f t="shared" si="21"/>
        <v>Error?</v>
      </c>
    </row>
    <row r="1426" spans="1:4" x14ac:dyDescent="0.2">
      <c r="A1426" s="5">
        <v>1365</v>
      </c>
      <c r="B1426" s="1831">
        <f>'Expenditures 15-22'!D260</f>
        <v>2344</v>
      </c>
      <c r="D1426" s="2" t="str">
        <f t="shared" si="21"/>
        <v>Error?</v>
      </c>
    </row>
    <row r="1427" spans="1:4" x14ac:dyDescent="0.2">
      <c r="A1427" s="5">
        <v>1366</v>
      </c>
      <c r="B1427" s="1831">
        <f>'Expenditures 15-22'!D261</f>
        <v>11290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16998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39499</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5823</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62320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105204</v>
      </c>
      <c r="C1446" s="2" t="s">
        <v>569</v>
      </c>
      <c r="D1446" s="2" t="str">
        <f t="shared" si="21"/>
        <v>Error?</v>
      </c>
    </row>
    <row r="1447" spans="1:4" x14ac:dyDescent="0.2">
      <c r="A1447" s="5">
        <v>1386</v>
      </c>
      <c r="B1447" s="1831">
        <f>'Expenditures 15-22'!D280</f>
        <v>5411</v>
      </c>
      <c r="D1447" s="2" t="str">
        <f t="shared" si="21"/>
        <v>Error?</v>
      </c>
    </row>
    <row r="1448" spans="1:4" x14ac:dyDescent="0.2">
      <c r="A1448" s="5">
        <v>1387</v>
      </c>
      <c r="B1448" s="1831">
        <f>'Expenditures 15-22'!D295</f>
        <v>207944</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1299</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2137</v>
      </c>
      <c r="C1472" s="2" t="s">
        <v>569</v>
      </c>
      <c r="D1472" s="2" t="str">
        <f t="shared" si="22"/>
        <v>Error?</v>
      </c>
    </row>
    <row r="1473" spans="1:4" x14ac:dyDescent="0.2">
      <c r="A1473" s="5">
        <v>1412</v>
      </c>
      <c r="B1473" s="1831">
        <f>'Expenditures 15-22'!K224</f>
        <v>129</v>
      </c>
      <c r="C1473" s="2" t="s">
        <v>569</v>
      </c>
      <c r="D1473" s="2" t="str">
        <f t="shared" si="22"/>
        <v>Error?</v>
      </c>
    </row>
    <row r="1474" spans="1:4" x14ac:dyDescent="0.2">
      <c r="A1474" s="5">
        <v>1413</v>
      </c>
      <c r="B1474" s="1831">
        <f>'Expenditures 15-22'!K229</f>
        <v>97329</v>
      </c>
      <c r="C1474" s="2" t="s">
        <v>569</v>
      </c>
      <c r="D1474" s="2" t="str">
        <f t="shared" si="22"/>
        <v>Error?</v>
      </c>
    </row>
    <row r="1475" spans="1:4" x14ac:dyDescent="0.2">
      <c r="A1475" s="5">
        <v>1414</v>
      </c>
      <c r="B1475" s="1831">
        <f>'Expenditures 15-22'!K232</f>
        <v>1373</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7680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1193</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10246</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9661</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9661</v>
      </c>
      <c r="C1485" s="2" t="s">
        <v>569</v>
      </c>
      <c r="D1485" s="2" t="str">
        <f t="shared" si="22"/>
        <v>Error?</v>
      </c>
    </row>
    <row r="1486" spans="1:4" x14ac:dyDescent="0.2">
      <c r="A1486" s="5">
        <v>1425</v>
      </c>
      <c r="B1486" s="1831">
        <f>'Expenditures 15-22'!K245</f>
        <v>9014</v>
      </c>
      <c r="C1486" s="2" t="s">
        <v>569</v>
      </c>
      <c r="D1486" s="2" t="str">
        <f t="shared" si="22"/>
        <v>Error?</v>
      </c>
    </row>
    <row r="1487" spans="1:4" x14ac:dyDescent="0.2">
      <c r="A1487" s="5">
        <v>1426</v>
      </c>
      <c r="B1487" s="1831">
        <f>'Expenditures 15-22'!K246</f>
        <v>2673</v>
      </c>
      <c r="C1487" s="2" t="s">
        <v>569</v>
      </c>
      <c r="D1487" s="2" t="str">
        <f t="shared" si="22"/>
        <v>Error?</v>
      </c>
    </row>
    <row r="1488" spans="1:4" x14ac:dyDescent="0.2">
      <c r="A1488" s="5">
        <v>1427</v>
      </c>
      <c r="B1488" s="1831">
        <f>'Expenditures 15-22'!K257</f>
        <v>11687</v>
      </c>
      <c r="C1488" s="2" t="s">
        <v>569</v>
      </c>
      <c r="D1488" s="2" t="str">
        <f t="shared" si="22"/>
        <v>Error?</v>
      </c>
    </row>
    <row r="1489" spans="1:4" x14ac:dyDescent="0.2">
      <c r="A1489" s="5">
        <v>1428</v>
      </c>
      <c r="B1489" s="1831">
        <f>'Expenditures 15-22'!K259</f>
        <v>8946</v>
      </c>
      <c r="C1489" s="2" t="s">
        <v>569</v>
      </c>
      <c r="D1489" s="2" t="str">
        <f t="shared" si="22"/>
        <v>Error?</v>
      </c>
    </row>
    <row r="1490" spans="1:4" x14ac:dyDescent="0.2">
      <c r="A1490" s="5">
        <v>1429</v>
      </c>
      <c r="B1490" s="1831">
        <f>'Expenditures 15-22'!K260</f>
        <v>2344</v>
      </c>
      <c r="C1490" s="2" t="s">
        <v>569</v>
      </c>
      <c r="D1490" s="2" t="str">
        <f t="shared" si="22"/>
        <v>Error?</v>
      </c>
    </row>
    <row r="1491" spans="1:4" x14ac:dyDescent="0.2">
      <c r="A1491" s="5">
        <v>1430</v>
      </c>
      <c r="B1491" s="1831">
        <f>'Expenditures 15-22'!K261</f>
        <v>11290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16998</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39499</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5823</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62320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105204</v>
      </c>
      <c r="C1510" s="2" t="s">
        <v>569</v>
      </c>
      <c r="D1510" s="2" t="str">
        <f t="shared" si="22"/>
        <v>Error?</v>
      </c>
    </row>
    <row r="1511" spans="1:4" x14ac:dyDescent="0.2">
      <c r="A1511" s="5">
        <v>1450</v>
      </c>
      <c r="B1511" s="1831">
        <f>'Expenditures 15-22'!K280</f>
        <v>5411</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207944</v>
      </c>
      <c r="C1517" s="2" t="s">
        <v>569</v>
      </c>
      <c r="D1517" s="2" t="str">
        <f t="shared" si="22"/>
        <v>Error?</v>
      </c>
    </row>
    <row r="1518" spans="1:4" x14ac:dyDescent="0.2">
      <c r="A1518" s="5">
        <v>1457</v>
      </c>
      <c r="B1518" s="1831">
        <f>'Expenditures 15-22'!K296</f>
        <v>-7895</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1529498</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1176269</v>
      </c>
      <c r="C1630" s="2" t="s">
        <v>569</v>
      </c>
      <c r="D1630" s="2" t="str">
        <f t="shared" si="24"/>
        <v>Error?</v>
      </c>
    </row>
    <row r="1631" spans="1:4" x14ac:dyDescent="0.2">
      <c r="A1631" s="5">
        <v>1570</v>
      </c>
      <c r="B1631" s="1831">
        <f>'Acct Summary 7-8'!D79</f>
        <v>910787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934268</v>
      </c>
      <c r="C1644" s="2" t="s">
        <v>569</v>
      </c>
      <c r="D1644" s="2" t="str">
        <f t="shared" si="24"/>
        <v>Error?</v>
      </c>
    </row>
    <row r="1645" spans="1:4" x14ac:dyDescent="0.2">
      <c r="A1645" s="5">
        <v>1584</v>
      </c>
      <c r="B1645" s="1831">
        <f>'Acct Summary 7-8'!E79</f>
        <v>673027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687007</v>
      </c>
      <c r="C1658" s="2" t="s">
        <v>569</v>
      </c>
      <c r="D1658" s="2" t="str">
        <f t="shared" si="24"/>
        <v>Error?</v>
      </c>
    </row>
    <row r="1659" spans="1:4" x14ac:dyDescent="0.2">
      <c r="A1659" s="5">
        <v>1598</v>
      </c>
      <c r="B1659" s="1831">
        <f>'Acct Summary 7-8'!F79</f>
        <v>203929</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236948</v>
      </c>
      <c r="C1672" s="2" t="s">
        <v>569</v>
      </c>
      <c r="D1672" s="2" t="str">
        <f t="shared" si="25"/>
        <v>Error?</v>
      </c>
    </row>
    <row r="1673" spans="1:4" x14ac:dyDescent="0.2">
      <c r="A1673" s="5">
        <v>1612</v>
      </c>
      <c r="B1673" s="1831">
        <f>'Acct Summary 7-8'!G79</f>
        <v>72521</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64626</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3813945</v>
      </c>
      <c r="C1744" s="2" t="s">
        <v>569</v>
      </c>
      <c r="D1744" s="2" t="str">
        <f t="shared" si="26"/>
        <v>Error?</v>
      </c>
    </row>
    <row r="1745" spans="1:5" x14ac:dyDescent="0.2">
      <c r="A1745" s="5">
        <v>1684</v>
      </c>
      <c r="B1745" s="1831">
        <f>'Tax Sched 23'!B5</f>
        <v>430801</v>
      </c>
      <c r="C1745" s="2" t="s">
        <v>569</v>
      </c>
      <c r="D1745" s="2" t="str">
        <f t="shared" si="26"/>
        <v>Error?</v>
      </c>
    </row>
    <row r="1746" spans="1:5" x14ac:dyDescent="0.2">
      <c r="A1746" s="5">
        <v>1685</v>
      </c>
      <c r="B1746" s="1831">
        <f>'Tax Sched 23'!B6</f>
        <v>395374</v>
      </c>
      <c r="C1746" s="2" t="s">
        <v>569</v>
      </c>
      <c r="D1746" s="2" t="str">
        <f t="shared" si="26"/>
        <v>Error?</v>
      </c>
    </row>
    <row r="1747" spans="1:5" x14ac:dyDescent="0.2">
      <c r="A1747" s="5">
        <v>1686</v>
      </c>
      <c r="B1747" s="1831">
        <f>'Tax Sched 23'!B7</f>
        <v>96502</v>
      </c>
      <c r="C1747" s="2" t="s">
        <v>569</v>
      </c>
      <c r="D1747" s="2" t="str">
        <f t="shared" si="26"/>
        <v>Error?</v>
      </c>
    </row>
    <row r="1748" spans="1:5" x14ac:dyDescent="0.2">
      <c r="A1748" s="5">
        <v>1687</v>
      </c>
      <c r="B1748" s="1831">
        <f>'Tax Sched 23'!B8</f>
        <v>155769</v>
      </c>
      <c r="C1748" s="2" t="s">
        <v>569</v>
      </c>
      <c r="D1748" s="2" t="str">
        <f t="shared" si="26"/>
        <v>Error?</v>
      </c>
    </row>
    <row r="1749" spans="1:5" x14ac:dyDescent="0.2">
      <c r="A1749" s="5">
        <v>1688</v>
      </c>
      <c r="B1749" s="1831">
        <f>'Tax Sched 23'!B10</f>
        <v>36204</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381973</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5310568</v>
      </c>
      <c r="C1759" s="2" t="s">
        <v>569</v>
      </c>
      <c r="D1759" s="2" t="str">
        <f t="shared" si="26"/>
        <v>Error?</v>
      </c>
    </row>
    <row r="1760" spans="1:5" x14ac:dyDescent="0.2">
      <c r="A1760" s="5">
        <v>1699</v>
      </c>
      <c r="B1760" s="1831">
        <f>'Tax Sched 23'!D4</f>
        <v>1695602</v>
      </c>
      <c r="C1760" s="2" t="s">
        <v>569</v>
      </c>
      <c r="D1760" s="2" t="str">
        <f t="shared" si="26"/>
        <v>Error?</v>
      </c>
    </row>
    <row r="1761" spans="1:7" x14ac:dyDescent="0.2">
      <c r="A1761" s="5">
        <v>1700</v>
      </c>
      <c r="B1761" s="1831">
        <f>'Tax Sched 23'!D5</f>
        <v>191462</v>
      </c>
      <c r="C1761" s="2" t="s">
        <v>569</v>
      </c>
      <c r="D1761" s="2" t="str">
        <f t="shared" si="26"/>
        <v>Error?</v>
      </c>
    </row>
    <row r="1762" spans="1:7" s="8" customFormat="1" x14ac:dyDescent="0.2">
      <c r="A1762" s="5">
        <v>1701</v>
      </c>
      <c r="B1762" s="1831">
        <f>'Tax Sched 23'!D6</f>
        <v>175808</v>
      </c>
      <c r="C1762" s="2" t="s">
        <v>569</v>
      </c>
      <c r="D1762" s="2" t="str">
        <f t="shared" si="26"/>
        <v>Error?</v>
      </c>
      <c r="E1762" s="9"/>
      <c r="G1762"/>
    </row>
    <row r="1763" spans="1:7" x14ac:dyDescent="0.2">
      <c r="A1763" s="5">
        <v>1702</v>
      </c>
      <c r="B1763" s="1831">
        <f>'Tax Sched 23'!D7</f>
        <v>42791</v>
      </c>
      <c r="C1763" s="2" t="s">
        <v>569</v>
      </c>
      <c r="D1763" s="2" t="str">
        <f t="shared" si="26"/>
        <v>Error?</v>
      </c>
    </row>
    <row r="1764" spans="1:7" x14ac:dyDescent="0.2">
      <c r="A1764" s="5">
        <v>1703</v>
      </c>
      <c r="B1764" s="1831">
        <f>'Tax Sched 23'!D8</f>
        <v>68710</v>
      </c>
      <c r="C1764" s="2" t="s">
        <v>569</v>
      </c>
      <c r="D1764" s="2" t="str">
        <f t="shared" si="26"/>
        <v>Error?</v>
      </c>
    </row>
    <row r="1765" spans="1:7" x14ac:dyDescent="0.2">
      <c r="A1765" s="5">
        <v>1704</v>
      </c>
      <c r="B1765" s="1831">
        <f>'Tax Sched 23'!D10</f>
        <v>15251</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169784</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2359408</v>
      </c>
      <c r="C1775" s="2" t="s">
        <v>569</v>
      </c>
      <c r="D1775" s="2" t="str">
        <f t="shared" si="26"/>
        <v>Error?</v>
      </c>
    </row>
    <row r="1776" spans="1:7" x14ac:dyDescent="0.2">
      <c r="A1776" s="5">
        <v>1715</v>
      </c>
      <c r="B1776" s="1831">
        <f>'Tax Sched 23'!C4</f>
        <v>2118343</v>
      </c>
      <c r="D1776" s="2" t="str">
        <f t="shared" si="26"/>
        <v>Error?</v>
      </c>
    </row>
    <row r="1777" spans="1:4" x14ac:dyDescent="0.2">
      <c r="A1777" s="5">
        <v>1716</v>
      </c>
      <c r="B1777" s="1831">
        <f>'Tax Sched 23'!C5</f>
        <v>239339</v>
      </c>
      <c r="D1777" s="2" t="str">
        <f t="shared" si="26"/>
        <v>Error?</v>
      </c>
    </row>
    <row r="1778" spans="1:4" x14ac:dyDescent="0.2">
      <c r="A1778" s="5">
        <v>1717</v>
      </c>
      <c r="B1778" s="1831">
        <f>'Tax Sched 23'!C6</f>
        <v>219566</v>
      </c>
      <c r="D1778" s="2" t="str">
        <f t="shared" si="26"/>
        <v>Error?</v>
      </c>
    </row>
    <row r="1779" spans="1:4" x14ac:dyDescent="0.2">
      <c r="A1779" s="5">
        <v>1718</v>
      </c>
      <c r="B1779" s="1831">
        <f>'Tax Sched 23'!C7</f>
        <v>53711</v>
      </c>
      <c r="D1779" s="2" t="str">
        <f t="shared" si="26"/>
        <v>Error?</v>
      </c>
    </row>
    <row r="1780" spans="1:4" x14ac:dyDescent="0.2">
      <c r="A1780" s="5">
        <v>1719</v>
      </c>
      <c r="B1780" s="1831">
        <f>'Tax Sched 23'!C8</f>
        <v>87059</v>
      </c>
      <c r="D1780" s="2" t="str">
        <f t="shared" si="26"/>
        <v>Error?</v>
      </c>
    </row>
    <row r="1781" spans="1:4" x14ac:dyDescent="0.2">
      <c r="A1781" s="5">
        <v>1720</v>
      </c>
      <c r="B1781" s="1831">
        <f>'Tax Sched 23'!C10</f>
        <v>20953</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212189</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2951160</v>
      </c>
      <c r="C1791" s="2" t="s">
        <v>569</v>
      </c>
      <c r="D1791" s="2" t="str">
        <f t="shared" ref="D1791:D1854" si="27">IF(ISBLANK(B1791),"OK",IF(A1791-B1791=0,"OK","Error?"))</f>
        <v>Error?</v>
      </c>
    </row>
    <row r="1792" spans="1:4" x14ac:dyDescent="0.2">
      <c r="A1792" s="5">
        <v>1731</v>
      </c>
      <c r="B1792" s="1831">
        <f>'Tax Sched 23'!F4</f>
        <v>1913070</v>
      </c>
      <c r="C1792" s="2" t="s">
        <v>569</v>
      </c>
      <c r="D1792" s="2" t="str">
        <f t="shared" si="27"/>
        <v>Error?</v>
      </c>
    </row>
    <row r="1793" spans="1:4" x14ac:dyDescent="0.2">
      <c r="A1793" s="5">
        <v>1732</v>
      </c>
      <c r="B1793" s="1831">
        <f>'Tax Sched 23'!F5</f>
        <v>216245</v>
      </c>
      <c r="C1793" s="2" t="s">
        <v>569</v>
      </c>
      <c r="D1793" s="2" t="str">
        <f t="shared" si="27"/>
        <v>Error?</v>
      </c>
    </row>
    <row r="1794" spans="1:4" x14ac:dyDescent="0.2">
      <c r="A1794" s="5">
        <v>1733</v>
      </c>
      <c r="B1794" s="1831">
        <f>'Tax Sched 23'!F6</f>
        <v>198321</v>
      </c>
      <c r="C1794" s="2" t="s">
        <v>569</v>
      </c>
      <c r="D1794" s="2" t="str">
        <f t="shared" si="27"/>
        <v>Error?</v>
      </c>
    </row>
    <row r="1795" spans="1:4" x14ac:dyDescent="0.2">
      <c r="A1795" s="5">
        <v>1734</v>
      </c>
      <c r="B1795" s="1831">
        <f>'Tax Sched 23'!F7</f>
        <v>48474</v>
      </c>
      <c r="C1795" s="2" t="s">
        <v>569</v>
      </c>
      <c r="D1795" s="2" t="str">
        <f t="shared" si="27"/>
        <v>Error?</v>
      </c>
    </row>
    <row r="1796" spans="1:4" x14ac:dyDescent="0.2">
      <c r="A1796" s="5">
        <v>1735</v>
      </c>
      <c r="B1796" s="1831">
        <f>'Tax Sched 23'!F8</f>
        <v>78304</v>
      </c>
      <c r="C1796" s="2" t="s">
        <v>569</v>
      </c>
      <c r="D1796" s="2" t="str">
        <f t="shared" si="27"/>
        <v>Error?</v>
      </c>
    </row>
    <row r="1797" spans="1:4" x14ac:dyDescent="0.2">
      <c r="A1797" s="5">
        <v>1736</v>
      </c>
      <c r="B1797" s="1831">
        <f>'Tax Sched 23'!F10</f>
        <v>19054</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191885</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2665353</v>
      </c>
      <c r="C1807" s="2" t="s">
        <v>569</v>
      </c>
      <c r="D1807" s="2" t="str">
        <f t="shared" si="27"/>
        <v>Error?</v>
      </c>
    </row>
    <row r="1808" spans="1:4" x14ac:dyDescent="0.2">
      <c r="A1808" s="5">
        <v>1747</v>
      </c>
      <c r="B1808" s="1831">
        <f>'Tax Sched 23'!E4</f>
        <v>4031413</v>
      </c>
      <c r="D1808" s="2" t="str">
        <f t="shared" si="27"/>
        <v>Error?</v>
      </c>
    </row>
    <row r="1809" spans="1:4" x14ac:dyDescent="0.2">
      <c r="A1809" s="5">
        <v>1748</v>
      </c>
      <c r="B1809" s="1831">
        <f>'Tax Sched 23'!E5</f>
        <v>455584</v>
      </c>
      <c r="D1809" s="2" t="str">
        <f t="shared" si="27"/>
        <v>Error?</v>
      </c>
    </row>
    <row r="1810" spans="1:4" x14ac:dyDescent="0.2">
      <c r="A1810" s="5">
        <v>1749</v>
      </c>
      <c r="B1810" s="1831">
        <f>'Tax Sched 23'!E6</f>
        <v>417887</v>
      </c>
      <c r="D1810" s="2" t="str">
        <f t="shared" si="27"/>
        <v>Error?</v>
      </c>
    </row>
    <row r="1811" spans="1:4" x14ac:dyDescent="0.2">
      <c r="A1811" s="5">
        <v>1750</v>
      </c>
      <c r="B1811" s="1831">
        <f>'Tax Sched 23'!E7</f>
        <v>102185</v>
      </c>
      <c r="D1811" s="2" t="str">
        <f t="shared" si="27"/>
        <v>Error?</v>
      </c>
    </row>
    <row r="1812" spans="1:4" x14ac:dyDescent="0.2">
      <c r="A1812" s="5">
        <v>1751</v>
      </c>
      <c r="B1812" s="1831">
        <f>'Tax Sched 23'!E8</f>
        <v>165363</v>
      </c>
      <c r="D1812" s="2" t="str">
        <f t="shared" si="27"/>
        <v>Error?</v>
      </c>
    </row>
    <row r="1813" spans="1:4" x14ac:dyDescent="0.2">
      <c r="A1813" s="5">
        <v>1752</v>
      </c>
      <c r="B1813" s="1831">
        <f>'Tax Sched 23'!E10</f>
        <v>40007</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404074</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5616513</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800000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800000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800000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800000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4908712</v>
      </c>
      <c r="C1939" s="2" t="s">
        <v>569</v>
      </c>
      <c r="D1939" s="2" t="str">
        <f t="shared" si="29"/>
        <v>Error?</v>
      </c>
    </row>
    <row r="1940" spans="1:5" x14ac:dyDescent="0.2">
      <c r="A1940" s="5">
        <v>1879</v>
      </c>
      <c r="B1940" s="1831">
        <f>'Short-Term Long-Term Debt 24'!F49</f>
        <v>35235</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381974</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381974</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381974</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264189</v>
      </c>
      <c r="D2008" s="2" t="str">
        <f t="shared" si="30"/>
        <v>Error?</v>
      </c>
    </row>
    <row r="2009" spans="1:4" x14ac:dyDescent="0.2">
      <c r="A2009" s="5">
        <v>1948</v>
      </c>
      <c r="B2009" s="1831">
        <f>'Cap Outlay Deprec 26'!C8</f>
        <v>3437843</v>
      </c>
      <c r="D2009" s="2" t="str">
        <f t="shared" si="30"/>
        <v>Error?</v>
      </c>
    </row>
    <row r="2010" spans="1:4" x14ac:dyDescent="0.2">
      <c r="A2010" s="5">
        <v>1949</v>
      </c>
      <c r="B2010" s="1831">
        <f>'Cap Outlay Deprec 26'!C10</f>
        <v>94743</v>
      </c>
      <c r="D2010" s="2" t="str">
        <f t="shared" si="30"/>
        <v>Error?</v>
      </c>
    </row>
    <row r="2011" spans="1:4" x14ac:dyDescent="0.2">
      <c r="A2011" s="5">
        <v>1950</v>
      </c>
      <c r="B2011" s="1831">
        <f>'Cap Outlay Deprec 26'!C12</f>
        <v>0</v>
      </c>
      <c r="D2011" s="2" t="str">
        <f t="shared" si="30"/>
        <v>Error?</v>
      </c>
    </row>
    <row r="2012" spans="1:4" x14ac:dyDescent="0.2">
      <c r="A2012" s="5">
        <v>1951</v>
      </c>
      <c r="B2012" s="1831">
        <f>'Cap Outlay Deprec 26'!C13</f>
        <v>1747887</v>
      </c>
      <c r="D2012" s="2" t="str">
        <f t="shared" si="30"/>
        <v>Error?</v>
      </c>
    </row>
    <row r="2013" spans="1:4" x14ac:dyDescent="0.2">
      <c r="A2013" s="5">
        <v>1952</v>
      </c>
      <c r="B2013" s="1831">
        <f>'Cap Outlay Deprec 26'!C16</f>
        <v>5544662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5172</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58199</v>
      </c>
      <c r="D2018" s="2" t="str">
        <f t="shared" si="30"/>
        <v>Error?</v>
      </c>
    </row>
    <row r="2019" spans="1:4" x14ac:dyDescent="0.2">
      <c r="A2019" s="5">
        <v>1958</v>
      </c>
      <c r="B2019" s="1831">
        <f>'Cap Outlay Deprec 26'!D16</f>
        <v>63371</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2541</v>
      </c>
      <c r="D2024" s="2" t="str">
        <f t="shared" si="30"/>
        <v>Error?</v>
      </c>
    </row>
    <row r="2025" spans="1:4" x14ac:dyDescent="0.2">
      <c r="A2025" s="5">
        <v>1964</v>
      </c>
      <c r="B2025" s="1831">
        <f>'Cap Outlay Deprec 26'!E16</f>
        <v>2541</v>
      </c>
      <c r="C2025" s="2" t="s">
        <v>569</v>
      </c>
      <c r="D2025" s="2" t="str">
        <f t="shared" si="30"/>
        <v>Error?</v>
      </c>
    </row>
    <row r="2026" spans="1:4" x14ac:dyDescent="0.2">
      <c r="A2026" s="5">
        <v>1965</v>
      </c>
      <c r="B2026" s="1831">
        <f>'Cap Outlay Deprec 26'!F5</f>
        <v>264189</v>
      </c>
      <c r="C2026" s="2" t="s">
        <v>569</v>
      </c>
      <c r="D2026" s="2" t="str">
        <f t="shared" si="30"/>
        <v>Error?</v>
      </c>
    </row>
    <row r="2027" spans="1:4" x14ac:dyDescent="0.2">
      <c r="A2027" s="5">
        <v>1966</v>
      </c>
      <c r="B2027" s="1831">
        <f>'Cap Outlay Deprec 26'!F8</f>
        <v>3443015</v>
      </c>
      <c r="C2027" s="2" t="s">
        <v>569</v>
      </c>
      <c r="D2027" s="2" t="str">
        <f t="shared" si="30"/>
        <v>Error?</v>
      </c>
    </row>
    <row r="2028" spans="1:4" x14ac:dyDescent="0.2">
      <c r="A2028" s="5">
        <v>1967</v>
      </c>
      <c r="B2028" s="1831">
        <f>'Cap Outlay Deprec 26'!F10</f>
        <v>94743</v>
      </c>
      <c r="C2028" s="2" t="s">
        <v>569</v>
      </c>
      <c r="D2028" s="2" t="str">
        <f t="shared" si="30"/>
        <v>Error?</v>
      </c>
    </row>
    <row r="2029" spans="1:4" x14ac:dyDescent="0.2">
      <c r="A2029" s="5">
        <v>1968</v>
      </c>
      <c r="B2029" s="1831">
        <f>'Cap Outlay Deprec 26'!F12</f>
        <v>0</v>
      </c>
      <c r="C2029" s="2" t="s">
        <v>569</v>
      </c>
      <c r="D2029" s="2" t="str">
        <f t="shared" si="30"/>
        <v>Error?</v>
      </c>
    </row>
    <row r="2030" spans="1:4" x14ac:dyDescent="0.2">
      <c r="A2030" s="5">
        <v>1969</v>
      </c>
      <c r="B2030" s="1831">
        <f>'Cap Outlay Deprec 26'!F13</f>
        <v>1803545</v>
      </c>
      <c r="C2030" s="2" t="s">
        <v>569</v>
      </c>
      <c r="D2030" s="2" t="str">
        <f t="shared" si="30"/>
        <v>Error?</v>
      </c>
    </row>
    <row r="2031" spans="1:4" x14ac:dyDescent="0.2">
      <c r="A2031" s="5">
        <v>1970</v>
      </c>
      <c r="B2031" s="1831">
        <f>'Cap Outlay Deprec 26'!F16</f>
        <v>5605492</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1907297</v>
      </c>
      <c r="D2033" s="2" t="str">
        <f t="shared" si="30"/>
        <v>Error?</v>
      </c>
    </row>
    <row r="2034" spans="1:4" x14ac:dyDescent="0.2">
      <c r="A2034" s="5">
        <v>1973</v>
      </c>
      <c r="B2034" s="1831">
        <f>'Cap Outlay Deprec 26'!H10</f>
        <v>93439</v>
      </c>
      <c r="D2034" s="2" t="str">
        <f t="shared" si="30"/>
        <v>Error?</v>
      </c>
    </row>
    <row r="2035" spans="1:4" x14ac:dyDescent="0.2">
      <c r="A2035" s="5">
        <v>1974</v>
      </c>
      <c r="B2035" s="1831">
        <f>'Cap Outlay Deprec 26'!H12</f>
        <v>0</v>
      </c>
      <c r="D2035" s="2" t="str">
        <f t="shared" si="30"/>
        <v>Error?</v>
      </c>
    </row>
    <row r="2036" spans="1:4" x14ac:dyDescent="0.2">
      <c r="A2036" s="5">
        <v>1975</v>
      </c>
      <c r="B2036" s="1831">
        <f>'Cap Outlay Deprec 26'!H13</f>
        <v>1206420</v>
      </c>
      <c r="D2036" s="2" t="str">
        <f t="shared" si="30"/>
        <v>Error?</v>
      </c>
    </row>
    <row r="2037" spans="1:4" x14ac:dyDescent="0.2">
      <c r="A2037" s="5">
        <v>1976</v>
      </c>
      <c r="B2037" s="1831">
        <f>'Cap Outlay Deprec 26'!H16</f>
        <v>3207156</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75601</v>
      </c>
      <c r="D2039" s="2" t="str">
        <f t="shared" si="30"/>
        <v>Error?</v>
      </c>
    </row>
    <row r="2040" spans="1:4" x14ac:dyDescent="0.2">
      <c r="A2040" s="5">
        <v>1979</v>
      </c>
      <c r="B2040" s="1831">
        <f>'Cap Outlay Deprec 26'!I10</f>
        <v>182</v>
      </c>
      <c r="D2040" s="2" t="str">
        <f t="shared" si="30"/>
        <v>Error?</v>
      </c>
    </row>
    <row r="2041" spans="1:4" x14ac:dyDescent="0.2">
      <c r="A2041" s="5">
        <v>1980</v>
      </c>
      <c r="B2041" s="1831">
        <f>'Cap Outlay Deprec 26'!I12</f>
        <v>0</v>
      </c>
      <c r="D2041" s="2" t="str">
        <f t="shared" si="30"/>
        <v>Error?</v>
      </c>
    </row>
    <row r="2042" spans="1:4" x14ac:dyDescent="0.2">
      <c r="A2042" s="5">
        <v>1981</v>
      </c>
      <c r="B2042" s="1831">
        <f>'Cap Outlay Deprec 26'!I13</f>
        <v>108919</v>
      </c>
      <c r="D2042" s="2" t="str">
        <f t="shared" si="30"/>
        <v>Error?</v>
      </c>
    </row>
    <row r="2043" spans="1:4" x14ac:dyDescent="0.2">
      <c r="A2043" s="5">
        <v>1982</v>
      </c>
      <c r="B2043" s="1831">
        <f>'Cap Outlay Deprec 26'!I16</f>
        <v>184702</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2541</v>
      </c>
      <c r="D2048" s="2" t="str">
        <f t="shared" si="31"/>
        <v>Error?</v>
      </c>
    </row>
    <row r="2049" spans="1:4" x14ac:dyDescent="0.2">
      <c r="A2049" s="5">
        <v>1988</v>
      </c>
      <c r="B2049" s="1831">
        <f>'Cap Outlay Deprec 26'!J16</f>
        <v>2541</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1982898</v>
      </c>
      <c r="C2051" s="2" t="s">
        <v>569</v>
      </c>
      <c r="D2051" s="2" t="str">
        <f t="shared" si="31"/>
        <v>Error?</v>
      </c>
    </row>
    <row r="2052" spans="1:4" x14ac:dyDescent="0.2">
      <c r="A2052" s="5">
        <v>1991</v>
      </c>
      <c r="B2052" s="1831">
        <f>'Cap Outlay Deprec 26'!K10</f>
        <v>93621</v>
      </c>
      <c r="C2052" s="2" t="s">
        <v>569</v>
      </c>
      <c r="D2052" s="2" t="str">
        <f t="shared" si="31"/>
        <v>Error?</v>
      </c>
    </row>
    <row r="2053" spans="1:4" x14ac:dyDescent="0.2">
      <c r="A2053" s="5">
        <v>1992</v>
      </c>
      <c r="B2053" s="1831">
        <f>'Cap Outlay Deprec 26'!K12</f>
        <v>0</v>
      </c>
      <c r="C2053" s="2" t="s">
        <v>569</v>
      </c>
      <c r="D2053" s="2" t="str">
        <f t="shared" si="31"/>
        <v>Error?</v>
      </c>
    </row>
    <row r="2054" spans="1:4" x14ac:dyDescent="0.2">
      <c r="A2054" s="5">
        <v>1993</v>
      </c>
      <c r="B2054" s="1831">
        <f>'Cap Outlay Deprec 26'!K13</f>
        <v>1312798</v>
      </c>
      <c r="C2054" s="2" t="s">
        <v>569</v>
      </c>
      <c r="D2054" s="2" t="str">
        <f t="shared" si="31"/>
        <v>Error?</v>
      </c>
    </row>
    <row r="2055" spans="1:4" x14ac:dyDescent="0.2">
      <c r="A2055" s="5">
        <v>1994</v>
      </c>
      <c r="B2055" s="1831">
        <f>'Cap Outlay Deprec 26'!K16</f>
        <v>3389317</v>
      </c>
      <c r="C2055" s="2" t="s">
        <v>569</v>
      </c>
      <c r="D2055" s="2" t="str">
        <f t="shared" si="31"/>
        <v>Error?</v>
      </c>
    </row>
    <row r="2056" spans="1:4" x14ac:dyDescent="0.2">
      <c r="A2056" s="5">
        <v>1995</v>
      </c>
      <c r="B2056" s="1831">
        <f>'Cap Outlay Deprec 26'!L5</f>
        <v>264189</v>
      </c>
      <c r="C2056" s="2" t="s">
        <v>569</v>
      </c>
      <c r="D2056" s="2" t="str">
        <f t="shared" si="31"/>
        <v>Error?</v>
      </c>
    </row>
    <row r="2057" spans="1:4" x14ac:dyDescent="0.2">
      <c r="A2057" s="5">
        <v>1996</v>
      </c>
      <c r="B2057" s="1831">
        <f>'Cap Outlay Deprec 26'!L8</f>
        <v>1460117</v>
      </c>
      <c r="C2057" s="2" t="s">
        <v>569</v>
      </c>
      <c r="D2057" s="2" t="str">
        <f t="shared" si="31"/>
        <v>Error?</v>
      </c>
    </row>
    <row r="2058" spans="1:4" x14ac:dyDescent="0.2">
      <c r="A2058" s="5">
        <v>1997</v>
      </c>
      <c r="B2058" s="1831">
        <f>'Cap Outlay Deprec 26'!L10</f>
        <v>1122</v>
      </c>
      <c r="C2058" s="2" t="s">
        <v>569</v>
      </c>
      <c r="D2058" s="2" t="str">
        <f t="shared" si="31"/>
        <v>Error?</v>
      </c>
    </row>
    <row r="2059" spans="1:4" x14ac:dyDescent="0.2">
      <c r="A2059" s="5">
        <v>1998</v>
      </c>
      <c r="B2059" s="1831">
        <f>'Cap Outlay Deprec 26'!L12</f>
        <v>0</v>
      </c>
      <c r="C2059" s="2" t="s">
        <v>569</v>
      </c>
      <c r="D2059" s="2" t="str">
        <f t="shared" si="31"/>
        <v>Error?</v>
      </c>
    </row>
    <row r="2060" spans="1:4" x14ac:dyDescent="0.2">
      <c r="A2060" s="5">
        <v>1999</v>
      </c>
      <c r="B2060" s="1831">
        <f>'Cap Outlay Deprec 26'!L13</f>
        <v>490747</v>
      </c>
      <c r="C2060" s="2" t="s">
        <v>569</v>
      </c>
      <c r="D2060" s="2" t="str">
        <f t="shared" si="31"/>
        <v>Error?</v>
      </c>
    </row>
    <row r="2061" spans="1:4" x14ac:dyDescent="0.2">
      <c r="A2061" s="5">
        <v>2000</v>
      </c>
      <c r="B2061" s="1831">
        <f>'Cap Outlay Deprec 26'!L16</f>
        <v>2216175</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391238</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733763</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236000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4874191</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646259</v>
      </c>
      <c r="C2553" s="2" t="s">
        <v>569</v>
      </c>
      <c r="D2553" s="2" t="str">
        <f t="shared" si="38"/>
        <v>Error?</v>
      </c>
    </row>
    <row r="2554" spans="1:4" x14ac:dyDescent="0.2">
      <c r="A2554" s="5">
        <v>2493</v>
      </c>
      <c r="B2554" s="1831">
        <f>'Acct Summary 7-8'!C7</f>
        <v>350122</v>
      </c>
      <c r="C2554" s="2" t="s">
        <v>569</v>
      </c>
      <c r="D2554" s="2" t="str">
        <f t="shared" si="38"/>
        <v>Error?</v>
      </c>
    </row>
    <row r="2555" spans="1:4" x14ac:dyDescent="0.2">
      <c r="A2555" s="5">
        <v>2494</v>
      </c>
      <c r="B2555" s="1831">
        <f>'Acct Summary 7-8'!C8</f>
        <v>5870572</v>
      </c>
      <c r="C2555" s="2" t="s">
        <v>569</v>
      </c>
      <c r="D2555" s="2" t="str">
        <f t="shared" si="38"/>
        <v>Error?</v>
      </c>
    </row>
    <row r="2556" spans="1:4" x14ac:dyDescent="0.2">
      <c r="A2556" s="5">
        <v>2495</v>
      </c>
      <c r="B2556" s="1831">
        <f>'Acct Summary 7-8'!C12</f>
        <v>3867883</v>
      </c>
      <c r="C2556" s="2" t="s">
        <v>569</v>
      </c>
      <c r="D2556" s="2" t="str">
        <f t="shared" si="38"/>
        <v>Error?</v>
      </c>
    </row>
    <row r="2557" spans="1:4" x14ac:dyDescent="0.2">
      <c r="A2557" s="5">
        <v>2496</v>
      </c>
      <c r="B2557" s="1831">
        <f>'Acct Summary 7-8'!C13</f>
        <v>1814756</v>
      </c>
      <c r="C2557" s="2" t="s">
        <v>569</v>
      </c>
      <c r="D2557" s="2" t="str">
        <f t="shared" si="38"/>
        <v>Error?</v>
      </c>
    </row>
    <row r="2558" spans="1:4" x14ac:dyDescent="0.2">
      <c r="A2558" s="5">
        <v>2497</v>
      </c>
      <c r="B2558" s="1831">
        <f>'Acct Summary 7-8'!C14</f>
        <v>38930</v>
      </c>
      <c r="C2558" s="2" t="s">
        <v>569</v>
      </c>
      <c r="D2558" s="2" t="str">
        <f t="shared" si="38"/>
        <v>Error?</v>
      </c>
    </row>
    <row r="2559" spans="1:4" x14ac:dyDescent="0.2">
      <c r="A2559" s="5">
        <v>2498</v>
      </c>
      <c r="B2559" s="1831">
        <f>'Acct Summary 7-8'!C15</f>
        <v>733763</v>
      </c>
      <c r="C2559" s="2" t="s">
        <v>569</v>
      </c>
      <c r="D2559" s="2" t="str">
        <f t="shared" ref="D2559:D2622" si="39">IF(ISBLANK(B2559),"OK",IF(A2559-B2559=0,"OK","Error?"))</f>
        <v>Error?</v>
      </c>
    </row>
    <row r="2560" spans="1:4" x14ac:dyDescent="0.2">
      <c r="A2560" s="5">
        <v>2499</v>
      </c>
      <c r="B2560" s="1831">
        <f>'Acct Summary 7-8'!C16</f>
        <v>3960</v>
      </c>
      <c r="C2560" s="2" t="s">
        <v>569</v>
      </c>
      <c r="D2560" s="2" t="str">
        <f t="shared" si="39"/>
        <v>Error?</v>
      </c>
    </row>
    <row r="2561" spans="1:4" x14ac:dyDescent="0.2">
      <c r="A2561" s="5">
        <v>2500</v>
      </c>
      <c r="B2561" s="1831">
        <f>'Acct Summary 7-8'!C17</f>
        <v>6459292</v>
      </c>
      <c r="C2561" s="2" t="s">
        <v>569</v>
      </c>
      <c r="D2561" s="2" t="str">
        <f t="shared" si="39"/>
        <v>Error?</v>
      </c>
    </row>
    <row r="2562" spans="1:4" x14ac:dyDescent="0.2">
      <c r="A2562" s="5">
        <v>2501</v>
      </c>
      <c r="B2562" s="1831">
        <f>'Acct Summary 7-8'!C20</f>
        <v>-588720</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598566</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598566</v>
      </c>
      <c r="C2568" s="2" t="s">
        <v>569</v>
      </c>
      <c r="D2568" s="2" t="str">
        <f t="shared" si="39"/>
        <v>Error?</v>
      </c>
    </row>
    <row r="2569" spans="1:4" x14ac:dyDescent="0.2">
      <c r="A2569" s="5">
        <v>2508</v>
      </c>
      <c r="B2569" s="1831">
        <f>'Acct Summary 7-8'!D13</f>
        <v>575085</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575085</v>
      </c>
      <c r="C2573" s="2" t="s">
        <v>569</v>
      </c>
      <c r="D2573" s="2" t="str">
        <f t="shared" si="39"/>
        <v>Error?</v>
      </c>
    </row>
    <row r="2574" spans="1:4" x14ac:dyDescent="0.2">
      <c r="A2574" s="5">
        <v>2513</v>
      </c>
      <c r="B2574" s="1831">
        <f>'Acct Summary 7-8'!D20</f>
        <v>23481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100360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58808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159168</v>
      </c>
      <c r="C2595" s="2" t="s">
        <v>569</v>
      </c>
      <c r="D2595" s="2" t="str">
        <f t="shared" si="39"/>
        <v>Error?</v>
      </c>
    </row>
    <row r="2596" spans="1:4" x14ac:dyDescent="0.2">
      <c r="A2596" s="5">
        <v>2535</v>
      </c>
      <c r="B2596" s="1831">
        <f>'Acct Summary 7-8'!F13</f>
        <v>126149</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126149</v>
      </c>
      <c r="C2600" s="2" t="s">
        <v>569</v>
      </c>
      <c r="D2600" s="2" t="str">
        <f t="shared" si="39"/>
        <v>Error?</v>
      </c>
    </row>
    <row r="2601" spans="1:4" x14ac:dyDescent="0.2">
      <c r="A2601" s="5">
        <v>2540</v>
      </c>
      <c r="B2601" s="1831">
        <f>'Acct Summary 7-8'!F20</f>
        <v>33019</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200049</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200049</v>
      </c>
      <c r="C2606" s="2" t="s">
        <v>569</v>
      </c>
      <c r="D2606" s="2" t="str">
        <f t="shared" si="39"/>
        <v>Error?</v>
      </c>
    </row>
    <row r="2607" spans="1:4" x14ac:dyDescent="0.2">
      <c r="A2607" s="5">
        <v>2546</v>
      </c>
      <c r="B2607" s="1831">
        <f>'Acct Summary 7-8'!G12</f>
        <v>97329</v>
      </c>
      <c r="C2607" s="2" t="s">
        <v>569</v>
      </c>
      <c r="D2607" s="2" t="str">
        <f t="shared" si="39"/>
        <v>Error?</v>
      </c>
    </row>
    <row r="2608" spans="1:4" x14ac:dyDescent="0.2">
      <c r="A2608" s="5">
        <v>2547</v>
      </c>
      <c r="B2608" s="1831">
        <f>'Acct Summary 7-8'!G13</f>
        <v>105204</v>
      </c>
      <c r="C2608" s="2" t="s">
        <v>569</v>
      </c>
      <c r="D2608" s="2" t="str">
        <f t="shared" si="39"/>
        <v>Error?</v>
      </c>
    </row>
    <row r="2609" spans="1:4" x14ac:dyDescent="0.2">
      <c r="A2609" s="5">
        <v>2548</v>
      </c>
      <c r="B2609" s="1831">
        <f>'Acct Summary 7-8'!G14</f>
        <v>5411</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207944</v>
      </c>
      <c r="C2612" s="2" t="s">
        <v>569</v>
      </c>
      <c r="D2612" s="2" t="str">
        <f t="shared" si="39"/>
        <v>Error?</v>
      </c>
    </row>
    <row r="2613" spans="1:4" x14ac:dyDescent="0.2">
      <c r="A2613" s="5">
        <v>2552</v>
      </c>
      <c r="B2613" s="1831">
        <f>'Acct Summary 7-8'!G20</f>
        <v>-7895</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408292</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408292</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430056</v>
      </c>
      <c r="C2634" s="2" t="s">
        <v>569</v>
      </c>
      <c r="D2634" s="2" t="str">
        <f t="shared" si="40"/>
        <v>Error?</v>
      </c>
    </row>
    <row r="2635" spans="1:4" x14ac:dyDescent="0.2">
      <c r="A2635" s="5">
        <v>2574</v>
      </c>
      <c r="B2635" s="1831">
        <f>'Acct Summary 7-8'!E17</f>
        <v>430056</v>
      </c>
      <c r="C2635" s="2" t="s">
        <v>569</v>
      </c>
      <c r="D2635" s="2" t="str">
        <f t="shared" si="40"/>
        <v>Error?</v>
      </c>
    </row>
    <row r="2636" spans="1:4" x14ac:dyDescent="0.2">
      <c r="A2636" s="5">
        <v>2575</v>
      </c>
      <c r="B2636" s="1831">
        <f>'Acct Summary 7-8'!E20</f>
        <v>-21764</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342525</v>
      </c>
      <c r="C2789" s="2" t="s">
        <v>569</v>
      </c>
      <c r="D2789" s="2" t="str">
        <f t="shared" si="42"/>
        <v>Error?</v>
      </c>
    </row>
    <row r="2790" spans="1:4" x14ac:dyDescent="0.2">
      <c r="A2790" s="5">
        <v>2729</v>
      </c>
      <c r="B2790" s="1831">
        <f>'Expenditures 15-22'!E102</f>
        <v>342525</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18654</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44695</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12816</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3472</v>
      </c>
      <c r="D2908" s="2" t="str">
        <f t="shared" si="44"/>
        <v>Error?</v>
      </c>
    </row>
    <row r="2909" spans="1:4" x14ac:dyDescent="0.2">
      <c r="A2909" s="10">
        <v>2848</v>
      </c>
      <c r="B2909" s="1831"/>
      <c r="D2909" s="2" t="str">
        <f t="shared" si="44"/>
        <v>OK</v>
      </c>
    </row>
    <row r="2910" spans="1:4" x14ac:dyDescent="0.2">
      <c r="A2910" s="5">
        <v>2849</v>
      </c>
      <c r="B2910" s="1831">
        <f>'Assets-Liab 5-6'!I34</f>
        <v>3472</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41223</v>
      </c>
      <c r="D2912" s="2" t="str">
        <f t="shared" si="44"/>
        <v>Error?</v>
      </c>
    </row>
    <row r="2913" spans="1:4" x14ac:dyDescent="0.2">
      <c r="A2913" s="5">
        <v>2852</v>
      </c>
      <c r="B2913" s="1831">
        <f>'Assets-Liab 5-6'!I41</f>
        <v>44695</v>
      </c>
      <c r="C2913" s="2" t="s">
        <v>569</v>
      </c>
      <c r="D2913" s="2" t="str">
        <f t="shared" si="44"/>
        <v>Error?</v>
      </c>
    </row>
    <row r="2914" spans="1:4" x14ac:dyDescent="0.2">
      <c r="A2914" s="5">
        <v>2853</v>
      </c>
      <c r="B2914" s="1831">
        <f>'Assets-Liab 5-6'!L33</f>
        <v>12816</v>
      </c>
      <c r="D2914" s="2" t="str">
        <f t="shared" si="44"/>
        <v>Error?</v>
      </c>
    </row>
    <row r="2915" spans="1:4" x14ac:dyDescent="0.2">
      <c r="A2915" s="10">
        <v>2854</v>
      </c>
      <c r="B2915" s="1831"/>
      <c r="D2915" s="2" t="str">
        <f t="shared" si="44"/>
        <v>OK</v>
      </c>
    </row>
    <row r="2916" spans="1:4" x14ac:dyDescent="0.2">
      <c r="A2916" s="5">
        <v>2855</v>
      </c>
      <c r="B2916" s="1831">
        <f>'Assets-Liab 5-6'!L34</f>
        <v>12816</v>
      </c>
      <c r="C2916" s="2" t="s">
        <v>569</v>
      </c>
      <c r="D2916" s="2" t="str">
        <f t="shared" si="44"/>
        <v>Error?</v>
      </c>
    </row>
    <row r="2917" spans="1:4" x14ac:dyDescent="0.2">
      <c r="A2917" s="5">
        <v>2856</v>
      </c>
      <c r="B2917" s="1831">
        <f>'Assets-Liab 5-6'!L41</f>
        <v>12816</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342525</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391238</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733763</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40931</v>
      </c>
      <c r="C3225" s="2" t="s">
        <v>569</v>
      </c>
      <c r="D3225" s="2" t="str">
        <f t="shared" si="49"/>
        <v>Error?</v>
      </c>
    </row>
    <row r="3226" spans="1:4" x14ac:dyDescent="0.2">
      <c r="A3226" s="5">
        <v>3165</v>
      </c>
      <c r="B3226" s="1831">
        <f>'Acct Summary 7-8'!I8</f>
        <v>40931</v>
      </c>
      <c r="C3226" s="2" t="s">
        <v>569</v>
      </c>
      <c r="D3226" s="2" t="str">
        <f t="shared" si="49"/>
        <v>Error?</v>
      </c>
    </row>
    <row r="3227" spans="1:4" x14ac:dyDescent="0.2">
      <c r="A3227" s="5">
        <v>3166</v>
      </c>
      <c r="B3227" s="1831">
        <f>'Acct Summary 7-8'!I20</f>
        <v>40931</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271235</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35744</v>
      </c>
      <c r="C3231" s="2" t="s">
        <v>569</v>
      </c>
      <c r="D3231" s="2" t="str">
        <f t="shared" si="49"/>
        <v>Error?</v>
      </c>
    </row>
    <row r="3232" spans="1:4" x14ac:dyDescent="0.2">
      <c r="A3232" s="5">
        <v>3171</v>
      </c>
      <c r="B3232" s="1831">
        <f>'Acct Summary 7-8'!C77</f>
        <v>235491</v>
      </c>
      <c r="C3232" s="2" t="s">
        <v>569</v>
      </c>
      <c r="D3232" s="2" t="str">
        <f t="shared" si="49"/>
        <v>Error?</v>
      </c>
    </row>
    <row r="3233" spans="1:4" x14ac:dyDescent="0.2">
      <c r="A3233" s="5">
        <v>3172</v>
      </c>
      <c r="B3233" s="1831">
        <f>'Acct Summary 7-8'!C78</f>
        <v>-353229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23481</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33019</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-7895</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35744</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35744</v>
      </c>
      <c r="C3277" s="2" t="s">
        <v>569</v>
      </c>
      <c r="D3277" s="2" t="str">
        <f t="shared" si="50"/>
        <v>Error?</v>
      </c>
    </row>
    <row r="3278" spans="1:4" x14ac:dyDescent="0.2">
      <c r="A3278" s="5">
        <v>3217</v>
      </c>
      <c r="B3278" s="1831">
        <f>'Acct Summary 7-8'!E78</f>
        <v>13980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236000</v>
      </c>
      <c r="C3318" s="2" t="s">
        <v>569</v>
      </c>
      <c r="D3318" s="2" t="str">
        <f t="shared" si="50"/>
        <v>Error?</v>
      </c>
    </row>
    <row r="3319" spans="1:4" x14ac:dyDescent="0.2">
      <c r="A3319" s="5">
        <v>3258</v>
      </c>
      <c r="B3319" s="1831">
        <f>'Acct Summary 7-8'!I77</f>
        <v>-236000</v>
      </c>
      <c r="C3319" s="2" t="s">
        <v>569</v>
      </c>
      <c r="D3319" s="2" t="str">
        <f t="shared" si="50"/>
        <v>Error?</v>
      </c>
    </row>
    <row r="3320" spans="1:4" x14ac:dyDescent="0.2">
      <c r="A3320" s="5">
        <v>3259</v>
      </c>
      <c r="B3320" s="1831">
        <f>'Acct Summary 7-8'!I78</f>
        <v>-195069</v>
      </c>
      <c r="C3320" s="2" t="s">
        <v>569</v>
      </c>
      <c r="D3320" s="2" t="str">
        <f t="shared" si="50"/>
        <v>Error?</v>
      </c>
    </row>
    <row r="3321" spans="1:4" x14ac:dyDescent="0.2">
      <c r="A3321" s="5">
        <v>3260</v>
      </c>
      <c r="B3321" s="1831">
        <f>'Acct Summary 7-8'!I79</f>
        <v>236292</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41223</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639524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125315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681</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2526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768046</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37172</v>
      </c>
      <c r="D3387" s="2" t="str">
        <f t="shared" si="51"/>
        <v>Error?</v>
      </c>
    </row>
    <row r="3388" spans="1:4" x14ac:dyDescent="0.2">
      <c r="A3388" s="5">
        <v>3327</v>
      </c>
      <c r="B3388" s="1831">
        <f>'Expenditures 15-22'!D217</f>
        <v>52202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37172</v>
      </c>
      <c r="C3390" s="2" t="s">
        <v>569</v>
      </c>
      <c r="D3390" s="2" t="str">
        <f t="shared" si="51"/>
        <v>Error?</v>
      </c>
    </row>
    <row r="3391" spans="1:4" x14ac:dyDescent="0.2">
      <c r="A3391" s="5">
        <v>3330</v>
      </c>
      <c r="B3391" s="1831">
        <f>'Expenditures 15-22'!K217</f>
        <v>52202</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269391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316551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527920</v>
      </c>
      <c r="D3417" s="2" t="str">
        <f t="shared" si="52"/>
        <v>Error?</v>
      </c>
    </row>
    <row r="3418" spans="1:4" x14ac:dyDescent="0.2">
      <c r="A3418" s="10">
        <v>3357</v>
      </c>
      <c r="B3418" s="1831"/>
      <c r="D3418" s="2" t="str">
        <f t="shared" si="52"/>
        <v>OK</v>
      </c>
    </row>
    <row r="3419" spans="1:4" x14ac:dyDescent="0.2">
      <c r="A3419" s="5">
        <v>3358</v>
      </c>
      <c r="B3419" s="1831">
        <f>'Assets-Liab 5-6'!F4</f>
        <v>178413</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22844</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26041</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12816</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0</v>
      </c>
      <c r="C3449" s="2" t="s">
        <v>569</v>
      </c>
      <c r="D3449" s="2" t="str">
        <f t="shared" si="52"/>
        <v>Error?</v>
      </c>
    </row>
    <row r="3450" spans="1:4" x14ac:dyDescent="0.2">
      <c r="A3450" s="5">
        <v>3389</v>
      </c>
      <c r="B3450" s="1831">
        <f>'Tax Sched 23'!E16</f>
        <v>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1456</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1456</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1456</v>
      </c>
      <c r="D3567" s="2" t="str">
        <f t="shared" si="54"/>
        <v>Error?</v>
      </c>
    </row>
    <row r="3568" spans="1:4" x14ac:dyDescent="0.2">
      <c r="A3568" s="5">
        <v>3507</v>
      </c>
      <c r="B3568" s="1831">
        <f>'Assets-Liab 5-6'!K41</f>
        <v>1456</v>
      </c>
      <c r="C3568" s="2" t="s">
        <v>569</v>
      </c>
      <c r="D3568" s="2" t="str">
        <f t="shared" si="54"/>
        <v>Error?</v>
      </c>
    </row>
    <row r="3569" spans="1:4" x14ac:dyDescent="0.2">
      <c r="A3569" s="5">
        <v>3508</v>
      </c>
      <c r="B3569" s="1831">
        <f>'Acct Summary 7-8'!K4</f>
        <v>32</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32</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32</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32</v>
      </c>
      <c r="C3588" s="2" t="s">
        <v>569</v>
      </c>
      <c r="D3588" s="2" t="str">
        <f t="shared" si="55"/>
        <v>Error?</v>
      </c>
    </row>
    <row r="3589" spans="1:4" x14ac:dyDescent="0.2">
      <c r="A3589" s="5">
        <v>3528</v>
      </c>
      <c r="B3589" s="1831">
        <f>'Acct Summary 7-8'!K79</f>
        <v>1424</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1456</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32</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89726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2903721</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8774293</v>
      </c>
      <c r="C4122" s="2" t="s">
        <v>569</v>
      </c>
      <c r="D4122" s="2" t="str">
        <f t="shared" si="63"/>
        <v>Error?</v>
      </c>
    </row>
    <row r="4123" spans="1:4" x14ac:dyDescent="0.2">
      <c r="A4123" s="5">
        <v>4062</v>
      </c>
      <c r="B4123" s="1831">
        <f>'Acct Summary 7-8'!D10</f>
        <v>598566</v>
      </c>
      <c r="C4123" s="2" t="s">
        <v>569</v>
      </c>
      <c r="D4123" s="2" t="str">
        <f t="shared" si="63"/>
        <v>Error?</v>
      </c>
    </row>
    <row r="4124" spans="1:4" x14ac:dyDescent="0.2">
      <c r="A4124" s="5">
        <v>4063</v>
      </c>
      <c r="B4124" s="1831">
        <f>'Acct Summary 7-8'!E10</f>
        <v>408292</v>
      </c>
      <c r="C4124" s="2" t="s">
        <v>569</v>
      </c>
      <c r="D4124" s="2" t="str">
        <f t="shared" si="63"/>
        <v>Error?</v>
      </c>
    </row>
    <row r="4125" spans="1:4" x14ac:dyDescent="0.2">
      <c r="A4125" s="5">
        <v>4064</v>
      </c>
      <c r="B4125" s="1831">
        <f>'Acct Summary 7-8'!F10</f>
        <v>159168</v>
      </c>
      <c r="C4125" s="2" t="s">
        <v>569</v>
      </c>
      <c r="D4125" s="2" t="str">
        <f t="shared" si="63"/>
        <v>Error?</v>
      </c>
    </row>
    <row r="4126" spans="1:4" x14ac:dyDescent="0.2">
      <c r="A4126" s="5">
        <v>4065</v>
      </c>
      <c r="B4126" s="1831">
        <f>'Acct Summary 7-8'!G10</f>
        <v>200049</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40931</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32</v>
      </c>
      <c r="C4130" s="2" t="s">
        <v>569</v>
      </c>
      <c r="D4130" s="2" t="str">
        <f t="shared" si="63"/>
        <v>Error?</v>
      </c>
    </row>
    <row r="4131" spans="1:4" x14ac:dyDescent="0.2">
      <c r="A4131" s="5">
        <v>4070</v>
      </c>
      <c r="B4131" s="1831">
        <f>'Acct Summary 7-8'!C18</f>
        <v>2903721</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9363013</v>
      </c>
      <c r="C4136" s="2" t="s">
        <v>569</v>
      </c>
      <c r="D4136" s="2" t="str">
        <f t="shared" si="63"/>
        <v>Error?</v>
      </c>
    </row>
    <row r="4137" spans="1:4" x14ac:dyDescent="0.2">
      <c r="A4137" s="5">
        <v>4076</v>
      </c>
      <c r="B4137" s="1831">
        <f>'Acct Summary 7-8'!D19</f>
        <v>575085</v>
      </c>
      <c r="C4137" s="2" t="s">
        <v>569</v>
      </c>
      <c r="D4137" s="2" t="str">
        <f t="shared" si="63"/>
        <v>Error?</v>
      </c>
    </row>
    <row r="4138" spans="1:4" x14ac:dyDescent="0.2">
      <c r="A4138" s="5">
        <v>4077</v>
      </c>
      <c r="B4138" s="1831">
        <f>'Acct Summary 7-8'!E19</f>
        <v>430056</v>
      </c>
      <c r="C4138" s="2" t="s">
        <v>569</v>
      </c>
      <c r="D4138" s="2" t="str">
        <f t="shared" si="63"/>
        <v>Error?</v>
      </c>
    </row>
    <row r="4139" spans="1:4" x14ac:dyDescent="0.2">
      <c r="A4139" s="5">
        <v>4078</v>
      </c>
      <c r="B4139" s="1831">
        <f>'Acct Summary 7-8'!F19</f>
        <v>126149</v>
      </c>
      <c r="C4139" s="2" t="s">
        <v>569</v>
      </c>
      <c r="D4139" s="2" t="str">
        <f t="shared" si="63"/>
        <v>Error?</v>
      </c>
    </row>
    <row r="4140" spans="1:4" x14ac:dyDescent="0.2">
      <c r="A4140" s="5">
        <v>4079</v>
      </c>
      <c r="B4140" s="1831">
        <f>'Acct Summary 7-8'!G19</f>
        <v>207944</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4720278</v>
      </c>
      <c r="C4171" s="2" t="s">
        <v>569</v>
      </c>
      <c r="D4171" s="2" t="str">
        <f t="shared" si="64"/>
        <v>Error?</v>
      </c>
    </row>
    <row r="4172" spans="1:4" x14ac:dyDescent="0.2">
      <c r="A4172" s="5">
        <v>4111</v>
      </c>
      <c r="B4172" s="1831">
        <f>'Short-Term Long-Term Debt 24'!J49</f>
        <v>3998216</v>
      </c>
      <c r="C4172" s="2" t="s">
        <v>569</v>
      </c>
      <c r="D4172" s="2" t="str">
        <f t="shared" si="64"/>
        <v>Error?</v>
      </c>
    </row>
    <row r="4173" spans="1:4" x14ac:dyDescent="0.2">
      <c r="A4173" s="5">
        <v>4112</v>
      </c>
      <c r="B4173" s="1831">
        <f>'Short-Term Long-Term Debt 24'!H49</f>
        <v>223669</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2418.4</v>
      </c>
      <c r="C4265" s="2" t="s">
        <v>569</v>
      </c>
      <c r="D4265" s="2" t="str">
        <f t="shared" si="65"/>
        <v>Error?</v>
      </c>
      <c r="E4265" s="124"/>
    </row>
    <row r="4266" spans="1:5" x14ac:dyDescent="0.2">
      <c r="A4266" s="12">
        <v>4205</v>
      </c>
      <c r="B4266" s="1831">
        <f>('FP Info 3'!F10)*100000</f>
        <v>273.3</v>
      </c>
      <c r="C4266" s="2" t="s">
        <v>569</v>
      </c>
      <c r="D4266" s="2" t="str">
        <f t="shared" si="65"/>
        <v>Error?</v>
      </c>
      <c r="E4266" s="124"/>
    </row>
    <row r="4267" spans="1:5" x14ac:dyDescent="0.2">
      <c r="A4267" s="12">
        <v>4206</v>
      </c>
      <c r="B4267" s="1831">
        <f>('FP Info 3'!H10)*100000</f>
        <v>61.300000000000004</v>
      </c>
      <c r="C4267" s="2" t="s">
        <v>569</v>
      </c>
      <c r="D4267" s="2" t="str">
        <f t="shared" si="65"/>
        <v>Error?</v>
      </c>
      <c r="E4267" s="124"/>
    </row>
    <row r="4268" spans="1:5" x14ac:dyDescent="0.2">
      <c r="A4268" s="12">
        <v>4207</v>
      </c>
      <c r="B4268" s="1831">
        <f>('FP Info 3'!J10)*100000</f>
        <v>2753</v>
      </c>
      <c r="C4268" s="2" t="s">
        <v>569</v>
      </c>
      <c r="D4268" s="2" t="str">
        <f t="shared" si="65"/>
        <v>Error?</v>
      </c>
    </row>
    <row r="4269" spans="1:5" x14ac:dyDescent="0.2">
      <c r="A4269" s="12">
        <v>4208</v>
      </c>
      <c r="B4269" s="1831">
        <f>'FP Info 3'!J16</f>
        <v>2388708</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23285</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48442</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13270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5880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8492</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6461</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24</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62780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750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166697535</v>
      </c>
      <c r="D4995" s="2" t="str">
        <f t="shared" si="77"/>
        <v>Error?</v>
      </c>
    </row>
    <row r="4996" spans="1:4" x14ac:dyDescent="0.2">
      <c r="A4996" s="12">
        <v>4935</v>
      </c>
      <c r="B4996" s="1831">
        <f>'FP Info 3'!H31</f>
        <v>11502129.915000001</v>
      </c>
      <c r="D4996" s="2" t="str">
        <f t="shared" si="77"/>
        <v>Error?</v>
      </c>
    </row>
    <row r="4997" spans="1:4" x14ac:dyDescent="0.2">
      <c r="A4997" s="12">
        <v>4936</v>
      </c>
      <c r="B4997" s="1831">
        <f>'FP Info 3'!H37</f>
        <v>4720278</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3813945</v>
      </c>
      <c r="D5061" s="2" t="str">
        <f t="shared" si="78"/>
        <v>Error?</v>
      </c>
    </row>
    <row r="5062" spans="1:4" x14ac:dyDescent="0.2">
      <c r="A5062" s="10">
        <v>5001</v>
      </c>
      <c r="B5062" s="1831"/>
      <c r="D5062" s="2" t="str">
        <f t="shared" si="78"/>
        <v>OK</v>
      </c>
    </row>
    <row r="5063" spans="1:4" x14ac:dyDescent="0.2">
      <c r="A5063" s="5">
        <v>5002</v>
      </c>
      <c r="B5063" s="1831">
        <f>'Revenues 9-14'!C7</f>
        <v>381973</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4195918</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481352</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481352</v>
      </c>
      <c r="C5071" s="2" t="s">
        <v>569</v>
      </c>
      <c r="D5071" s="2" t="str">
        <f t="shared" si="78"/>
        <v>Error?</v>
      </c>
    </row>
    <row r="5072" spans="1:4" x14ac:dyDescent="0.2">
      <c r="A5072" s="5">
        <v>5011</v>
      </c>
      <c r="B5072" s="1831">
        <f>'Revenues 9-14'!C20</f>
        <v>3010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4725</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7735</v>
      </c>
      <c r="C5087" s="2" t="s">
        <v>569</v>
      </c>
      <c r="D5087" s="2" t="str">
        <f t="shared" si="78"/>
        <v>Error?</v>
      </c>
    </row>
    <row r="5088" spans="1:4" x14ac:dyDescent="0.2">
      <c r="A5088" s="5">
        <v>5027</v>
      </c>
      <c r="B5088" s="1831">
        <f>'Revenues 9-14'!C65</f>
        <v>15883</v>
      </c>
      <c r="D5088" s="2" t="str">
        <f t="shared" si="78"/>
        <v>Error?</v>
      </c>
    </row>
    <row r="5089" spans="1:4" x14ac:dyDescent="0.2">
      <c r="A5089" s="5">
        <v>5028</v>
      </c>
      <c r="B5089" s="1831">
        <f>'Revenues 9-14'!C66</f>
        <v>11253</v>
      </c>
      <c r="D5089" s="2" t="str">
        <f t="shared" si="78"/>
        <v>Error?</v>
      </c>
    </row>
    <row r="5090" spans="1:4" x14ac:dyDescent="0.2">
      <c r="A5090" s="5">
        <v>5029</v>
      </c>
      <c r="B5090" s="1831">
        <f>'Revenues 9-14'!C67</f>
        <v>27136</v>
      </c>
      <c r="C5090" s="2" t="s">
        <v>569</v>
      </c>
      <c r="D5090" s="2" t="str">
        <f t="shared" si="78"/>
        <v>Error?</v>
      </c>
    </row>
    <row r="5091" spans="1:4" x14ac:dyDescent="0.2">
      <c r="A5091" s="5">
        <v>5030</v>
      </c>
      <c r="B5091" s="1831">
        <f>'Revenues 9-14'!C70</f>
        <v>1346</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23897</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8342</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8342</v>
      </c>
      <c r="C5102" s="2" t="s">
        <v>569</v>
      </c>
      <c r="D5102" s="2" t="str">
        <f t="shared" si="78"/>
        <v>Error?</v>
      </c>
    </row>
    <row r="5103" spans="1:4" x14ac:dyDescent="0.2">
      <c r="A5103" s="5">
        <v>5042</v>
      </c>
      <c r="B5103" s="1831">
        <f>'Revenues 9-14'!C84</f>
        <v>47383</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9080</v>
      </c>
      <c r="D5111" s="2" t="str">
        <f t="shared" si="78"/>
        <v>Error?</v>
      </c>
    </row>
    <row r="5112" spans="1:4" x14ac:dyDescent="0.2">
      <c r="A5112" s="5">
        <v>5051</v>
      </c>
      <c r="B5112" s="1831">
        <f>'Revenues 9-14'!C93</f>
        <v>56463</v>
      </c>
      <c r="C5112" s="2" t="s">
        <v>569</v>
      </c>
      <c r="D5112" s="2" t="str">
        <f t="shared" si="78"/>
        <v>Error?</v>
      </c>
    </row>
    <row r="5113" spans="1:4" x14ac:dyDescent="0.2">
      <c r="A5113" s="5">
        <v>5052</v>
      </c>
      <c r="B5113" s="1831">
        <f>'Revenues 9-14'!C95</f>
        <v>2514</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11839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57410</v>
      </c>
      <c r="D5118" s="2" t="str">
        <f t="shared" si="78"/>
        <v>Error?</v>
      </c>
    </row>
    <row r="5119" spans="1:4" x14ac:dyDescent="0.2">
      <c r="A5119" s="5">
        <v>5058</v>
      </c>
      <c r="B5119" s="1831">
        <f>'Revenues 9-14'!C107</f>
        <v>1585</v>
      </c>
      <c r="D5119" s="2" t="str">
        <f t="shared" ref="D5119:D5182" si="79">IF(ISBLANK(B5119),"OK",IF(A5119-B5119=0,"OK","Error?"))</f>
        <v>Error?</v>
      </c>
    </row>
    <row r="5120" spans="1:4" x14ac:dyDescent="0.2">
      <c r="A5120" s="5">
        <v>5059</v>
      </c>
      <c r="B5120" s="1831">
        <f>'Revenues 9-14'!C108</f>
        <v>73348</v>
      </c>
      <c r="C5120" s="2" t="s">
        <v>569</v>
      </c>
      <c r="D5120" s="2" t="str">
        <f t="shared" si="79"/>
        <v>Error?</v>
      </c>
    </row>
    <row r="5121" spans="1:4" x14ac:dyDescent="0.2">
      <c r="A5121" s="5">
        <v>5060</v>
      </c>
      <c r="B5121" s="1831">
        <f>'Revenues 9-14'!C109</f>
        <v>4874191</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533398</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534148</v>
      </c>
      <c r="C5132" s="2" t="s">
        <v>569</v>
      </c>
      <c r="D5132" s="2" t="str">
        <f t="shared" si="79"/>
        <v>Error?</v>
      </c>
    </row>
    <row r="5133" spans="1:4" x14ac:dyDescent="0.2">
      <c r="A5133" s="5">
        <v>5072</v>
      </c>
      <c r="B5133" s="1831">
        <f>'Revenues 9-14'!C125</f>
        <v>3515</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29278</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32793</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866</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78452</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112111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646259</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4153</v>
      </c>
      <c r="D5241" s="2" t="str">
        <f t="shared" si="80"/>
        <v>Error?</v>
      </c>
    </row>
    <row r="5242" spans="1:4" x14ac:dyDescent="0.2">
      <c r="A5242" s="5">
        <v>5181</v>
      </c>
      <c r="B5242" s="1831">
        <f>'Revenues 9-14'!C194</f>
        <v>11382</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76611</v>
      </c>
      <c r="C5246" s="2" t="s">
        <v>569</v>
      </c>
      <c r="D5246" s="2" t="str">
        <f t="shared" si="80"/>
        <v>Error?</v>
      </c>
    </row>
    <row r="5247" spans="1:4" x14ac:dyDescent="0.2">
      <c r="A5247" s="5">
        <v>5186</v>
      </c>
      <c r="B5247" s="1831">
        <f>'Revenues 9-14'!C200</f>
        <v>73170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73170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99922</v>
      </c>
      <c r="D5278" s="2" t="str">
        <f t="shared" si="81"/>
        <v>Error?</v>
      </c>
    </row>
    <row r="5279" spans="1:4" x14ac:dyDescent="0.2">
      <c r="A5279" s="5">
        <v>5218</v>
      </c>
      <c r="B5279" s="1831">
        <f>'Revenues 9-14'!C214</f>
        <v>16806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116728</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350122</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350122</v>
      </c>
      <c r="C5326" s="2" t="s">
        <v>569</v>
      </c>
      <c r="D5326" s="2" t="str">
        <f t="shared" si="82"/>
        <v>Error?</v>
      </c>
    </row>
    <row r="5327" spans="1:5" x14ac:dyDescent="0.2">
      <c r="A5327" s="5">
        <v>5266</v>
      </c>
      <c r="B5327" s="1831">
        <f>'Revenues 9-14'!C268</f>
        <v>5870572</v>
      </c>
      <c r="C5327" s="2" t="s">
        <v>569</v>
      </c>
      <c r="D5327" s="2" t="str">
        <f t="shared" si="82"/>
        <v>Error?</v>
      </c>
    </row>
    <row r="5328" spans="1:5" x14ac:dyDescent="0.2">
      <c r="A5328" s="5">
        <v>5267</v>
      </c>
      <c r="B5328" s="1831">
        <f>'Revenues 9-14'!D5</f>
        <v>430801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430801</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160450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160450</v>
      </c>
      <c r="C5339" s="2" t="s">
        <v>569</v>
      </c>
      <c r="D5339" s="2" t="str">
        <f t="shared" si="82"/>
        <v>Error?</v>
      </c>
    </row>
    <row r="5340" spans="1:4" x14ac:dyDescent="0.2">
      <c r="A5340" s="5">
        <v>5279</v>
      </c>
      <c r="B5340" s="1831">
        <f>'Revenues 9-14'!D65</f>
        <v>7315</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7315</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598566</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598566</v>
      </c>
      <c r="C5508" s="2" t="s">
        <v>569</v>
      </c>
      <c r="D5508" s="2" t="str">
        <f t="shared" si="85"/>
        <v>Error?</v>
      </c>
    </row>
    <row r="5509" spans="1:4" x14ac:dyDescent="0.2">
      <c r="A5509" s="5">
        <v>5448</v>
      </c>
      <c r="B5509" s="1831">
        <f>'Revenues 9-14'!E5</f>
        <v>395374</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395374</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12918</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12918</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408292</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408292</v>
      </c>
      <c r="C5552" s="2" t="s">
        <v>569</v>
      </c>
      <c r="D5552" s="2" t="str">
        <f t="shared" si="85"/>
        <v>Error?</v>
      </c>
    </row>
    <row r="5553" spans="1:4" x14ac:dyDescent="0.2">
      <c r="A5553" s="5">
        <v>5492</v>
      </c>
      <c r="B5553" s="1831">
        <f>'Revenues 9-14'!F5</f>
        <v>96502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96502</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3858</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3858</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100360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135</v>
      </c>
      <c r="D5615" s="2" t="str">
        <f t="shared" si="86"/>
        <v>Error?</v>
      </c>
    </row>
    <row r="5616" spans="1:4" x14ac:dyDescent="0.2">
      <c r="A5616" s="10">
        <v>5555</v>
      </c>
      <c r="B5616" s="1831"/>
      <c r="D5616" s="2" t="str">
        <f t="shared" si="86"/>
        <v>OK</v>
      </c>
    </row>
    <row r="5617" spans="1:5" x14ac:dyDescent="0.2">
      <c r="A5617" s="5">
        <v>5556</v>
      </c>
      <c r="B5617" s="1831">
        <f>'Revenues 9-14'!F153</f>
        <v>58673</v>
      </c>
      <c r="D5617" s="2" t="str">
        <f t="shared" si="86"/>
        <v>Error?</v>
      </c>
    </row>
    <row r="5618" spans="1:5" x14ac:dyDescent="0.2">
      <c r="A5618" s="5">
        <v>5557</v>
      </c>
      <c r="B5618" s="1831">
        <f>'Revenues 9-14'!F155</f>
        <v>58808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58808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58808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159168</v>
      </c>
      <c r="C5720" s="2" t="s">
        <v>569</v>
      </c>
      <c r="D5720" s="2" t="str">
        <f t="shared" si="88"/>
        <v>Error?</v>
      </c>
    </row>
    <row r="5721" spans="1:4" x14ac:dyDescent="0.2">
      <c r="A5721" s="5">
        <v>5660</v>
      </c>
      <c r="B5721" s="1831">
        <f>'Revenues 9-14'!G5</f>
        <v>155769</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155769</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43428</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43428</v>
      </c>
      <c r="C5730" s="2" t="s">
        <v>569</v>
      </c>
      <c r="D5730" s="2" t="str">
        <f t="shared" si="88"/>
        <v>Error?</v>
      </c>
    </row>
    <row r="5731" spans="1:4" x14ac:dyDescent="0.2">
      <c r="A5731" s="5">
        <v>5670</v>
      </c>
      <c r="B5731" s="1831">
        <f>'Revenues 9-14'!G65</f>
        <v>852</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852</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200049</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36204</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36204</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4727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4727</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40931</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32</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32</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32</v>
      </c>
      <c r="C6023" s="2" t="s">
        <v>569</v>
      </c>
      <c r="D6023" s="2" t="str">
        <f t="shared" si="93"/>
        <v>Error?</v>
      </c>
    </row>
    <row r="6024" spans="1:5" x14ac:dyDescent="0.2">
      <c r="A6024" s="5">
        <v>5963</v>
      </c>
      <c r="B6024" s="1831">
        <f>'Revenues 9-14'!G109</f>
        <v>200049</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40931</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32</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22551</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13270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475.4</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99531</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19619</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400000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73280</v>
      </c>
      <c r="D6099" s="2" t="str">
        <f t="shared" si="94"/>
        <v>Error?</v>
      </c>
      <c r="E6099" s="2" t="s">
        <v>189</v>
      </c>
    </row>
    <row r="6100" spans="1:5" x14ac:dyDescent="0.2">
      <c r="A6100">
        <v>6039</v>
      </c>
      <c r="B6100" s="1831">
        <f>'Assets-Liab 5-6'!D9</f>
        <v>24426</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16752</v>
      </c>
      <c r="D6113" s="2" t="str">
        <f t="shared" si="94"/>
        <v>Error?</v>
      </c>
      <c r="E6113" s="2" t="s">
        <v>189</v>
      </c>
    </row>
    <row r="6114" spans="1:5" x14ac:dyDescent="0.2">
      <c r="A6114">
        <v>6053</v>
      </c>
      <c r="B6114" s="1831">
        <f>'Assets-Liab 5-6'!D11</f>
        <v>25525</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400000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14966</v>
      </c>
      <c r="D6142" s="2" t="str">
        <f t="shared" si="94"/>
        <v>Error?</v>
      </c>
      <c r="E6142" s="2" t="s">
        <v>189</v>
      </c>
    </row>
    <row r="6143" spans="1:5" x14ac:dyDescent="0.2">
      <c r="A6143">
        <v>6082</v>
      </c>
      <c r="B6143" s="1831">
        <f>'Assets-Liab 5-6'!D27</f>
        <v>5647</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556305</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21297</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-353229</v>
      </c>
      <c r="D6267" s="2" t="str">
        <f t="shared" si="96"/>
        <v>Error?</v>
      </c>
      <c r="E6267" s="2" t="s">
        <v>189</v>
      </c>
    </row>
    <row r="6268" spans="1:5" x14ac:dyDescent="0.2">
      <c r="A6268">
        <v>6207</v>
      </c>
      <c r="B6268" s="1831">
        <f>'Acct Summary 7-8'!D82</f>
        <v>23481</v>
      </c>
      <c r="D6268" s="2" t="str">
        <f t="shared" si="96"/>
        <v>Error?</v>
      </c>
      <c r="E6268" s="2" t="s">
        <v>189</v>
      </c>
    </row>
    <row r="6269" spans="1:5" x14ac:dyDescent="0.2">
      <c r="A6269">
        <v>6208</v>
      </c>
      <c r="B6269" s="1831">
        <f>'Acct Summary 7-8'!E82</f>
        <v>13980</v>
      </c>
      <c r="D6269" s="2" t="str">
        <f t="shared" si="96"/>
        <v>Error?</v>
      </c>
      <c r="E6269" s="2" t="s">
        <v>189</v>
      </c>
    </row>
    <row r="6270" spans="1:5" x14ac:dyDescent="0.2">
      <c r="A6270">
        <v>6209</v>
      </c>
      <c r="B6270" s="1831">
        <f>'Acct Summary 7-8'!F82</f>
        <v>33019</v>
      </c>
      <c r="D6270" s="2" t="str">
        <f t="shared" si="96"/>
        <v>Error?</v>
      </c>
      <c r="E6270" s="2" t="s">
        <v>189</v>
      </c>
    </row>
    <row r="6271" spans="1:5" x14ac:dyDescent="0.2">
      <c r="A6271">
        <v>6210</v>
      </c>
      <c r="B6271" s="1831">
        <f>'Acct Summary 7-8'!G82</f>
        <v>-7895</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-195069</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32</v>
      </c>
      <c r="D6275" s="2" t="str">
        <f t="shared" si="97"/>
        <v>Error?</v>
      </c>
      <c r="E6275" s="2" t="s">
        <v>189</v>
      </c>
    </row>
    <row r="6276" spans="1:5" x14ac:dyDescent="0.2">
      <c r="A6276">
        <v>6215</v>
      </c>
      <c r="B6276" s="1831">
        <f>'Acct Summary 7-8'!C83</f>
        <v>-0.30029610573771814</v>
      </c>
      <c r="D6276" s="2" t="str">
        <f t="shared" si="97"/>
        <v>Error?</v>
      </c>
      <c r="E6276" s="2" t="s">
        <v>189</v>
      </c>
    </row>
    <row r="6277" spans="1:5" x14ac:dyDescent="0.2">
      <c r="A6277">
        <v>6216</v>
      </c>
      <c r="B6277" s="1831">
        <f>'Acct Summary 7-8'!D83</f>
        <v>2.5133045336027778E-2</v>
      </c>
      <c r="D6277" s="2" t="str">
        <f t="shared" si="97"/>
        <v>Error?</v>
      </c>
      <c r="E6277" s="2" t="s">
        <v>189</v>
      </c>
    </row>
    <row r="6278" spans="1:5" x14ac:dyDescent="0.2">
      <c r="A6278">
        <v>6217</v>
      </c>
      <c r="B6278" s="1831">
        <f>'Acct Summary 7-8'!E83</f>
        <v>2.0349137636152179E-2</v>
      </c>
      <c r="D6278" s="2" t="str">
        <f t="shared" si="97"/>
        <v>Error?</v>
      </c>
      <c r="E6278" s="2" t="s">
        <v>189</v>
      </c>
    </row>
    <row r="6279" spans="1:5" x14ac:dyDescent="0.2">
      <c r="A6279">
        <v>6218</v>
      </c>
      <c r="B6279" s="1831">
        <f>'Acct Summary 7-8'!F83</f>
        <v>0.13935125006330504</v>
      </c>
      <c r="D6279" s="2" t="str">
        <f t="shared" si="97"/>
        <v>Error?</v>
      </c>
      <c r="E6279" s="2" t="s">
        <v>189</v>
      </c>
    </row>
    <row r="6280" spans="1:5" x14ac:dyDescent="0.2">
      <c r="A6280">
        <v>6219</v>
      </c>
      <c r="B6280" s="1831">
        <f>'Acct Summary 7-8'!G83</f>
        <v>-0.12216445393494878</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-4.7320427916454406</v>
      </c>
      <c r="D6282" s="2" t="str">
        <f t="shared" si="97"/>
        <v>Error?</v>
      </c>
      <c r="E6282" s="2" t="s">
        <v>189</v>
      </c>
    </row>
    <row r="6283" spans="1:5" x14ac:dyDescent="0.2">
      <c r="A6283">
        <v>6222</v>
      </c>
      <c r="B6283" s="1831" t="e">
        <f>'Acct Summary 7-8'!J83</f>
        <v>#DIV/0!</v>
      </c>
      <c r="D6283" s="2" t="e">
        <f t="shared" si="97"/>
        <v>#DIV/0!</v>
      </c>
      <c r="E6283" s="2" t="s">
        <v>189</v>
      </c>
    </row>
    <row r="6284" spans="1:5" x14ac:dyDescent="0.2">
      <c r="A6284">
        <v>6223</v>
      </c>
      <c r="B6284" s="1831">
        <f>'Acct Summary 7-8'!K83</f>
        <v>2.197802197802198E-2</v>
      </c>
      <c r="D6284" s="2" t="str">
        <f t="shared" si="97"/>
        <v>Error?</v>
      </c>
      <c r="E6284" s="2" t="s">
        <v>189</v>
      </c>
    </row>
    <row r="6285" spans="1:5" x14ac:dyDescent="0.2">
      <c r="A6285">
        <v>6224</v>
      </c>
      <c r="B6285" s="1831">
        <f>'Acct Summary 7-8'!E37</f>
        <v>35744</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47806</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78537</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98259</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3960</v>
      </c>
      <c r="D7018" s="2" t="str">
        <f t="shared" si="108"/>
        <v>Error?</v>
      </c>
    </row>
    <row r="7019" spans="1:4" x14ac:dyDescent="0.2">
      <c r="A7019">
        <v>6958</v>
      </c>
      <c r="B7019" s="1831">
        <f>'Expenditures 15-22'!K112</f>
        <v>3960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1883</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1883</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1883</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1883</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4390</v>
      </c>
      <c r="D7073" s="2" t="str">
        <f t="shared" si="109"/>
        <v>Error?</v>
      </c>
    </row>
    <row r="7074" spans="1:4" x14ac:dyDescent="0.2">
      <c r="A7074">
        <v>7013</v>
      </c>
      <c r="B7074" s="1831">
        <f>'Expenditures 15-22'!K216</f>
        <v>4390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17886</v>
      </c>
      <c r="D7246" s="2" t="str">
        <f t="shared" si="112"/>
        <v>Error?</v>
      </c>
    </row>
    <row r="7247" spans="1:4" x14ac:dyDescent="0.2">
      <c r="A7247">
        <f t="shared" si="113"/>
        <v>7186</v>
      </c>
      <c r="B7247" s="1831">
        <f>'Expenditures 15-22'!E7</f>
        <v>467</v>
      </c>
      <c r="D7247" s="2" t="str">
        <f t="shared" si="112"/>
        <v>Error?</v>
      </c>
    </row>
    <row r="7248" spans="1:4" x14ac:dyDescent="0.2">
      <c r="A7248">
        <f t="shared" si="113"/>
        <v>7187</v>
      </c>
      <c r="B7248" s="1831">
        <f>'Expenditures 15-22'!F7</f>
        <v>1369</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1883</v>
      </c>
      <c r="D7624" s="2" t="str">
        <f t="shared" si="124"/>
        <v>Error?</v>
      </c>
      <c r="E7624" s="2" t="s">
        <v>19</v>
      </c>
    </row>
    <row r="7625" spans="1:5" x14ac:dyDescent="0.2">
      <c r="A7625">
        <f t="shared" si="123"/>
        <v>7564</v>
      </c>
      <c r="B7625" s="1831">
        <f>'Cap Outlay Deprec 26'!I17</f>
        <v>188.3</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184890.3</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35744</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381974</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47772</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47772</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7300000</v>
      </c>
      <c r="D7817" s="2" t="str">
        <f t="shared" si="128"/>
        <v>Error?</v>
      </c>
      <c r="E7817" s="4" t="s">
        <v>1966</v>
      </c>
    </row>
    <row r="7818" spans="1:5" x14ac:dyDescent="0.2">
      <c r="A7818">
        <v>7757</v>
      </c>
      <c r="B7818" s="1831">
        <f>'PCTC-OEPP 27-28'!F172</f>
        <v>211791</v>
      </c>
      <c r="D7818" s="2" t="str">
        <f t="shared" si="128"/>
        <v>Error?</v>
      </c>
      <c r="E7818" s="4" t="s">
        <v>1980</v>
      </c>
    </row>
    <row r="7819" spans="1:5" x14ac:dyDescent="0.2">
      <c r="A7819">
        <v>7758</v>
      </c>
      <c r="B7819" s="1831">
        <f>'PCTC-OEPP 27-28'!F173</f>
        <v>17398</v>
      </c>
      <c r="D7819" s="2" t="str">
        <f t="shared" si="128"/>
        <v>Error?</v>
      </c>
      <c r="E7819" s="4" t="s">
        <v>1980</v>
      </c>
    </row>
    <row r="7820" spans="1:5" x14ac:dyDescent="0.2">
      <c r="A7820">
        <v>7759</v>
      </c>
      <c r="B7820" s="1831">
        <f>'ICR Computation 30'!E40</f>
        <v>-65780</v>
      </c>
      <c r="D7820" s="2" t="str">
        <f t="shared" si="128"/>
        <v>Error?</v>
      </c>
    </row>
    <row r="7821" spans="1:5" x14ac:dyDescent="0.2">
      <c r="A7821">
        <v>7760</v>
      </c>
      <c r="B7821" s="1831">
        <f>'ICR Computation 30'!G40</f>
        <v>-65780</v>
      </c>
      <c r="D7821" s="2" t="str">
        <f t="shared" si="128"/>
        <v>Error?</v>
      </c>
    </row>
    <row r="7822" spans="1:5" x14ac:dyDescent="0.2">
      <c r="A7822" s="1">
        <v>7761</v>
      </c>
      <c r="B7822" s="1831">
        <f>'PCTC-OEPP 27-28'!F14</f>
        <v>7798526</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98259</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7802</v>
      </c>
      <c r="D7830" s="2" t="str">
        <f t="shared" si="129"/>
        <v>Error?</v>
      </c>
      <c r="E7830" s="4" t="s">
        <v>1998</v>
      </c>
    </row>
    <row r="7831" spans="1:5" x14ac:dyDescent="0.2">
      <c r="A7831">
        <v>7770</v>
      </c>
      <c r="B7831" s="1831">
        <f>'PCTC-OEPP 27-28'!F52</f>
        <v>38930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1177606</v>
      </c>
      <c r="D7834" s="2" t="str">
        <f t="shared" si="129"/>
        <v>Error?</v>
      </c>
      <c r="E7834" s="4" t="s">
        <v>1998</v>
      </c>
    </row>
    <row r="7835" spans="1:5" x14ac:dyDescent="0.2">
      <c r="A7835">
        <v>7774</v>
      </c>
      <c r="B7835" s="1831">
        <f>'PCTC-OEPP 27-28'!F78</f>
        <v>6620920</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f>'PCTC-OEPP 27-28'!F80</f>
        <v>13927.050904501473</v>
      </c>
      <c r="D7837" s="2" t="str">
        <f t="shared" si="129"/>
        <v>Error?</v>
      </c>
      <c r="E7837" s="4" t="s">
        <v>1998</v>
      </c>
    </row>
    <row r="7838" spans="1:5" x14ac:dyDescent="0.2">
      <c r="A7838">
        <v>7777</v>
      </c>
      <c r="B7838" s="1831">
        <f>'PCTC-OEPP 27-28'!F96</f>
        <v>8342</v>
      </c>
      <c r="D7838" s="2" t="str">
        <f t="shared" si="129"/>
        <v>Error?</v>
      </c>
      <c r="E7838" s="4" t="s">
        <v>1998</v>
      </c>
    </row>
    <row r="7839" spans="1:5" x14ac:dyDescent="0.2">
      <c r="A7839">
        <v>7778</v>
      </c>
      <c r="B7839" s="1831">
        <f>'PCTC-OEPP 27-28'!F102</f>
        <v>2514</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32793</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58808</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76611</v>
      </c>
      <c r="D7858" s="2" t="str">
        <f t="shared" si="129"/>
        <v>Error?</v>
      </c>
      <c r="E7858" s="4" t="s">
        <v>1998</v>
      </c>
    </row>
    <row r="7859" spans="1:5" x14ac:dyDescent="0.2">
      <c r="A7859">
        <v>7798</v>
      </c>
      <c r="B7859" s="1831">
        <f>'PCTC-OEPP 27-28'!F127</f>
        <v>73170</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99922</v>
      </c>
      <c r="D7861" s="2" t="str">
        <f t="shared" si="129"/>
        <v>Error?</v>
      </c>
      <c r="E7861" s="4" t="s">
        <v>1998</v>
      </c>
    </row>
    <row r="7862" spans="1:5" x14ac:dyDescent="0.2">
      <c r="A7862">
        <v>7801</v>
      </c>
      <c r="B7862" s="1831">
        <f>'PCTC-OEPP 27-28'!F130</f>
        <v>16806</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6461</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5880</v>
      </c>
      <c r="D7874" s="2" t="str">
        <f t="shared" si="129"/>
        <v>Error?</v>
      </c>
      <c r="E7874" s="4" t="s">
        <v>1998</v>
      </c>
    </row>
    <row r="7875" spans="1:5" x14ac:dyDescent="0.2">
      <c r="A7875">
        <v>7814</v>
      </c>
      <c r="B7875" s="1831">
        <f>'PCTC-OEPP 27-28'!F170</f>
        <v>8492</v>
      </c>
      <c r="D7875" s="2" t="str">
        <f t="shared" si="129"/>
        <v>Error?</v>
      </c>
      <c r="E7875" s="4" t="s">
        <v>1998</v>
      </c>
    </row>
    <row r="7876" spans="1:5" x14ac:dyDescent="0.2">
      <c r="A7876">
        <v>7815</v>
      </c>
      <c r="B7876" s="1831">
        <f>'PCTC-OEPP 27-28'!F171</f>
        <v>62780</v>
      </c>
      <c r="D7876" s="2" t="str">
        <f t="shared" si="129"/>
        <v>Error?</v>
      </c>
      <c r="E7876" s="4" t="s">
        <v>1998</v>
      </c>
    </row>
    <row r="7877" spans="1:5" x14ac:dyDescent="0.2">
      <c r="A7877">
        <v>7816</v>
      </c>
      <c r="B7877" s="1831">
        <f>'PCTC-OEPP 27-28'!F175</f>
        <v>820404</v>
      </c>
      <c r="D7877" s="2" t="str">
        <f t="shared" si="129"/>
        <v>Error?</v>
      </c>
      <c r="E7877" s="4" t="s">
        <v>1998</v>
      </c>
    </row>
    <row r="7878" spans="1:5" x14ac:dyDescent="0.2">
      <c r="A7878">
        <v>7817</v>
      </c>
      <c r="B7878" s="1831">
        <f>'PCTC-OEPP 27-28'!F176</f>
        <v>5800516</v>
      </c>
      <c r="D7878" s="2" t="str">
        <f t="shared" si="129"/>
        <v>Error?</v>
      </c>
      <c r="E7878" s="4" t="s">
        <v>1998</v>
      </c>
    </row>
    <row r="7879" spans="1:5" x14ac:dyDescent="0.2">
      <c r="A7879">
        <v>7818</v>
      </c>
      <c r="B7879" s="1831">
        <f>'PCTC-OEPP 27-28'!F178</f>
        <v>5985406.2999999998</v>
      </c>
      <c r="D7879" s="2" t="str">
        <f t="shared" si="129"/>
        <v>Error?</v>
      </c>
      <c r="E7879" s="4" t="s">
        <v>1998</v>
      </c>
    </row>
    <row r="7880" spans="1:5" x14ac:dyDescent="0.2">
      <c r="A7880">
        <v>7819</v>
      </c>
      <c r="B7880" s="1831">
        <f>'PCTC-OEPP 27-28'!F180</f>
        <v>12590.253050063106</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5" t="str">
        <f>COVER!A17</f>
        <v xml:space="preserve">  Komarek SD 94</v>
      </c>
      <c r="B7" s="2516"/>
      <c r="C7" s="2516"/>
      <c r="D7" s="2554"/>
      <c r="E7" s="2555" t="str">
        <f>COVER!A13</f>
        <v xml:space="preserve">06016094002  </v>
      </c>
      <c r="F7" s="2556"/>
      <c r="G7" s="2522" t="str">
        <f>COVER!T23</f>
        <v>066-005340</v>
      </c>
      <c r="H7" s="2523"/>
      <c r="I7" s="2523"/>
      <c r="J7" s="2523"/>
      <c r="K7" s="2523"/>
      <c r="L7" s="2524"/>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5"/>
      <c r="B9" s="2526"/>
      <c r="C9" s="2526"/>
      <c r="D9" s="2526"/>
      <c r="E9" s="2526"/>
      <c r="F9" s="2527"/>
      <c r="G9" s="2528" t="str">
        <f>COVER!T13</f>
        <v>Evans, Marshall and Pease, P.C.</v>
      </c>
      <c r="H9" s="2529"/>
      <c r="I9" s="2529"/>
      <c r="J9" s="2529"/>
      <c r="K9" s="2529"/>
      <c r="L9" s="2530"/>
    </row>
    <row r="10" spans="1:29" ht="13.5" customHeight="1" x14ac:dyDescent="0.2">
      <c r="A10" s="2512">
        <f>COVER!A38</f>
        <v>0</v>
      </c>
      <c r="B10" s="2513"/>
      <c r="C10" s="2513"/>
      <c r="D10" s="2513"/>
      <c r="E10" s="2513"/>
      <c r="F10" s="2514"/>
      <c r="G10" s="2528" t="str">
        <f>COVER!T17</f>
        <v>1875 Hicks Road</v>
      </c>
      <c r="H10" s="2541"/>
      <c r="I10" s="2541"/>
      <c r="J10" s="2541"/>
      <c r="K10" s="2541"/>
      <c r="L10" s="2542"/>
    </row>
    <row r="11" spans="1:29" ht="13.5" customHeight="1" x14ac:dyDescent="0.2">
      <c r="A11" s="962" t="s">
        <v>1502</v>
      </c>
      <c r="B11" s="963"/>
      <c r="C11" s="964"/>
      <c r="D11" s="969"/>
      <c r="E11" s="964"/>
      <c r="F11" s="968"/>
      <c r="G11" s="2528" t="str">
        <f>COVER!T19</f>
        <v>Rolling Meadows</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Jeff@empcpa.com</v>
      </c>
      <c r="J13" s="2550"/>
      <c r="K13" s="2550"/>
      <c r="L13" s="2551"/>
    </row>
    <row r="14" spans="1:29" ht="13.5" customHeight="1" x14ac:dyDescent="0.2">
      <c r="A14" s="2528" t="str">
        <f>COVER!A19</f>
        <v>8940 W. 24th Street</v>
      </c>
      <c r="B14" s="2541"/>
      <c r="C14" s="2541"/>
      <c r="D14" s="2541"/>
      <c r="E14" s="2541"/>
      <c r="F14" s="2542"/>
      <c r="G14" s="973" t="s">
        <v>1175</v>
      </c>
      <c r="H14" s="971"/>
      <c r="I14" s="971"/>
      <c r="J14" s="971"/>
      <c r="K14" s="971"/>
      <c r="L14" s="972"/>
    </row>
    <row r="15" spans="1:29" ht="13.5" customHeight="1" x14ac:dyDescent="0.2">
      <c r="A15" s="2528" t="str">
        <f>COVER!A21</f>
        <v>North Riverside</v>
      </c>
      <c r="B15" s="2541"/>
      <c r="C15" s="2541"/>
      <c r="D15" s="2541"/>
      <c r="E15" s="2541"/>
      <c r="F15" s="2542"/>
      <c r="G15" s="2538" t="str">
        <f>COVER!T15</f>
        <v>Jeffery M. Rollefson, CPA</v>
      </c>
      <c r="H15" s="2539"/>
      <c r="I15" s="2539"/>
      <c r="J15" s="2539"/>
      <c r="K15" s="2539"/>
      <c r="L15" s="2540"/>
    </row>
    <row r="16" spans="1:29" ht="12.2" customHeight="1" x14ac:dyDescent="0.2">
      <c r="A16" s="2518" t="str">
        <f>COVER!A25</f>
        <v>60546-1158</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3" t="s">
        <v>1174</v>
      </c>
      <c r="H17" s="971"/>
      <c r="I17" s="971"/>
      <c r="J17" s="971"/>
      <c r="K17" s="975" t="s">
        <v>1173</v>
      </c>
      <c r="L17" s="968"/>
      <c r="M17" s="961"/>
    </row>
    <row r="18" spans="1:13" ht="12.2" customHeight="1" x14ac:dyDescent="0.2">
      <c r="A18" s="2512"/>
      <c r="B18" s="2513"/>
      <c r="C18" s="2513"/>
      <c r="D18" s="2513"/>
      <c r="E18" s="2513"/>
      <c r="F18" s="2514"/>
      <c r="G18" s="2515" t="str">
        <f>COVER!T21</f>
        <v>847-221-5700</v>
      </c>
      <c r="H18" s="2516"/>
      <c r="I18" s="2516"/>
      <c r="J18" s="2516"/>
      <c r="K18" s="2515" t="str">
        <f>COVER!X21</f>
        <v>847-221-5701</v>
      </c>
      <c r="L18" s="251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7" t="str">
        <f>'Single Audit Cover'!A7</f>
        <v xml:space="preserve">  Komarek SD 94</v>
      </c>
      <c r="B1" s="2558"/>
      <c r="C1" s="2558"/>
      <c r="D1" s="2558"/>
    </row>
    <row r="2" spans="1:11" s="990" customFormat="1" ht="12.75" x14ac:dyDescent="0.2">
      <c r="A2" s="2559" t="str">
        <f>'Single Audit Cover'!E7</f>
        <v xml:space="preserve">06016094002  </v>
      </c>
      <c r="B2" s="2560"/>
      <c r="C2" s="2560"/>
      <c r="D2" s="2560"/>
    </row>
    <row r="3" spans="1:11" s="990" customFormat="1" ht="12.75" x14ac:dyDescent="0.2">
      <c r="A3" s="2557" t="s">
        <v>1496</v>
      </c>
      <c r="B3" s="2558"/>
      <c r="C3" s="2558"/>
      <c r="D3" s="2558"/>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2" t="str">
        <f>'Single Audit Cover'!A7</f>
        <v xml:space="preserve">  Komarek SD 94</v>
      </c>
      <c r="B1" s="2562"/>
      <c r="C1" s="2562"/>
      <c r="D1" s="2562"/>
      <c r="E1" s="2562"/>
    </row>
    <row r="2" spans="1:5" x14ac:dyDescent="0.2">
      <c r="A2" s="2563" t="str">
        <f>'Single Audit Cover'!E7</f>
        <v xml:space="preserve">06016094002  </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5" t="s">
        <v>1232</v>
      </c>
    </row>
    <row r="10" spans="1:5" x14ac:dyDescent="0.2">
      <c r="A10" s="1036" t="s">
        <v>1231</v>
      </c>
      <c r="B10" s="1037" t="s">
        <v>1230</v>
      </c>
      <c r="C10" s="1037"/>
      <c r="D10" s="1038">
        <f>SUM('Acct Summary 7-8'!C7:K7)</f>
        <v>350122</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13270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-8492</v>
      </c>
    </row>
    <row r="19" spans="1:4" ht="13.5" thickBot="1" x14ac:dyDescent="0.25">
      <c r="A19" s="1040" t="s">
        <v>1224</v>
      </c>
      <c r="D19" s="1041">
        <f>SUM(D10:D17)</f>
        <v>354900</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4"/>
      <c r="B24" s="2564"/>
      <c r="D24" s="1043"/>
    </row>
    <row r="25" spans="1:4" x14ac:dyDescent="0.2">
      <c r="A25" s="2561"/>
      <c r="B25" s="2561"/>
      <c r="D25" s="1043"/>
    </row>
    <row r="26" spans="1:4" x14ac:dyDescent="0.2">
      <c r="A26" s="2561"/>
      <c r="B26" s="2561"/>
      <c r="D26" s="1043"/>
    </row>
    <row r="27" spans="1:4" x14ac:dyDescent="0.2">
      <c r="A27" s="2561"/>
      <c r="B27" s="2561"/>
      <c r="D27" s="1043"/>
    </row>
    <row r="28" spans="1:4" x14ac:dyDescent="0.2">
      <c r="A28" s="2561"/>
      <c r="B28" s="2561"/>
      <c r="D28" s="1043"/>
    </row>
    <row r="29" spans="1:4" x14ac:dyDescent="0.2">
      <c r="A29" s="2561"/>
      <c r="B29" s="2561"/>
      <c r="D29" s="1043"/>
    </row>
    <row r="30" spans="1:4" x14ac:dyDescent="0.2">
      <c r="A30" s="2561"/>
      <c r="B30" s="2561"/>
      <c r="D30" s="1043"/>
    </row>
    <row r="32" spans="1:4" x14ac:dyDescent="0.2">
      <c r="A32" s="1035" t="s">
        <v>1222</v>
      </c>
      <c r="D32" s="1038">
        <f>SUM(D19:D30)</f>
        <v>354900</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1"/>
      <c r="B40" s="2561"/>
      <c r="D40" s="1043"/>
    </row>
    <row r="41" spans="1:4" x14ac:dyDescent="0.2">
      <c r="A41" s="2561"/>
      <c r="B41" s="2561"/>
      <c r="D41" s="1046"/>
    </row>
    <row r="42" spans="1:4" x14ac:dyDescent="0.2">
      <c r="A42" s="2561"/>
      <c r="B42" s="2561"/>
      <c r="D42" s="1046"/>
    </row>
    <row r="43" spans="1:4" x14ac:dyDescent="0.2">
      <c r="A43" s="2561"/>
      <c r="B43" s="2561"/>
      <c r="D43" s="1046"/>
    </row>
    <row r="44" spans="1:4" x14ac:dyDescent="0.2">
      <c r="A44" s="2561"/>
      <c r="B44" s="2561"/>
      <c r="D44" s="1046"/>
    </row>
    <row r="45" spans="1:4" x14ac:dyDescent="0.2">
      <c r="A45" s="2561"/>
      <c r="B45" s="2561"/>
      <c r="D45" s="1046"/>
    </row>
    <row r="47" spans="1:4" x14ac:dyDescent="0.2">
      <c r="B47" s="1047" t="s">
        <v>1216</v>
      </c>
      <c r="C47" s="1047"/>
      <c r="D47" s="1048">
        <f>SUM(D35:D45)</f>
        <v>0</v>
      </c>
    </row>
    <row r="49" spans="2:4" x14ac:dyDescent="0.2">
      <c r="B49" s="1047" t="s">
        <v>1215</v>
      </c>
      <c r="C49" s="1047"/>
      <c r="D49" s="1048">
        <f>D32-D47</f>
        <v>354900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21" t="str">
        <f>'Single Audit Cover'!A7</f>
        <v xml:space="preserve">  Komarek SD 94</v>
      </c>
      <c r="C1" s="2566"/>
      <c r="D1" s="2566"/>
      <c r="E1" s="2566"/>
      <c r="F1" s="2566"/>
      <c r="G1" s="2566"/>
      <c r="H1" s="2566"/>
      <c r="I1" s="2566"/>
      <c r="J1" s="2566"/>
      <c r="K1" s="2566"/>
      <c r="L1" s="2566"/>
      <c r="M1" s="2566"/>
    </row>
    <row r="2" spans="2:14" ht="15" x14ac:dyDescent="0.2">
      <c r="B2" s="2567" t="str">
        <f>'Single Audit Cover'!E7</f>
        <v xml:space="preserve">06016094002  </v>
      </c>
      <c r="C2" s="2567"/>
      <c r="D2" s="2567"/>
      <c r="E2" s="2567"/>
      <c r="F2" s="2567"/>
      <c r="G2" s="2567"/>
      <c r="H2" s="2567"/>
      <c r="I2" s="2567"/>
      <c r="J2" s="2567"/>
      <c r="K2" s="2567"/>
      <c r="L2" s="2567"/>
      <c r="M2" s="2567"/>
      <c r="N2" s="1077"/>
    </row>
    <row r="3" spans="2:14" ht="15" x14ac:dyDescent="0.2">
      <c r="B3" s="2568" t="s">
        <v>1208</v>
      </c>
      <c r="C3" s="2568"/>
      <c r="D3" s="2568"/>
      <c r="E3" s="2568"/>
      <c r="F3" s="2568"/>
      <c r="G3" s="2568"/>
      <c r="H3" s="2568"/>
      <c r="I3" s="2568"/>
      <c r="J3" s="2568"/>
      <c r="K3" s="2568"/>
      <c r="L3" s="2568"/>
      <c r="M3" s="2568"/>
      <c r="N3" s="1077"/>
    </row>
    <row r="4" spans="2:14" ht="15" x14ac:dyDescent="0.2">
      <c r="B4" s="2569" t="str">
        <f>'Single Audit Cover'!A4</f>
        <v>Year Ending June 30, 2020</v>
      </c>
      <c r="C4" s="2569"/>
      <c r="D4" s="2569"/>
      <c r="E4" s="2569"/>
      <c r="F4" s="2569"/>
      <c r="G4" s="2569"/>
      <c r="H4" s="2569"/>
      <c r="I4" s="2569"/>
      <c r="J4" s="2569"/>
      <c r="K4" s="2569"/>
      <c r="L4" s="2569"/>
      <c r="M4" s="2569"/>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1" t="str">
        <f>'Single Audit Cover'!A7</f>
        <v xml:space="preserve">  Komarek SD 94</v>
      </c>
      <c r="B1" s="2571"/>
      <c r="C1" s="2571"/>
      <c r="D1" s="2571"/>
      <c r="E1" s="2571"/>
      <c r="F1" s="2571"/>
    </row>
    <row r="2" spans="1:7" ht="13.5" customHeight="1" x14ac:dyDescent="0.2">
      <c r="A2" s="2567" t="str">
        <f>'Single Audit Cover'!E7</f>
        <v xml:space="preserve">06016094002  </v>
      </c>
      <c r="B2" s="2567"/>
      <c r="C2" s="2567"/>
      <c r="D2" s="2567"/>
      <c r="E2" s="2567"/>
      <c r="F2" s="2567"/>
      <c r="G2" s="1050"/>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4"/>
      <c r="D5" s="294"/>
    </row>
    <row r="6" spans="1:7" ht="13.5" customHeight="1" x14ac:dyDescent="0.2">
      <c r="A6" s="1051" t="s">
        <v>1705</v>
      </c>
      <c r="C6" s="294"/>
      <c r="D6" s="294"/>
    </row>
    <row r="7" spans="1:7" ht="60.95" customHeight="1" x14ac:dyDescent="0.2">
      <c r="A7" s="2570" t="s">
        <v>1706</v>
      </c>
      <c r="B7" s="2570"/>
      <c r="C7" s="2570"/>
      <c r="D7" s="2570"/>
      <c r="E7" s="2570"/>
      <c r="F7" s="2570"/>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0" t="s">
        <v>1708</v>
      </c>
      <c r="B13" s="2570"/>
      <c r="C13" s="2570"/>
      <c r="D13" s="2570"/>
      <c r="E13" s="2570"/>
      <c r="F13" s="2570"/>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4"/>
      <c r="E17" s="2574"/>
      <c r="F17" s="2574"/>
    </row>
    <row r="18" spans="1:6" ht="20.65" customHeight="1" x14ac:dyDescent="0.2">
      <c r="A18" s="1058"/>
      <c r="B18" s="1059"/>
      <c r="C18" s="1060"/>
      <c r="D18" s="2574"/>
      <c r="E18" s="2574"/>
      <c r="F18" s="2574"/>
    </row>
    <row r="19" spans="1:6" ht="20.65" customHeight="1" x14ac:dyDescent="0.2">
      <c r="A19" s="1058"/>
      <c r="B19" s="1059"/>
      <c r="C19" s="1060"/>
      <c r="D19" s="2574"/>
      <c r="E19" s="2574"/>
      <c r="F19" s="2574"/>
    </row>
    <row r="20" spans="1:6" ht="20.65" customHeight="1" x14ac:dyDescent="0.2">
      <c r="A20" s="1058"/>
      <c r="B20" s="1059"/>
      <c r="C20" s="1060"/>
      <c r="D20" s="2574"/>
      <c r="E20" s="2574"/>
      <c r="F20" s="2574"/>
    </row>
    <row r="21" spans="1:6" ht="20.65" customHeight="1" x14ac:dyDescent="0.2">
      <c r="A21" s="1058"/>
      <c r="B21" s="1059"/>
      <c r="C21" s="1060"/>
      <c r="D21" s="2574"/>
      <c r="E21" s="2574"/>
      <c r="F21" s="2574"/>
    </row>
    <row r="22" spans="1:6" ht="20.65" customHeight="1" x14ac:dyDescent="0.2">
      <c r="A22" s="1058"/>
      <c r="B22" s="1059"/>
      <c r="C22" s="1060"/>
      <c r="D22" s="2574"/>
      <c r="E22" s="2574"/>
      <c r="F22" s="2574"/>
    </row>
    <row r="23" spans="1:6" ht="20.65" customHeight="1" x14ac:dyDescent="0.2">
      <c r="A23" s="1058"/>
      <c r="B23" s="1059"/>
      <c r="C23" s="1060"/>
      <c r="D23" s="2574"/>
      <c r="E23" s="2574"/>
      <c r="F23" s="2574"/>
    </row>
    <row r="24" spans="1:6" ht="20.65" customHeight="1" x14ac:dyDescent="0.2">
      <c r="A24" s="1058"/>
      <c r="B24" s="1059"/>
      <c r="C24" s="1060"/>
      <c r="D24" s="2574"/>
      <c r="E24" s="2574"/>
      <c r="F24" s="2574"/>
    </row>
    <row r="25" spans="1:6" ht="20.65" customHeight="1" x14ac:dyDescent="0.2">
      <c r="A25" s="1058"/>
      <c r="B25" s="1059"/>
      <c r="C25" s="1060"/>
      <c r="D25" s="2574"/>
      <c r="E25" s="2574"/>
      <c r="F25" s="2574"/>
    </row>
    <row r="26" spans="1:6" ht="20.65" customHeight="1" x14ac:dyDescent="0.2">
      <c r="A26" s="1058"/>
      <c r="B26" s="1059"/>
      <c r="C26" s="1060"/>
      <c r="D26" s="2574"/>
      <c r="E26" s="2574"/>
      <c r="F26" s="2574"/>
    </row>
    <row r="27" spans="1:6" ht="20.65" customHeight="1" x14ac:dyDescent="0.2">
      <c r="A27" s="1058"/>
      <c r="B27" s="1059"/>
      <c r="C27" s="1060"/>
      <c r="D27" s="2574"/>
      <c r="E27" s="2574"/>
      <c r="F27" s="2574"/>
    </row>
    <row r="28" spans="1:6" ht="20.65" customHeight="1" x14ac:dyDescent="0.2">
      <c r="A28" s="1058"/>
      <c r="B28" s="1059"/>
      <c r="C28" s="1060"/>
      <c r="D28" s="2574"/>
      <c r="E28" s="2574"/>
      <c r="F28" s="2574"/>
    </row>
    <row r="29" spans="1:6" ht="20.65" customHeight="1" x14ac:dyDescent="0.2">
      <c r="A29" s="1058"/>
      <c r="B29" s="1059"/>
      <c r="C29" s="1060"/>
      <c r="D29" s="2574"/>
      <c r="E29" s="2574"/>
      <c r="F29" s="2574"/>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78" t="s">
        <v>1709</v>
      </c>
      <c r="B32" s="2578"/>
      <c r="C32" s="2578"/>
      <c r="D32" s="2578"/>
      <c r="E32" s="2578"/>
      <c r="F32" s="2578"/>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79">
        <f>+C33+C34</f>
        <v>0</v>
      </c>
      <c r="F34" s="2580"/>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81" t="s">
        <v>1573</v>
      </c>
      <c r="C49" s="2581"/>
      <c r="D49" s="2581"/>
      <c r="E49" s="1167"/>
    </row>
    <row r="50" spans="1:5" s="1075" customFormat="1" ht="3.75" customHeight="1" x14ac:dyDescent="0.2">
      <c r="A50" s="1074"/>
      <c r="B50" s="1474"/>
      <c r="C50" s="1474"/>
      <c r="D50" s="1474"/>
      <c r="E50" s="1167"/>
    </row>
    <row r="51" spans="1:5" s="1075" customFormat="1" ht="20.25" customHeight="1" x14ac:dyDescent="0.2">
      <c r="A51" s="1076">
        <v>6</v>
      </c>
      <c r="B51" s="2577" t="s">
        <v>1534</v>
      </c>
      <c r="C51" s="2577"/>
      <c r="D51" s="2577"/>
    </row>
    <row r="52" spans="1:5" ht="14.25" customHeight="1" x14ac:dyDescent="0.2">
      <c r="A52" s="1076"/>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96" colorId="8" zoomScaleNormal="100" workbookViewId="0">
      <selection activeCell="C114" sqref="C114:D114"/>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4" t="s">
        <v>1158</v>
      </c>
      <c r="B2" s="2154"/>
      <c r="C2" s="2154"/>
      <c r="D2" s="2154"/>
      <c r="E2" s="2154"/>
      <c r="F2" s="2154"/>
      <c r="G2" s="2154"/>
      <c r="H2" s="2154"/>
      <c r="I2" s="2154"/>
      <c r="J2" s="2154"/>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8" t="s">
        <v>1616</v>
      </c>
      <c r="B35" s="2169"/>
      <c r="C35" s="2169"/>
      <c r="D35" s="2169"/>
      <c r="E35" s="2170"/>
      <c r="F35" s="2170"/>
      <c r="G35" s="2170"/>
      <c r="H35" s="2170"/>
      <c r="I35" s="2170"/>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8" t="s">
        <v>310</v>
      </c>
      <c r="B47" s="2171"/>
      <c r="C47" s="2171"/>
      <c r="D47" s="2171"/>
      <c r="E47" s="2172"/>
      <c r="F47" s="2172"/>
      <c r="G47" s="2172"/>
      <c r="H47" s="2172"/>
      <c r="I47" s="2172"/>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33512</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5"/>
      <c r="C57" s="2176"/>
      <c r="D57" s="2176"/>
      <c r="E57" s="2176"/>
      <c r="F57" s="2176"/>
      <c r="G57" s="2176"/>
      <c r="H57" s="2176"/>
      <c r="I57" s="2176"/>
      <c r="J57" s="2177"/>
    </row>
    <row r="58" spans="1:10" s="175" customFormat="1" x14ac:dyDescent="0.2">
      <c r="A58" s="247"/>
      <c r="B58" s="2178"/>
      <c r="C58" s="2179"/>
      <c r="D58" s="2179"/>
      <c r="E58" s="2179"/>
      <c r="F58" s="2179"/>
      <c r="G58" s="2179"/>
      <c r="H58" s="2179"/>
      <c r="I58" s="2179"/>
      <c r="J58" s="2180"/>
    </row>
    <row r="59" spans="1:10" s="175" customFormat="1" x14ac:dyDescent="0.2">
      <c r="A59" s="247"/>
      <c r="B59" s="2178"/>
      <c r="C59" s="2179"/>
      <c r="D59" s="2179"/>
      <c r="E59" s="2179"/>
      <c r="F59" s="2179"/>
      <c r="G59" s="2179"/>
      <c r="H59" s="2179"/>
      <c r="I59" s="2179"/>
      <c r="J59" s="2180"/>
    </row>
    <row r="60" spans="1:10" s="175" customFormat="1" x14ac:dyDescent="0.2">
      <c r="A60" s="247"/>
      <c r="B60" s="2178"/>
      <c r="C60" s="2179"/>
      <c r="D60" s="2179"/>
      <c r="E60" s="2179"/>
      <c r="F60" s="2179"/>
      <c r="G60" s="2179"/>
      <c r="H60" s="2179"/>
      <c r="I60" s="2179"/>
      <c r="J60" s="2180"/>
    </row>
    <row r="61" spans="1:10" s="175" customFormat="1" x14ac:dyDescent="0.2">
      <c r="A61" s="247"/>
      <c r="B61" s="2178"/>
      <c r="C61" s="2179"/>
      <c r="D61" s="2179"/>
      <c r="E61" s="2179"/>
      <c r="F61" s="2179"/>
      <c r="G61" s="2179"/>
      <c r="H61" s="2179"/>
      <c r="I61" s="2179"/>
      <c r="J61" s="2180"/>
    </row>
    <row r="62" spans="1:10" s="175" customFormat="1" x14ac:dyDescent="0.2">
      <c r="A62" s="247"/>
      <c r="B62" s="2178"/>
      <c r="C62" s="2179"/>
      <c r="D62" s="2179"/>
      <c r="E62" s="2179"/>
      <c r="F62" s="2179"/>
      <c r="G62" s="2179"/>
      <c r="H62" s="2179"/>
      <c r="I62" s="2179"/>
      <c r="J62" s="2180"/>
    </row>
    <row r="63" spans="1:10" s="175" customFormat="1" x14ac:dyDescent="0.2">
      <c r="A63" s="247"/>
      <c r="B63" s="2178"/>
      <c r="C63" s="2179"/>
      <c r="D63" s="2179"/>
      <c r="E63" s="2179"/>
      <c r="F63" s="2179"/>
      <c r="G63" s="2179"/>
      <c r="H63" s="2179"/>
      <c r="I63" s="2179"/>
      <c r="J63" s="2180"/>
    </row>
    <row r="64" spans="1:10" s="175" customFormat="1" x14ac:dyDescent="0.2">
      <c r="A64" s="247"/>
      <c r="B64" s="2178"/>
      <c r="C64" s="2179"/>
      <c r="D64" s="2179"/>
      <c r="E64" s="2179"/>
      <c r="F64" s="2179"/>
      <c r="G64" s="2179"/>
      <c r="H64" s="2179"/>
      <c r="I64" s="2179"/>
      <c r="J64" s="2180"/>
    </row>
    <row r="65" spans="1:11" s="175" customFormat="1" x14ac:dyDescent="0.2">
      <c r="A65" s="247"/>
      <c r="B65" s="2178"/>
      <c r="C65" s="2179"/>
      <c r="D65" s="2179"/>
      <c r="E65" s="2179"/>
      <c r="F65" s="2179"/>
      <c r="G65" s="2179"/>
      <c r="H65" s="2179"/>
      <c r="I65" s="2179"/>
      <c r="J65" s="2180"/>
    </row>
    <row r="66" spans="1:11" s="175" customFormat="1" x14ac:dyDescent="0.2">
      <c r="A66" s="247"/>
      <c r="B66" s="2178"/>
      <c r="C66" s="2179"/>
      <c r="D66" s="2179"/>
      <c r="E66" s="2179"/>
      <c r="F66" s="2179"/>
      <c r="G66" s="2179"/>
      <c r="H66" s="2179"/>
      <c r="I66" s="2179"/>
      <c r="J66" s="2180"/>
    </row>
    <row r="67" spans="1:11" s="175" customFormat="1" ht="9" customHeight="1" x14ac:dyDescent="0.2">
      <c r="A67" s="248"/>
      <c r="B67" s="2181"/>
      <c r="C67" s="2182"/>
      <c r="D67" s="2182"/>
      <c r="E67" s="2182"/>
      <c r="F67" s="2182"/>
      <c r="G67" s="2182"/>
      <c r="H67" s="2182"/>
      <c r="I67" s="2182"/>
      <c r="J67" s="2183"/>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8" t="s">
        <v>1312</v>
      </c>
      <c r="B70" s="2171"/>
      <c r="C70" s="2171"/>
      <c r="D70" s="2171"/>
      <c r="E70" s="2172"/>
      <c r="F70" s="2172"/>
      <c r="G70" s="2172"/>
      <c r="H70" s="2172"/>
      <c r="I70" s="2172"/>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v>44012</v>
      </c>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3" t="s">
        <v>1309</v>
      </c>
      <c r="B83" s="2173"/>
      <c r="C83" s="2173"/>
      <c r="D83" s="2174"/>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4" t="s">
        <v>1989</v>
      </c>
      <c r="B85" s="2184"/>
      <c r="C85" s="2184"/>
      <c r="D85" s="2185"/>
      <c r="E85" s="1543">
        <v>876</v>
      </c>
      <c r="F85" s="1543">
        <v>27278</v>
      </c>
      <c r="G85" s="1543">
        <v>45</v>
      </c>
      <c r="H85" s="1543">
        <v>19573</v>
      </c>
      <c r="I85" s="1903"/>
      <c r="J85" s="1726">
        <f>SUM(E85:I85)</f>
        <v>47772</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86" t="s">
        <v>1989</v>
      </c>
      <c r="B88" s="2187"/>
      <c r="C88" s="2187"/>
      <c r="D88" s="2188"/>
      <c r="E88" s="1543"/>
      <c r="F88" s="1543"/>
      <c r="G88" s="1543"/>
      <c r="H88" s="1543"/>
      <c r="I88" s="1903"/>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47772</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5"/>
      <c r="C102" s="2156"/>
      <c r="D102" s="2156"/>
      <c r="E102" s="2156"/>
      <c r="F102" s="2156"/>
      <c r="G102" s="2156"/>
      <c r="H102" s="2156"/>
      <c r="I102" s="2157"/>
    </row>
    <row r="103" spans="1:9" s="175" customFormat="1" ht="11.25" customHeight="1" x14ac:dyDescent="0.2">
      <c r="A103" s="293"/>
      <c r="B103" s="2158"/>
      <c r="C103" s="2159"/>
      <c r="D103" s="2159"/>
      <c r="E103" s="2159"/>
      <c r="F103" s="2159"/>
      <c r="G103" s="2159"/>
      <c r="H103" s="2159"/>
      <c r="I103" s="2160"/>
    </row>
    <row r="104" spans="1:9" s="175" customFormat="1" ht="11.25" customHeight="1" x14ac:dyDescent="0.2">
      <c r="A104" s="293"/>
      <c r="B104" s="2158"/>
      <c r="C104" s="2159"/>
      <c r="D104" s="2159"/>
      <c r="E104" s="2159"/>
      <c r="F104" s="2159"/>
      <c r="G104" s="2159"/>
      <c r="H104" s="2159"/>
      <c r="I104" s="2160"/>
    </row>
    <row r="105" spans="1:9" s="175" customFormat="1" x14ac:dyDescent="0.2">
      <c r="A105" s="293"/>
      <c r="B105" s="2158"/>
      <c r="C105" s="2159"/>
      <c r="D105" s="2159"/>
      <c r="E105" s="2159"/>
      <c r="F105" s="2159"/>
      <c r="G105" s="2159"/>
      <c r="H105" s="2159"/>
      <c r="I105" s="2160"/>
    </row>
    <row r="106" spans="1:9" s="175" customFormat="1" ht="11.25" customHeight="1" x14ac:dyDescent="0.2">
      <c r="A106" s="293"/>
      <c r="B106" s="2158"/>
      <c r="C106" s="2159"/>
      <c r="D106" s="2159"/>
      <c r="E106" s="2159"/>
      <c r="F106" s="2159"/>
      <c r="G106" s="2159"/>
      <c r="H106" s="2159"/>
      <c r="I106" s="2160"/>
    </row>
    <row r="107" spans="1:9" s="175" customFormat="1" ht="11.25" customHeight="1" x14ac:dyDescent="0.2">
      <c r="A107" s="293"/>
      <c r="B107" s="2158"/>
      <c r="C107" s="2159"/>
      <c r="D107" s="2159"/>
      <c r="E107" s="2159"/>
      <c r="F107" s="2159"/>
      <c r="G107" s="2159"/>
      <c r="H107" s="2159"/>
      <c r="I107" s="2160"/>
    </row>
    <row r="108" spans="1:9" s="175" customFormat="1" ht="11.25" customHeight="1" x14ac:dyDescent="0.2">
      <c r="A108" s="293"/>
      <c r="B108" s="2158"/>
      <c r="C108" s="2159"/>
      <c r="D108" s="2159"/>
      <c r="E108" s="2159"/>
      <c r="F108" s="2159"/>
      <c r="G108" s="2159"/>
      <c r="H108" s="2159"/>
      <c r="I108" s="2160"/>
    </row>
    <row r="109" spans="1:9" s="175" customFormat="1" ht="11.25" customHeight="1" x14ac:dyDescent="0.2">
      <c r="A109" s="293"/>
      <c r="B109" s="2158"/>
      <c r="C109" s="2159"/>
      <c r="D109" s="2159"/>
      <c r="E109" s="2159"/>
      <c r="F109" s="2159"/>
      <c r="G109" s="2159"/>
      <c r="H109" s="2159"/>
      <c r="I109" s="2160"/>
    </row>
    <row r="110" spans="1:9" s="175" customFormat="1" ht="11.25" customHeight="1" x14ac:dyDescent="0.2">
      <c r="A110" s="293"/>
      <c r="B110" s="2158"/>
      <c r="C110" s="2159"/>
      <c r="D110" s="2159"/>
      <c r="E110" s="2159"/>
      <c r="F110" s="2159"/>
      <c r="G110" s="2159"/>
      <c r="H110" s="2159"/>
      <c r="I110" s="2160"/>
    </row>
    <row r="111" spans="1:9" s="175" customFormat="1" ht="11.25" customHeight="1" x14ac:dyDescent="0.2">
      <c r="A111" s="293"/>
      <c r="B111" s="2158"/>
      <c r="C111" s="2159"/>
      <c r="D111" s="2159"/>
      <c r="E111" s="2159"/>
      <c r="F111" s="2159"/>
      <c r="G111" s="2159"/>
      <c r="H111" s="2159"/>
      <c r="I111" s="2160"/>
    </row>
    <row r="112" spans="1:9" s="175" customFormat="1" ht="11.25" customHeight="1" x14ac:dyDescent="0.2">
      <c r="A112" s="293"/>
      <c r="B112" s="2161"/>
      <c r="C112" s="2162"/>
      <c r="D112" s="2162"/>
      <c r="E112" s="2162"/>
      <c r="F112" s="2162"/>
      <c r="G112" s="2162"/>
      <c r="H112" s="2162"/>
      <c r="I112" s="2163"/>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4" t="s">
        <v>2067</v>
      </c>
      <c r="D114" s="2164"/>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5" t="s">
        <v>1319</v>
      </c>
      <c r="D117" s="2166"/>
      <c r="E117" s="2167"/>
      <c r="F117" s="2167"/>
      <c r="G117" s="2167"/>
      <c r="H117" s="2167"/>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6" t="str">
        <f>'Single Audit Cover'!A7</f>
        <v xml:space="preserve">  Komarek SD 94</v>
      </c>
      <c r="C1" s="2587"/>
      <c r="D1" s="2587"/>
      <c r="E1" s="2587"/>
      <c r="F1" s="2587"/>
      <c r="G1" s="2587"/>
      <c r="H1" s="2587"/>
      <c r="I1" s="2587"/>
      <c r="J1" s="1177"/>
    </row>
    <row r="2" spans="2:10" s="294" customFormat="1" ht="12.75" customHeight="1" x14ac:dyDescent="0.2">
      <c r="B2" s="2588" t="str">
        <f>'Single Audit Cover'!E7</f>
        <v xml:space="preserve">06016094002  </v>
      </c>
      <c r="C2" s="2589"/>
      <c r="D2" s="2589"/>
      <c r="E2" s="2589"/>
      <c r="F2" s="2589"/>
      <c r="G2" s="2589"/>
      <c r="H2" s="2589"/>
      <c r="I2" s="2589"/>
      <c r="J2" s="1177"/>
    </row>
    <row r="3" spans="2:10" s="294" customFormat="1" ht="12.75" customHeight="1" x14ac:dyDescent="0.2">
      <c r="B3" s="2590" t="s">
        <v>1274</v>
      </c>
      <c r="C3" s="2591"/>
      <c r="D3" s="2591"/>
      <c r="E3" s="2591"/>
      <c r="F3" s="2591"/>
      <c r="G3" s="2591"/>
      <c r="H3" s="2591"/>
      <c r="I3" s="2591"/>
      <c r="J3" s="1178"/>
    </row>
    <row r="4" spans="2:10" s="294" customFormat="1" ht="12.75" customHeight="1" x14ac:dyDescent="0.2">
      <c r="B4" s="2590" t="str">
        <f>'Single Audit Cover'!A4</f>
        <v>Year Ending June 30, 2020</v>
      </c>
      <c r="C4" s="2591"/>
      <c r="D4" s="2591"/>
      <c r="E4" s="2591"/>
      <c r="F4" s="2591"/>
      <c r="G4" s="2591"/>
      <c r="H4" s="2591"/>
      <c r="I4" s="2591"/>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0" t="s">
        <v>1273</v>
      </c>
      <c r="C7" s="2591"/>
      <c r="D7" s="2591"/>
      <c r="E7" s="2591"/>
      <c r="F7" s="2591"/>
      <c r="G7" s="2591"/>
      <c r="H7" s="2591"/>
      <c r="I7" s="2591"/>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2"/>
      <c r="D11" s="2592"/>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3"/>
      <c r="E29" s="2593"/>
      <c r="F29" s="2593"/>
      <c r="G29" s="2593"/>
      <c r="H29" s="2593"/>
      <c r="I29" s="2593"/>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4" t="s">
        <v>1728</v>
      </c>
      <c r="D37" s="2595"/>
      <c r="E37" s="2595"/>
      <c r="F37" s="2596"/>
      <c r="G37" s="2594" t="s">
        <v>1575</v>
      </c>
      <c r="H37" s="2595"/>
      <c r="I37" s="2596"/>
    </row>
    <row r="38" spans="2:9" ht="16.5" customHeight="1" x14ac:dyDescent="0.2">
      <c r="B38" s="1199"/>
      <c r="C38" s="2582"/>
      <c r="D38" s="2583"/>
      <c r="E38" s="2583"/>
      <c r="F38" s="2584"/>
      <c r="G38" s="2597"/>
      <c r="H38" s="2598"/>
      <c r="I38" s="2599"/>
    </row>
    <row r="39" spans="2:9" ht="16.5" customHeight="1" x14ac:dyDescent="0.2">
      <c r="B39" s="1199"/>
      <c r="C39" s="2582"/>
      <c r="D39" s="2583"/>
      <c r="E39" s="2583"/>
      <c r="F39" s="2584"/>
      <c r="G39" s="2585"/>
      <c r="H39" s="2585"/>
      <c r="I39" s="2585"/>
    </row>
    <row r="40" spans="2:9" ht="16.5" customHeight="1" x14ac:dyDescent="0.2">
      <c r="B40" s="1199"/>
      <c r="C40" s="2582"/>
      <c r="D40" s="2583"/>
      <c r="E40" s="2583"/>
      <c r="F40" s="2584"/>
      <c r="G40" s="2585"/>
      <c r="H40" s="2585"/>
      <c r="I40" s="2585"/>
    </row>
    <row r="41" spans="2:9" ht="16.5" customHeight="1" x14ac:dyDescent="0.2">
      <c r="B41" s="1199"/>
      <c r="C41" s="2582"/>
      <c r="D41" s="2583"/>
      <c r="E41" s="2583"/>
      <c r="F41" s="2584"/>
      <c r="G41" s="2585"/>
      <c r="H41" s="2585"/>
      <c r="I41" s="2585"/>
    </row>
    <row r="42" spans="2:9" ht="16.5" customHeight="1" x14ac:dyDescent="0.2">
      <c r="B42" s="1199"/>
      <c r="C42" s="2582"/>
      <c r="D42" s="2583"/>
      <c r="E42" s="2583"/>
      <c r="F42" s="2584"/>
      <c r="G42" s="2585"/>
      <c r="H42" s="2585"/>
      <c r="I42" s="2585"/>
    </row>
    <row r="43" spans="2:9" ht="16.5" customHeight="1" x14ac:dyDescent="0.2">
      <c r="B43" s="1199"/>
      <c r="C43" s="2600" t="s">
        <v>1576</v>
      </c>
      <c r="D43" s="2601"/>
      <c r="E43" s="2601"/>
      <c r="F43" s="2602"/>
      <c r="G43" s="2603">
        <f>SUM(G38:I42)</f>
        <v>0</v>
      </c>
      <c r="H43" s="2603"/>
      <c r="I43" s="2603"/>
    </row>
    <row r="44" spans="2:9" ht="12.75" customHeight="1" x14ac:dyDescent="0.2"/>
    <row r="45" spans="2:9" ht="12.75" customHeight="1" x14ac:dyDescent="0.2">
      <c r="B45" s="1916" t="str">
        <f>"Total Federal Expenditures for 7/1/"&amp;MID('AFR20'!E2,3,2)-1&amp;"-6/30/"&amp;MID('AFR20'!E2,3,2)</f>
        <v>Total Federal Expenditures for 7/1/19-6/30/20</v>
      </c>
      <c r="C45" s="1917"/>
      <c r="D45" s="2604">
        <v>0</v>
      </c>
      <c r="E45" s="2605"/>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6"/>
      <c r="F49" s="2606"/>
      <c r="G49" s="2606"/>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6" t="str">
        <f>'Single Audit Cover'!A7</f>
        <v xml:space="preserve">  Komarek SD 94</v>
      </c>
      <c r="C1" s="2586"/>
      <c r="D1" s="2586"/>
      <c r="E1" s="2586"/>
      <c r="F1" s="2586"/>
      <c r="G1" s="2586"/>
      <c r="H1" s="2586"/>
      <c r="I1" s="2586"/>
      <c r="J1" s="2586"/>
      <c r="K1" s="2586"/>
      <c r="L1" s="1143"/>
      <c r="M1" s="1143"/>
    </row>
    <row r="2" spans="1:13" ht="12" customHeight="1" x14ac:dyDescent="0.2">
      <c r="B2" s="2588" t="str">
        <f>'Single Audit Cover'!E7</f>
        <v xml:space="preserve">06016094002  </v>
      </c>
      <c r="C2" s="2588"/>
      <c r="D2" s="2588"/>
      <c r="E2" s="2588"/>
      <c r="F2" s="2588"/>
      <c r="G2" s="2588"/>
      <c r="H2" s="2588"/>
      <c r="I2" s="2588"/>
      <c r="J2" s="2588"/>
      <c r="K2" s="2588"/>
      <c r="L2" s="1144"/>
      <c r="M2" s="1145"/>
    </row>
    <row r="3" spans="1:13" ht="10.35" customHeight="1" x14ac:dyDescent="0.2">
      <c r="B3" s="2609" t="s">
        <v>1274</v>
      </c>
      <c r="C3" s="2609"/>
      <c r="D3" s="2609"/>
      <c r="E3" s="2609"/>
      <c r="F3" s="2609"/>
      <c r="G3" s="2609"/>
      <c r="H3" s="2609"/>
      <c r="I3" s="2609"/>
      <c r="J3" s="2609"/>
      <c r="K3" s="2609"/>
      <c r="L3" s="1146"/>
      <c r="M3" s="1146"/>
    </row>
    <row r="4" spans="1:13" ht="14.25" customHeight="1" x14ac:dyDescent="0.2">
      <c r="B4" s="2610" t="str">
        <f>'Single Audit Cover'!A4</f>
        <v>Year Ending June 30, 2020</v>
      </c>
      <c r="C4" s="2610"/>
      <c r="D4" s="2610"/>
      <c r="E4" s="2610"/>
      <c r="F4" s="2610"/>
      <c r="G4" s="2610"/>
      <c r="H4" s="2610"/>
      <c r="I4" s="2610"/>
      <c r="J4" s="2610"/>
      <c r="K4" s="2610"/>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1285</v>
      </c>
      <c r="C7" s="2610"/>
      <c r="D7" s="2611"/>
      <c r="E7" s="2611"/>
      <c r="F7" s="2611"/>
      <c r="G7" s="2611"/>
      <c r="H7" s="2611"/>
      <c r="I7" s="2611"/>
      <c r="J7" s="2611"/>
      <c r="K7" s="2611"/>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8"/>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8"/>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2"/>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8"/>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8"/>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7"/>
      <c r="C29" s="2607"/>
      <c r="D29" s="2608"/>
      <c r="E29" s="2608"/>
      <c r="F29" s="2608"/>
      <c r="G29" s="2608"/>
      <c r="H29" s="2608"/>
      <c r="I29" s="2608"/>
      <c r="J29" s="2608"/>
      <c r="K29" s="2608"/>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7"/>
      <c r="C32" s="2607"/>
      <c r="D32" s="2608"/>
      <c r="E32" s="2608"/>
      <c r="F32" s="2608"/>
      <c r="G32" s="2608"/>
      <c r="H32" s="2608"/>
      <c r="I32" s="2608"/>
      <c r="J32" s="2608"/>
      <c r="K32" s="2608"/>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3" t="str">
        <f>'Single Audit Cover'!A7</f>
        <v xml:space="preserve">  Komarek SD 94</v>
      </c>
      <c r="C1" s="2613"/>
      <c r="D1" s="2613"/>
      <c r="E1" s="2613"/>
      <c r="F1" s="2613"/>
      <c r="G1" s="2613"/>
      <c r="H1" s="2613"/>
      <c r="I1" s="2613"/>
      <c r="J1" s="2613"/>
      <c r="K1" s="2613"/>
      <c r="L1" s="1220"/>
    </row>
    <row r="2" spans="1:12" ht="12.75" customHeight="1" x14ac:dyDescent="0.2">
      <c r="B2" s="2614" t="str">
        <f>'Single Audit Cover'!E7</f>
        <v xml:space="preserve">06016094002  </v>
      </c>
      <c r="C2" s="2614"/>
      <c r="D2" s="2614"/>
      <c r="E2" s="2614"/>
      <c r="F2" s="2614"/>
      <c r="G2" s="2614"/>
      <c r="H2" s="2614"/>
      <c r="I2" s="2614"/>
      <c r="J2" s="2614"/>
      <c r="K2" s="2614"/>
      <c r="L2" s="1221"/>
    </row>
    <row r="3" spans="1:12" ht="12.75" customHeight="1" x14ac:dyDescent="0.2">
      <c r="B3" s="2609" t="s">
        <v>1274</v>
      </c>
      <c r="C3" s="2609"/>
      <c r="D3" s="2609"/>
      <c r="E3" s="2609"/>
      <c r="F3" s="2609"/>
      <c r="G3" s="2609"/>
      <c r="H3" s="2609"/>
      <c r="I3" s="2609"/>
      <c r="J3" s="2609"/>
      <c r="K3" s="2609"/>
      <c r="L3" s="1146"/>
    </row>
    <row r="4" spans="1:12" ht="12.75" customHeight="1" x14ac:dyDescent="0.2">
      <c r="B4" s="2609" t="str">
        <f>'Single Audit Cover'!A4</f>
        <v>Year Ending June 30, 2020</v>
      </c>
      <c r="C4" s="2609"/>
      <c r="D4" s="2609"/>
      <c r="E4" s="2609"/>
      <c r="F4" s="2609"/>
      <c r="G4" s="2609"/>
      <c r="H4" s="2609"/>
      <c r="I4" s="2609"/>
      <c r="J4" s="2609"/>
      <c r="K4" s="2609"/>
      <c r="L4" s="1146"/>
    </row>
    <row r="5" spans="1:12" ht="5.25" customHeight="1" x14ac:dyDescent="0.2">
      <c r="B5" s="1035" t="s">
        <v>1159</v>
      </c>
      <c r="C5" s="1035"/>
      <c r="L5" s="299"/>
    </row>
    <row r="6" spans="1:12" ht="30.75" customHeight="1" x14ac:dyDescent="0.2">
      <c r="A6" s="299"/>
      <c r="B6" s="2615" t="s">
        <v>1297</v>
      </c>
      <c r="C6" s="2615"/>
      <c r="D6" s="2615"/>
      <c r="E6" s="2615"/>
      <c r="F6" s="2615"/>
      <c r="G6" s="2615"/>
      <c r="H6" s="2615"/>
      <c r="I6" s="2615"/>
      <c r="J6" s="2615"/>
      <c r="K6" s="2615"/>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8"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3"/>
      <c r="G12" s="2593"/>
      <c r="H12" s="2593"/>
      <c r="I12" s="2593"/>
      <c r="J12" s="2593"/>
      <c r="K12" s="2593"/>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6"/>
      <c r="E14" s="2616"/>
      <c r="F14" s="2616"/>
      <c r="H14" s="1229" t="s">
        <v>1292</v>
      </c>
      <c r="I14" s="2617"/>
      <c r="J14" s="2617"/>
      <c r="K14" s="2617"/>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7"/>
      <c r="E16" s="2617"/>
      <c r="F16" s="2617"/>
      <c r="G16" s="2617"/>
      <c r="H16" s="2617"/>
      <c r="I16" s="2617"/>
      <c r="J16" s="2617"/>
      <c r="K16" s="2617"/>
      <c r="L16" s="299"/>
    </row>
    <row r="17" spans="2:12" ht="13.5" customHeight="1" x14ac:dyDescent="0.2">
      <c r="B17" s="1155" t="s">
        <v>1290</v>
      </c>
      <c r="C17" s="1155"/>
      <c r="D17" s="2618"/>
      <c r="E17" s="2618"/>
      <c r="F17" s="2618"/>
      <c r="G17" s="2618"/>
      <c r="H17" s="2618"/>
      <c r="I17" s="2618"/>
      <c r="J17" s="2618"/>
      <c r="K17" s="2618"/>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08"/>
      <c r="C20" s="2608"/>
      <c r="D20" s="2608"/>
      <c r="E20" s="2608"/>
      <c r="F20" s="2608"/>
      <c r="G20" s="2608"/>
      <c r="H20" s="2608"/>
      <c r="I20" s="2608"/>
      <c r="J20" s="2608"/>
      <c r="K20" s="260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08"/>
      <c r="C23" s="2608"/>
      <c r="D23" s="2608"/>
      <c r="E23" s="2608"/>
      <c r="F23" s="2608"/>
      <c r="G23" s="2608"/>
      <c r="H23" s="2608"/>
      <c r="I23" s="2608"/>
      <c r="J23" s="2608"/>
      <c r="K23" s="2608"/>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08"/>
      <c r="C26" s="2608"/>
      <c r="D26" s="2608"/>
      <c r="E26" s="2608"/>
      <c r="F26" s="2608"/>
      <c r="G26" s="2608"/>
      <c r="H26" s="2608"/>
      <c r="I26" s="2608"/>
      <c r="J26" s="2608"/>
      <c r="K26" s="2608"/>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08"/>
      <c r="C29" s="2608"/>
      <c r="D29" s="2608"/>
      <c r="E29" s="2608"/>
      <c r="F29" s="2608"/>
      <c r="G29" s="2608"/>
      <c r="H29" s="2608"/>
      <c r="I29" s="2608"/>
      <c r="J29" s="2608"/>
      <c r="K29" s="2608"/>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08"/>
      <c r="C32" s="2608"/>
      <c r="D32" s="2608"/>
      <c r="E32" s="2608"/>
      <c r="F32" s="2608"/>
      <c r="G32" s="2608"/>
      <c r="H32" s="2608"/>
      <c r="I32" s="2608"/>
      <c r="J32" s="2608"/>
      <c r="K32" s="2608"/>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08"/>
      <c r="C35" s="2608"/>
      <c r="D35" s="2608"/>
      <c r="E35" s="2608"/>
      <c r="F35" s="2608"/>
      <c r="G35" s="2608"/>
      <c r="H35" s="2608"/>
      <c r="I35" s="2608"/>
      <c r="J35" s="2608"/>
      <c r="K35" s="2608"/>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08"/>
      <c r="C38" s="2608"/>
      <c r="D38" s="2608"/>
      <c r="E38" s="2608"/>
      <c r="F38" s="2608"/>
      <c r="G38" s="2608"/>
      <c r="H38" s="2608"/>
      <c r="I38" s="2608"/>
      <c r="J38" s="2608"/>
      <c r="K38" s="2608"/>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08"/>
      <c r="C41" s="2608"/>
      <c r="D41" s="2608"/>
      <c r="E41" s="2608"/>
      <c r="F41" s="2608"/>
      <c r="G41" s="2608"/>
      <c r="H41" s="2608"/>
      <c r="I41" s="2608"/>
      <c r="J41" s="2608"/>
      <c r="K41" s="2608"/>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86" t="str">
        <f>'Single Audit Cover'!A7</f>
        <v xml:space="preserve">  Komarek SD 94</v>
      </c>
      <c r="C1" s="2586"/>
      <c r="D1" s="2586"/>
      <c r="E1" s="1239"/>
    </row>
    <row r="2" spans="2:5" s="1057" customFormat="1" ht="12.75" customHeight="1" x14ac:dyDescent="0.2">
      <c r="B2" s="2588" t="str">
        <f>'Single Audit Cover'!E7</f>
        <v xml:space="preserve">06016094002  </v>
      </c>
      <c r="C2" s="2588"/>
      <c r="D2" s="2588"/>
      <c r="E2" s="1240"/>
    </row>
    <row r="3" spans="2:5" ht="12.75" customHeight="1" x14ac:dyDescent="0.2">
      <c r="B3" s="2609" t="s">
        <v>1743</v>
      </c>
      <c r="C3" s="2609"/>
      <c r="D3" s="2609"/>
      <c r="E3" s="1049"/>
    </row>
    <row r="4" spans="2:5" s="1057" customFormat="1" ht="12.75" customHeight="1" x14ac:dyDescent="0.2">
      <c r="B4" s="2619" t="str">
        <f>'Single Audit Cover'!A4</f>
        <v>Year Ending June 30, 2020</v>
      </c>
      <c r="C4" s="2619"/>
      <c r="D4" s="2619"/>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F22" sqref="F22"/>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89" t="s">
        <v>383</v>
      </c>
      <c r="B1" s="2189"/>
      <c r="C1" s="2189"/>
      <c r="D1" s="2189"/>
      <c r="E1" s="2189"/>
      <c r="F1" s="2189"/>
      <c r="G1" s="2189"/>
      <c r="H1" s="2189"/>
      <c r="I1" s="2189"/>
      <c r="J1" s="2189"/>
      <c r="K1" s="2189"/>
      <c r="L1" s="2189"/>
      <c r="M1" s="2189"/>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v>166697535</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2.4184000000000001E-2</v>
      </c>
      <c r="E10" s="332" t="s">
        <v>998</v>
      </c>
      <c r="F10" s="331">
        <v>2.7330000000000002E-3</v>
      </c>
      <c r="G10" s="332" t="s">
        <v>998</v>
      </c>
      <c r="H10" s="331">
        <v>6.1300000000000005E-4</v>
      </c>
      <c r="I10" s="332" t="s">
        <v>999</v>
      </c>
      <c r="J10" s="1423">
        <f>ROUND(D10+F10+H10,5)</f>
        <v>2.7529999999999999E-2</v>
      </c>
      <c r="K10" s="216"/>
      <c r="L10" s="331">
        <v>2.4000000000000001E-4</v>
      </c>
      <c r="M10" s="216"/>
    </row>
    <row r="11" spans="1:14" ht="7.5" customHeight="1" x14ac:dyDescent="0.2">
      <c r="B11" s="216"/>
      <c r="C11" s="216"/>
      <c r="D11" s="2199" t="str">
        <f>IF(SUM(J10)&lt;=0.0999999,"","Enter the Tax Rates by moving the decimal two places to the left.")</f>
        <v/>
      </c>
      <c r="E11" s="2200"/>
      <c r="F11" s="2200"/>
      <c r="G11" s="2200"/>
      <c r="H11" s="2200"/>
      <c r="I11" s="2200"/>
      <c r="J11" s="2200"/>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6669237</v>
      </c>
      <c r="E16" s="1546"/>
      <c r="F16" s="1545">
        <f>SUM('Acct Summary 7-8'!C17,'Acct Summary 7-8'!D17,'Acct Summary 7-8'!F17)</f>
        <v>7160526</v>
      </c>
      <c r="G16" s="1546"/>
      <c r="H16" s="1545">
        <f>SUM(D16-F16)</f>
        <v>-491289</v>
      </c>
      <c r="I16" s="1547"/>
      <c r="J16" s="1545">
        <f>SUM('Acct Summary 7-8'!C81,'Acct Summary 7-8'!D81,'Acct Summary 7-8'!F81,'Acct Summary 7-8'!I81)</f>
        <v>2388708</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11502129.915000001</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4720278</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90"/>
      <c r="C54" s="2191"/>
      <c r="D54" s="2191"/>
      <c r="E54" s="2191"/>
      <c r="F54" s="2191"/>
      <c r="G54" s="2191"/>
      <c r="H54" s="2191"/>
      <c r="I54" s="2191"/>
      <c r="J54" s="2191"/>
      <c r="K54" s="2191"/>
      <c r="L54" s="2192"/>
      <c r="M54" s="356"/>
    </row>
    <row r="55" spans="1:13" ht="12.75" customHeight="1" x14ac:dyDescent="0.2">
      <c r="B55" s="2193"/>
      <c r="C55" s="2194"/>
      <c r="D55" s="2194"/>
      <c r="E55" s="2194"/>
      <c r="F55" s="2194"/>
      <c r="G55" s="2194"/>
      <c r="H55" s="2194"/>
      <c r="I55" s="2194"/>
      <c r="J55" s="2194"/>
      <c r="K55" s="2194"/>
      <c r="L55" s="2195"/>
      <c r="M55" s="356"/>
    </row>
    <row r="56" spans="1:13" ht="12.75" customHeight="1" x14ac:dyDescent="0.2">
      <c r="B56" s="2193"/>
      <c r="C56" s="2194"/>
      <c r="D56" s="2194"/>
      <c r="E56" s="2194"/>
      <c r="F56" s="2194"/>
      <c r="G56" s="2194"/>
      <c r="H56" s="2194"/>
      <c r="I56" s="2194"/>
      <c r="J56" s="2194"/>
      <c r="K56" s="2194"/>
      <c r="L56" s="2195"/>
      <c r="M56" s="216"/>
    </row>
    <row r="57" spans="1:13" ht="12.75" customHeight="1" x14ac:dyDescent="0.2">
      <c r="B57" s="2193"/>
      <c r="C57" s="2194"/>
      <c r="D57" s="2194"/>
      <c r="E57" s="2194"/>
      <c r="F57" s="2194"/>
      <c r="G57" s="2194"/>
      <c r="H57" s="2194"/>
      <c r="I57" s="2194"/>
      <c r="J57" s="2194"/>
      <c r="K57" s="2194"/>
      <c r="L57" s="2195"/>
      <c r="M57" s="216"/>
    </row>
    <row r="58" spans="1:13" x14ac:dyDescent="0.2">
      <c r="B58" s="2196"/>
      <c r="C58" s="2197"/>
      <c r="D58" s="2197"/>
      <c r="E58" s="2197"/>
      <c r="F58" s="2197"/>
      <c r="G58" s="2197"/>
      <c r="H58" s="2197"/>
      <c r="I58" s="2197"/>
      <c r="J58" s="2197"/>
      <c r="K58" s="2197"/>
      <c r="L58" s="2198"/>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1"/>
      <c r="D61" s="2202"/>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4"/>
      <c r="B1" s="2205"/>
      <c r="C1" s="2205"/>
      <c r="D1" s="360"/>
      <c r="E1" s="360"/>
      <c r="F1" s="360"/>
      <c r="G1" s="360"/>
      <c r="H1" s="360"/>
      <c r="I1" s="360"/>
      <c r="J1" s="360"/>
      <c r="K1" s="360"/>
      <c r="L1" s="360"/>
      <c r="M1" s="360"/>
      <c r="N1" s="360"/>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Komarek SD 94</v>
      </c>
      <c r="E7" s="367"/>
      <c r="G7" s="246"/>
      <c r="H7" s="363"/>
      <c r="I7" s="363"/>
      <c r="J7" s="363"/>
      <c r="K7" s="363"/>
      <c r="L7" s="306"/>
      <c r="M7" s="306"/>
      <c r="N7" s="306"/>
      <c r="O7" s="306"/>
      <c r="P7" s="306"/>
    </row>
    <row r="8" spans="1:18" ht="12.75" x14ac:dyDescent="0.2">
      <c r="A8" s="306"/>
      <c r="B8" s="306"/>
      <c r="C8" s="365" t="s">
        <v>1115</v>
      </c>
      <c r="D8" s="368" t="str">
        <f>COVER!A13</f>
        <v xml:space="preserve">06016094002  </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2388708</v>
      </c>
      <c r="I12" s="379"/>
      <c r="J12" s="379"/>
      <c r="K12" s="1558">
        <f>TRUNC((H12/H13*100000),5)/100000</f>
        <v>0.36009806589999999</v>
      </c>
      <c r="L12" s="380"/>
      <c r="M12" s="336" t="s">
        <v>1134</v>
      </c>
      <c r="N12" s="336"/>
      <c r="O12" s="1561">
        <v>0.35</v>
      </c>
      <c r="P12" s="212"/>
      <c r="Q12" s="212"/>
    </row>
    <row r="13" spans="1:18" s="381" customFormat="1" ht="12.75" x14ac:dyDescent="0.2">
      <c r="A13" s="212"/>
      <c r="B13" s="376"/>
      <c r="C13" s="2206" t="s">
        <v>1313</v>
      </c>
      <c r="D13" s="2207"/>
      <c r="E13" s="212"/>
      <c r="F13" s="382" t="s">
        <v>788</v>
      </c>
      <c r="G13" s="377"/>
      <c r="H13" s="1550">
        <f>SUM('Acct Summary 7-8'!C8+'Acct Summary 7-8'!D8+'Acct Summary 7-8'!F8+'Acct Summary 7-8'!I8)+H14</f>
        <v>6633493</v>
      </c>
      <c r="I13" s="379"/>
      <c r="J13" s="379"/>
      <c r="K13" s="1557"/>
      <c r="L13" s="212"/>
      <c r="M13" s="336" t="s">
        <v>1135</v>
      </c>
      <c r="N13" s="336"/>
      <c r="O13" s="1562">
        <f>(O11*O12)</f>
        <v>1.4</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-35744</v>
      </c>
      <c r="I14" s="379"/>
      <c r="J14" s="379"/>
      <c r="K14" s="1557"/>
      <c r="L14" s="212"/>
      <c r="M14" s="336"/>
      <c r="N14" s="336"/>
      <c r="O14" s="1562"/>
      <c r="P14" s="212"/>
      <c r="Q14" s="212"/>
      <c r="R14" s="384"/>
    </row>
    <row r="15" spans="1:18" ht="11.4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t="str">
        <f>IF(K17&gt;1.2,"1",IF(K17&gt;1.1,"2",IF(K17&gt;1,"3",4)))</f>
        <v>3</v>
      </c>
      <c r="P16" s="210"/>
      <c r="R16" s="360"/>
    </row>
    <row r="17" spans="1:18" s="381" customFormat="1" ht="11.25" x14ac:dyDescent="0.2">
      <c r="A17" s="212"/>
      <c r="B17" s="376"/>
      <c r="C17" s="212" t="s">
        <v>792</v>
      </c>
      <c r="D17" s="212"/>
      <c r="E17" s="212"/>
      <c r="F17" s="212" t="s">
        <v>441</v>
      </c>
      <c r="G17" s="377"/>
      <c r="H17" s="1550">
        <f>SUM('Acct Summary 7-8'!C17+'Acct Summary 7-8'!D17+'Acct Summary 7-8'!F17)</f>
        <v>7160526</v>
      </c>
      <c r="I17" s="379"/>
      <c r="J17" s="388"/>
      <c r="K17" s="1558">
        <f>TRUNC((H17/H18*100000),5)/100000</f>
        <v>1.0794502985999999</v>
      </c>
      <c r="L17" s="380"/>
      <c r="M17" s="389" t="s">
        <v>1161</v>
      </c>
      <c r="O17" s="1564" t="str">
        <f>IF(AND(O16="2", J20 &gt; 2),"1",IF(AND(O16 = "1", J20 &gt; 2),"2",IF(AND(O16="1", J20 &gt;1),"1","0")))</f>
        <v>0</v>
      </c>
      <c r="P17" s="212"/>
    </row>
    <row r="18" spans="1:18" s="381" customFormat="1" ht="11.25" x14ac:dyDescent="0.2">
      <c r="A18" s="212"/>
      <c r="B18" s="376"/>
      <c r="C18" s="2206" t="s">
        <v>1306</v>
      </c>
      <c r="D18" s="2207"/>
      <c r="E18" s="212"/>
      <c r="F18" s="390" t="s">
        <v>789</v>
      </c>
      <c r="G18" s="377"/>
      <c r="H18" s="1550">
        <f>SUM('Acct Summary 7-8'!C8+'Acct Summary 7-8'!D8+'Acct Summary 7-8'!F8+'Acct Summary 7-8'!I8)+H19</f>
        <v>6633493</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-35744</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f>IF(K17&lt;=1,"0",TRUNC(((K12-0.1)/(K17-1)*100),5)/100)</f>
        <v>3.2737204000000002</v>
      </c>
      <c r="K20" s="1558" t="str">
        <f>IF(K17&lt;=1,"0",IF(AND(O16="2", J20 &gt; 2),TRUNC(((K12-0.1)/(K17-1)*100),5)/100,IF(AND(O16 = "1", J20 &gt; 2),TRUNC(((K12-0.1)/(K17-1)*100),5)/100,IF(AND(O16="1", J20 &gt;1),TRUNC(((K12-0.1)/(K17-1)*100),5)/100,""))))</f>
        <v/>
      </c>
      <c r="L20" s="212"/>
      <c r="M20" s="336" t="s">
        <v>1135</v>
      </c>
      <c r="N20" s="336"/>
      <c r="O20" s="1562">
        <f>(O16+O17)*O18</f>
        <v>1.0499999999999998</v>
      </c>
      <c r="P20" s="212"/>
      <c r="R20" s="384"/>
    </row>
    <row r="21" spans="1:18" ht="11.45" customHeight="1" x14ac:dyDescent="0.2">
      <c r="A21" s="210"/>
      <c r="B21" s="372"/>
      <c r="C21" s="212" t="s">
        <v>472</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2</v>
      </c>
      <c r="P23" s="210"/>
      <c r="R23" s="360"/>
    </row>
    <row r="24" spans="1:18" s="381" customFormat="1" ht="11.25" x14ac:dyDescent="0.2">
      <c r="A24" s="212"/>
      <c r="B24" s="376"/>
      <c r="C24" s="2203" t="s">
        <v>1395</v>
      </c>
      <c r="D24" s="2203"/>
      <c r="E24" s="212"/>
      <c r="F24" s="212" t="s">
        <v>442</v>
      </c>
      <c r="G24" s="377"/>
      <c r="H24" s="1550">
        <f>SUM('Assets-Liab 5-6'!C4+'Assets-Liab 5-6'!D4+'Assets-Liab 5-6'!F4+'Assets-Liab 5-6'!I4+'Assets-Liab 5-6'!C5+'Assets-Liab 5-6'!D5+'Assets-Liab 5-6'!F5+'Assets-Liab 5-6'!I5)</f>
        <v>790396</v>
      </c>
      <c r="I24" s="393"/>
      <c r="J24" s="393"/>
      <c r="K24" s="1554">
        <f>TRUNC(((H24/H25*100000)/100000),2)</f>
        <v>39.729999999999997</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19890.349999999999</v>
      </c>
      <c r="I25" s="395"/>
      <c r="J25" s="395"/>
      <c r="K25" s="1557"/>
      <c r="L25" s="212"/>
      <c r="M25" s="336" t="s">
        <v>1135</v>
      </c>
      <c r="N25" s="336"/>
      <c r="O25" s="1562">
        <f>O23*O24</f>
        <v>0.2</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3900805.6677700002</v>
      </c>
      <c r="I29" s="396"/>
      <c r="J29" s="396"/>
      <c r="K29" s="1557"/>
      <c r="L29" s="212"/>
      <c r="M29" s="336" t="s">
        <v>1135</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t="str">
        <f>IF(K32&gt;=75,"4",IF(K32&gt;=50,"3",IF(K32&gt;=25,"2",1)))</f>
        <v>3</v>
      </c>
      <c r="P31" s="210"/>
    </row>
    <row r="32" spans="1:18" s="381" customFormat="1" ht="11.25" x14ac:dyDescent="0.2">
      <c r="A32" s="212"/>
      <c r="B32" s="376"/>
      <c r="C32" s="212" t="s">
        <v>842</v>
      </c>
      <c r="D32" s="212"/>
      <c r="E32" s="212"/>
      <c r="F32" s="212"/>
      <c r="G32" s="377"/>
      <c r="H32" s="1550">
        <f>'FP Info 3'!H37</f>
        <v>4720278</v>
      </c>
      <c r="I32" s="391"/>
      <c r="J32" s="391"/>
      <c r="K32" s="1554">
        <f>TRUNC(100-((((H32/H33*100))*100)/100),2)</f>
        <v>58.96</v>
      </c>
      <c r="L32" s="380"/>
      <c r="M32" s="336" t="s">
        <v>1134</v>
      </c>
      <c r="N32" s="336"/>
      <c r="O32" s="1567">
        <v>0.1</v>
      </c>
    </row>
    <row r="33" spans="1:17" s="381" customFormat="1" ht="11.25" x14ac:dyDescent="0.2">
      <c r="A33" s="212"/>
      <c r="B33" s="376"/>
      <c r="C33" s="212" t="s">
        <v>794</v>
      </c>
      <c r="D33" s="212"/>
      <c r="E33" s="212"/>
      <c r="F33" s="212"/>
      <c r="G33" s="377"/>
      <c r="H33" s="378">
        <f>IF('FP Info 3'!H31="Enter X in a or b"," ",'FP Info 3'!H31)</f>
        <v>11502129.915000001</v>
      </c>
      <c r="I33" s="391"/>
      <c r="J33" s="391"/>
      <c r="K33" s="378"/>
      <c r="L33" s="212"/>
      <c r="M33" s="400" t="s">
        <v>1135</v>
      </c>
      <c r="N33" s="400"/>
      <c r="O33" s="1567">
        <f>(O31*O32)</f>
        <v>0.30000000000000004</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f>(O13+O20+O25+O29+O33)</f>
        <v>3.3499999999999996</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 xml:space="preserve">REVIEW </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xSplit="2" ySplit="3" topLeftCell="C4" activePane="bottomRight" state="frozen"/>
      <selection pane="topRight" activeCell="C1" sqref="C1"/>
      <selection pane="bottomLeft" activeCell="A4" sqref="A4"/>
      <selection pane="bottomRight" activeCell="K22" sqref="K22"/>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1"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2"/>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3" t="s">
        <v>967</v>
      </c>
      <c r="B3" s="2214"/>
      <c r="C3" s="1305"/>
      <c r="D3" s="1306"/>
      <c r="E3" s="1306"/>
      <c r="F3" s="1306"/>
      <c r="G3" s="1306"/>
      <c r="H3" s="1306"/>
      <c r="I3" s="1306"/>
      <c r="J3" s="1306"/>
      <c r="K3" s="1306"/>
      <c r="L3" s="1306"/>
      <c r="M3" s="1307"/>
      <c r="N3" s="1308"/>
    </row>
    <row r="4" spans="1:14" ht="13.5" customHeight="1" x14ac:dyDescent="0.2">
      <c r="A4" s="426" t="s">
        <v>1632</v>
      </c>
      <c r="B4" s="427"/>
      <c r="C4" s="1571">
        <v>269391</v>
      </c>
      <c r="D4" s="1572">
        <v>316551</v>
      </c>
      <c r="E4" s="1572">
        <v>527920</v>
      </c>
      <c r="F4" s="1572">
        <v>178413</v>
      </c>
      <c r="G4" s="1572">
        <v>22844</v>
      </c>
      <c r="H4" s="1572"/>
      <c r="I4" s="1572">
        <v>26041</v>
      </c>
      <c r="J4" s="1573"/>
      <c r="K4" s="1572">
        <v>1456</v>
      </c>
      <c r="L4" s="1572">
        <v>12816</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v>2060601</v>
      </c>
      <c r="D6" s="1572">
        <v>211689</v>
      </c>
      <c r="E6" s="1572">
        <v>194142</v>
      </c>
      <c r="F6" s="1572">
        <v>47452</v>
      </c>
      <c r="G6" s="1576">
        <v>76650</v>
      </c>
      <c r="H6" s="1576"/>
      <c r="I6" s="1572">
        <v>18654</v>
      </c>
      <c r="J6" s="1578"/>
      <c r="K6" s="1576"/>
      <c r="L6" s="1579"/>
      <c r="M6" s="1574"/>
      <c r="N6" s="1575"/>
    </row>
    <row r="7" spans="1:14" ht="13.5" customHeight="1" x14ac:dyDescent="0.2">
      <c r="A7" s="429" t="s">
        <v>415</v>
      </c>
      <c r="B7" s="428">
        <v>140</v>
      </c>
      <c r="C7" s="1580">
        <v>99531</v>
      </c>
      <c r="D7" s="1573"/>
      <c r="E7" s="1573"/>
      <c r="F7" s="1573">
        <v>19619</v>
      </c>
      <c r="G7" s="1573"/>
      <c r="H7" s="1573"/>
      <c r="I7" s="1573"/>
      <c r="J7" s="1573"/>
      <c r="K7" s="1573"/>
      <c r="L7" s="1581"/>
      <c r="M7" s="1574"/>
      <c r="N7" s="1575"/>
    </row>
    <row r="8" spans="1:14" ht="13.5" customHeight="1" x14ac:dyDescent="0.2">
      <c r="A8" s="429" t="s">
        <v>267</v>
      </c>
      <c r="B8" s="428">
        <v>150</v>
      </c>
      <c r="C8" s="1580"/>
      <c r="D8" s="1573">
        <v>400000</v>
      </c>
      <c r="E8" s="1573"/>
      <c r="F8" s="1573"/>
      <c r="G8" s="1582"/>
      <c r="H8" s="1573"/>
      <c r="I8" s="1578"/>
      <c r="J8" s="1578"/>
      <c r="K8" s="1583"/>
      <c r="L8" s="1584"/>
      <c r="M8" s="1574"/>
      <c r="N8" s="1575"/>
    </row>
    <row r="9" spans="1:14" ht="13.5" customHeight="1" x14ac:dyDescent="0.2">
      <c r="A9" s="429" t="s">
        <v>268</v>
      </c>
      <c r="B9" s="428">
        <v>160</v>
      </c>
      <c r="C9" s="1580">
        <v>73280</v>
      </c>
      <c r="D9" s="1573">
        <v>24426</v>
      </c>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v>16752</v>
      </c>
      <c r="D11" s="1573">
        <v>25525</v>
      </c>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2519555</v>
      </c>
      <c r="D13" s="1586">
        <f t="shared" ref="D13:L13" si="0">SUM(D4:D12)</f>
        <v>978191</v>
      </c>
      <c r="E13" s="1586">
        <f t="shared" si="0"/>
        <v>722062</v>
      </c>
      <c r="F13" s="1586">
        <f t="shared" si="0"/>
        <v>245484</v>
      </c>
      <c r="G13" s="1586">
        <f t="shared" si="0"/>
        <v>99494</v>
      </c>
      <c r="H13" s="1586">
        <f t="shared" si="0"/>
        <v>0</v>
      </c>
      <c r="I13" s="1586">
        <f t="shared" si="0"/>
        <v>44695</v>
      </c>
      <c r="J13" s="1586">
        <f t="shared" si="0"/>
        <v>0</v>
      </c>
      <c r="K13" s="1586">
        <f t="shared" si="0"/>
        <v>1456</v>
      </c>
      <c r="L13" s="1586">
        <f t="shared" si="0"/>
        <v>12816</v>
      </c>
      <c r="M13" s="1574"/>
      <c r="N13" s="1575"/>
    </row>
    <row r="14" spans="1:14" ht="18" customHeight="1" thickTop="1" x14ac:dyDescent="0.2">
      <c r="A14" s="2215" t="s">
        <v>146</v>
      </c>
      <c r="B14" s="2216"/>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v>264189</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v>3443015</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v>94743</v>
      </c>
      <c r="N18" s="1591"/>
    </row>
    <row r="19" spans="1:14" s="432" customFormat="1" ht="12.75" customHeight="1" x14ac:dyDescent="0.2">
      <c r="A19" s="430" t="s">
        <v>1388</v>
      </c>
      <c r="B19" s="431">
        <v>250</v>
      </c>
      <c r="C19" s="1581"/>
      <c r="D19" s="1581"/>
      <c r="E19" s="1581"/>
      <c r="F19" s="1581"/>
      <c r="G19" s="1581"/>
      <c r="H19" s="1581"/>
      <c r="I19" s="1581"/>
      <c r="J19" s="1581"/>
      <c r="K19" s="1581"/>
      <c r="L19" s="1581"/>
      <c r="M19" s="1573">
        <v>1803545</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v>722062</v>
      </c>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3998216</v>
      </c>
    </row>
    <row r="23" spans="1:14" ht="13.5" customHeight="1" thickBot="1" x14ac:dyDescent="0.25">
      <c r="A23" s="1425" t="s">
        <v>638</v>
      </c>
      <c r="B23" s="1428"/>
      <c r="C23" s="1574"/>
      <c r="D23" s="1574"/>
      <c r="E23" s="1574"/>
      <c r="F23" s="1574"/>
      <c r="G23" s="1574"/>
      <c r="H23" s="1574"/>
      <c r="I23" s="1574"/>
      <c r="J23" s="1574"/>
      <c r="K23" s="1574"/>
      <c r="L23" s="1574"/>
      <c r="M23" s="1593">
        <f>SUM(M15:M22)</f>
        <v>5605492</v>
      </c>
      <c r="N23" s="1593">
        <f>SUM(N21:N22)</f>
        <v>4720278</v>
      </c>
    </row>
    <row r="24" spans="1:14" ht="18" customHeight="1" thickTop="1" x14ac:dyDescent="0.2">
      <c r="A24" s="2217" t="s">
        <v>594</v>
      </c>
      <c r="B24" s="2218"/>
      <c r="C24" s="1594"/>
      <c r="D24" s="1589"/>
      <c r="E24" s="1589"/>
      <c r="F24" s="1589"/>
      <c r="G24" s="1589"/>
      <c r="H24" s="1589"/>
      <c r="I24" s="1589"/>
      <c r="J24" s="1589"/>
      <c r="K24" s="1589"/>
      <c r="L24" s="1589"/>
      <c r="M24" s="1588"/>
      <c r="N24" s="1595"/>
    </row>
    <row r="25" spans="1:14" x14ac:dyDescent="0.2">
      <c r="A25" s="429" t="s">
        <v>640</v>
      </c>
      <c r="B25" s="428">
        <v>410</v>
      </c>
      <c r="C25" s="1582">
        <v>400000</v>
      </c>
      <c r="D25" s="1582"/>
      <c r="E25" s="1582"/>
      <c r="F25" s="1582"/>
      <c r="G25" s="1582"/>
      <c r="H25" s="1583"/>
      <c r="I25" s="1574"/>
      <c r="J25" s="1582"/>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v>14966</v>
      </c>
      <c r="D27" s="1573">
        <v>5647</v>
      </c>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v>556305</v>
      </c>
      <c r="D30" s="1578"/>
      <c r="E30" s="1573"/>
      <c r="F30" s="1573"/>
      <c r="G30" s="1573">
        <v>21297</v>
      </c>
      <c r="H30" s="1573"/>
      <c r="I30" s="1573"/>
      <c r="J30" s="1573"/>
      <c r="K30" s="1582"/>
      <c r="L30" s="1574"/>
      <c r="M30" s="1574"/>
      <c r="N30" s="1574"/>
    </row>
    <row r="31" spans="1:14" ht="13.5" customHeight="1" x14ac:dyDescent="0.2">
      <c r="A31" s="429" t="s">
        <v>646</v>
      </c>
      <c r="B31" s="428">
        <v>480</v>
      </c>
      <c r="C31" s="1572"/>
      <c r="D31" s="1573"/>
      <c r="E31" s="1573"/>
      <c r="F31" s="1572"/>
      <c r="G31" s="1573"/>
      <c r="H31" s="1573"/>
      <c r="I31" s="1573"/>
      <c r="J31" s="1573"/>
      <c r="K31" s="1573"/>
      <c r="L31" s="1574"/>
      <c r="M31" s="1574"/>
      <c r="N31" s="1574"/>
    </row>
    <row r="32" spans="1:14" ht="13.5" customHeight="1" x14ac:dyDescent="0.2">
      <c r="A32" s="433" t="s">
        <v>647</v>
      </c>
      <c r="B32" s="434">
        <v>490</v>
      </c>
      <c r="C32" s="1598">
        <v>372015</v>
      </c>
      <c r="D32" s="1598">
        <v>38276</v>
      </c>
      <c r="E32" s="1578">
        <v>35055</v>
      </c>
      <c r="F32" s="1578">
        <v>8536</v>
      </c>
      <c r="G32" s="1578">
        <v>13571</v>
      </c>
      <c r="H32" s="1578"/>
      <c r="I32" s="1578">
        <v>3472</v>
      </c>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v>12816</v>
      </c>
      <c r="M33" s="1574"/>
      <c r="N33" s="1575"/>
    </row>
    <row r="34" spans="1:14" ht="13.5" customHeight="1" thickBot="1" x14ac:dyDescent="0.25">
      <c r="A34" s="1426" t="s">
        <v>649</v>
      </c>
      <c r="B34" s="1427"/>
      <c r="C34" s="1599">
        <f>SUM(C25:C33)</f>
        <v>1343286</v>
      </c>
      <c r="D34" s="1599">
        <f t="shared" ref="D34:K34" si="1">SUM(D25:D33)</f>
        <v>43923</v>
      </c>
      <c r="E34" s="1599">
        <f t="shared" si="1"/>
        <v>35055</v>
      </c>
      <c r="F34" s="1599">
        <f t="shared" si="1"/>
        <v>8536</v>
      </c>
      <c r="G34" s="1599">
        <f t="shared" si="1"/>
        <v>34868</v>
      </c>
      <c r="H34" s="1599">
        <f t="shared" si="1"/>
        <v>0</v>
      </c>
      <c r="I34" s="1599">
        <f t="shared" si="1"/>
        <v>3472</v>
      </c>
      <c r="J34" s="1599">
        <f t="shared" si="1"/>
        <v>0</v>
      </c>
      <c r="K34" s="1599">
        <f t="shared" si="1"/>
        <v>0</v>
      </c>
      <c r="L34" s="1600">
        <f>SUM(L33)</f>
        <v>12816</v>
      </c>
      <c r="M34" s="1574"/>
      <c r="N34" s="1584"/>
    </row>
    <row r="35" spans="1:14" ht="18" customHeight="1" thickTop="1" x14ac:dyDescent="0.2">
      <c r="A35" s="2219" t="s">
        <v>526</v>
      </c>
      <c r="B35" s="2220"/>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4720278</v>
      </c>
    </row>
    <row r="37" spans="1:14" ht="13.5" thickBot="1" x14ac:dyDescent="0.25">
      <c r="A37" s="1425" t="s">
        <v>648</v>
      </c>
      <c r="B37" s="1428"/>
      <c r="C37" s="1581"/>
      <c r="D37" s="1581"/>
      <c r="E37" s="1581"/>
      <c r="F37" s="1581"/>
      <c r="G37" s="1581"/>
      <c r="H37" s="1581"/>
      <c r="I37" s="1581"/>
      <c r="J37" s="1581"/>
      <c r="K37" s="1581"/>
      <c r="L37" s="1584"/>
      <c r="M37" s="1574"/>
      <c r="N37" s="1593">
        <f>SUM(N36:N36)</f>
        <v>4720278</v>
      </c>
    </row>
    <row r="38" spans="1:14" s="306" customFormat="1" ht="13.5" customHeight="1" thickTop="1" x14ac:dyDescent="0.2">
      <c r="A38" s="437" t="s">
        <v>417</v>
      </c>
      <c r="B38" s="431">
        <v>714</v>
      </c>
      <c r="C38" s="1572"/>
      <c r="D38" s="1572"/>
      <c r="E38" s="1572"/>
      <c r="F38" s="1572"/>
      <c r="G38" s="1572"/>
      <c r="H38" s="1572"/>
      <c r="I38" s="1572"/>
      <c r="J38" s="1573"/>
      <c r="K38" s="1572"/>
      <c r="L38" s="1585"/>
      <c r="M38" s="1603"/>
      <c r="N38" s="1603"/>
    </row>
    <row r="39" spans="1:14" s="306" customFormat="1" ht="13.5" customHeight="1" x14ac:dyDescent="0.2">
      <c r="A39" s="437" t="s">
        <v>339</v>
      </c>
      <c r="B39" s="431">
        <v>730</v>
      </c>
      <c r="C39" s="1572">
        <v>1176269</v>
      </c>
      <c r="D39" s="1572">
        <v>934268</v>
      </c>
      <c r="E39" s="1572">
        <v>687007</v>
      </c>
      <c r="F39" s="1572">
        <v>236948</v>
      </c>
      <c r="G39" s="1572">
        <v>64626</v>
      </c>
      <c r="H39" s="1572"/>
      <c r="I39" s="1572">
        <v>41223</v>
      </c>
      <c r="J39" s="1573"/>
      <c r="K39" s="1572">
        <v>1456</v>
      </c>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5605492</v>
      </c>
      <c r="N40" s="1603"/>
    </row>
    <row r="41" spans="1:14" ht="13.5" customHeight="1" thickBot="1" x14ac:dyDescent="0.25">
      <c r="A41" s="1425" t="s">
        <v>650</v>
      </c>
      <c r="B41" s="1404"/>
      <c r="C41" s="1593">
        <f>(SUM(C34,C37,C38,C39))</f>
        <v>2519555</v>
      </c>
      <c r="D41" s="1593">
        <f t="shared" ref="D41:L41" si="2">SUM(D34,D37,D38:D39)</f>
        <v>978191</v>
      </c>
      <c r="E41" s="1593">
        <f t="shared" si="2"/>
        <v>722062</v>
      </c>
      <c r="F41" s="1593">
        <f t="shared" si="2"/>
        <v>245484</v>
      </c>
      <c r="G41" s="1593">
        <f t="shared" si="2"/>
        <v>99494</v>
      </c>
      <c r="H41" s="1593">
        <f t="shared" si="2"/>
        <v>0</v>
      </c>
      <c r="I41" s="1593">
        <f t="shared" si="2"/>
        <v>44695</v>
      </c>
      <c r="J41" s="1593">
        <f t="shared" si="2"/>
        <v>0</v>
      </c>
      <c r="K41" s="1593">
        <f t="shared" si="2"/>
        <v>1456</v>
      </c>
      <c r="L41" s="1593">
        <f t="shared" si="2"/>
        <v>12816</v>
      </c>
      <c r="M41" s="1593">
        <f>SUM(M40)</f>
        <v>5605492</v>
      </c>
      <c r="N41" s="1593">
        <f>SUM(N37)</f>
        <v>4720278</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topLeftCell="D1" colorId="8" zoomScale="110" zoomScaleNormal="110" zoomScaleSheetLayoutView="100" workbookViewId="0">
      <pane ySplit="2" topLeftCell="A67" activePane="bottomLeft" state="frozen"/>
      <selection pane="bottomLeft" activeCell="C12" sqref="C12"/>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29"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30"/>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1" t="s">
        <v>1165</v>
      </c>
      <c r="B3" s="2242"/>
      <c r="C3" s="1310"/>
      <c r="D3" s="1311"/>
      <c r="E3" s="1311"/>
      <c r="F3" s="1311"/>
      <c r="G3" s="1311"/>
      <c r="H3" s="1311"/>
      <c r="I3" s="1311"/>
      <c r="J3" s="1311"/>
      <c r="K3" s="1312"/>
      <c r="L3" s="445"/>
    </row>
    <row r="4" spans="1:13" ht="15.75" customHeight="1" x14ac:dyDescent="0.2">
      <c r="A4" s="1536" t="s">
        <v>1482</v>
      </c>
      <c r="B4" s="1537">
        <v>1000</v>
      </c>
      <c r="C4" s="1605">
        <f>'Revenues 9-14'!C109</f>
        <v>4874191</v>
      </c>
      <c r="D4" s="1605">
        <f>'Revenues 9-14'!D109</f>
        <v>598566</v>
      </c>
      <c r="E4" s="1605">
        <f>'Revenues 9-14'!E109</f>
        <v>408292</v>
      </c>
      <c r="F4" s="1605">
        <f>'Revenues 9-14'!F109</f>
        <v>100360</v>
      </c>
      <c r="G4" s="1605">
        <f>'Revenues 9-14'!G109</f>
        <v>200049</v>
      </c>
      <c r="H4" s="1605">
        <f>'Revenues 9-14'!H109</f>
        <v>0</v>
      </c>
      <c r="I4" s="1605">
        <f>'Revenues 9-14'!I109</f>
        <v>40931</v>
      </c>
      <c r="J4" s="1605">
        <f>'Revenues 9-14'!J109</f>
        <v>0</v>
      </c>
      <c r="K4" s="1605">
        <f>'Revenues 9-14'!K109</f>
        <v>32</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646259</v>
      </c>
      <c r="D6" s="1606">
        <f>'Revenues 9-14'!D170</f>
        <v>0</v>
      </c>
      <c r="E6" s="1606">
        <f>'Revenues 9-14'!E170</f>
        <v>0</v>
      </c>
      <c r="F6" s="1606">
        <f>'Revenues 9-14'!F170</f>
        <v>58808</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350122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5870572</v>
      </c>
      <c r="D8" s="1593">
        <f t="shared" ref="D8:K8" si="0">SUM(D4:D7)</f>
        <v>598566</v>
      </c>
      <c r="E8" s="1593">
        <f t="shared" si="0"/>
        <v>408292</v>
      </c>
      <c r="F8" s="1593">
        <f t="shared" si="0"/>
        <v>159168</v>
      </c>
      <c r="G8" s="1593">
        <f t="shared" si="0"/>
        <v>200049</v>
      </c>
      <c r="H8" s="1593">
        <f t="shared" si="0"/>
        <v>0</v>
      </c>
      <c r="I8" s="1593">
        <f t="shared" si="0"/>
        <v>40931</v>
      </c>
      <c r="J8" s="1593">
        <f t="shared" si="0"/>
        <v>0</v>
      </c>
      <c r="K8" s="1593">
        <f t="shared" si="0"/>
        <v>32</v>
      </c>
      <c r="L8" s="324"/>
    </row>
    <row r="9" spans="1:13" ht="15.75" thickTop="1" x14ac:dyDescent="0.2">
      <c r="A9" s="448" t="s">
        <v>1634</v>
      </c>
      <c r="B9" s="449">
        <v>3998</v>
      </c>
      <c r="C9" s="1585">
        <v>2903721</v>
      </c>
      <c r="D9" s="1612"/>
      <c r="E9" s="1585"/>
      <c r="F9" s="1585"/>
      <c r="G9" s="1613"/>
      <c r="H9" s="1585"/>
      <c r="I9" s="1608" t="s">
        <v>1159</v>
      </c>
      <c r="J9" s="1582"/>
      <c r="K9" s="1585"/>
      <c r="L9" s="324"/>
    </row>
    <row r="10" spans="1:13" s="451" customFormat="1" ht="13.5" thickBot="1" x14ac:dyDescent="0.25">
      <c r="A10" s="1425" t="s">
        <v>1163</v>
      </c>
      <c r="B10" s="1406"/>
      <c r="C10" s="1593">
        <f>SUM(C8:C9)</f>
        <v>8774293</v>
      </c>
      <c r="D10" s="1593">
        <f t="shared" ref="D10:K10" si="1">SUM(D8:D9)</f>
        <v>598566</v>
      </c>
      <c r="E10" s="1593">
        <f t="shared" si="1"/>
        <v>408292</v>
      </c>
      <c r="F10" s="1593">
        <f t="shared" si="1"/>
        <v>159168</v>
      </c>
      <c r="G10" s="1593">
        <f t="shared" si="1"/>
        <v>200049</v>
      </c>
      <c r="H10" s="1593">
        <f t="shared" si="1"/>
        <v>0</v>
      </c>
      <c r="I10" s="1593">
        <f t="shared" si="1"/>
        <v>40931</v>
      </c>
      <c r="J10" s="1593">
        <f t="shared" si="1"/>
        <v>0</v>
      </c>
      <c r="K10" s="1593">
        <f t="shared" si="1"/>
        <v>32</v>
      </c>
      <c r="L10" s="450"/>
    </row>
    <row r="11" spans="1:13" s="451" customFormat="1" ht="16.7" customHeight="1" thickTop="1" x14ac:dyDescent="0.2">
      <c r="A11" s="2215" t="s">
        <v>1166</v>
      </c>
      <c r="B11" s="2216"/>
      <c r="C11" s="1601"/>
      <c r="D11" s="1602"/>
      <c r="E11" s="1602"/>
      <c r="F11" s="1602"/>
      <c r="G11" s="1602"/>
      <c r="H11" s="1602"/>
      <c r="I11" s="1602"/>
      <c r="J11" s="1602"/>
      <c r="K11" s="1614"/>
      <c r="L11" s="450"/>
    </row>
    <row r="12" spans="1:13" ht="15.75" customHeight="1" x14ac:dyDescent="0.2">
      <c r="A12" s="1313" t="s">
        <v>453</v>
      </c>
      <c r="B12" s="1315">
        <v>1000</v>
      </c>
      <c r="C12" s="1605">
        <f>'Expenditures 15-22'!K33</f>
        <v>3867883</v>
      </c>
      <c r="D12" s="1615" t="s">
        <v>1159</v>
      </c>
      <c r="E12" s="1574" t="s">
        <v>1159</v>
      </c>
      <c r="F12" s="1574" t="s">
        <v>1159</v>
      </c>
      <c r="G12" s="1605">
        <f>'Expenditures 15-22'!K229</f>
        <v>97329</v>
      </c>
      <c r="H12" s="1616"/>
      <c r="I12" s="1574" t="s">
        <v>1159</v>
      </c>
      <c r="J12" s="1574" t="s">
        <v>1159</v>
      </c>
      <c r="K12" s="1616" t="s">
        <v>1159</v>
      </c>
      <c r="L12" s="324"/>
    </row>
    <row r="13" spans="1:13" ht="15.75" customHeight="1" x14ac:dyDescent="0.2">
      <c r="A13" s="1313" t="s">
        <v>454</v>
      </c>
      <c r="B13" s="1315">
        <v>2000</v>
      </c>
      <c r="C13" s="1606">
        <f>'Expenditures 15-22'!K74</f>
        <v>1814756</v>
      </c>
      <c r="D13" s="1606">
        <f>'Expenditures 15-22'!K129</f>
        <v>575085</v>
      </c>
      <c r="E13" s="1575" t="s">
        <v>1159</v>
      </c>
      <c r="F13" s="1606">
        <f>'Expenditures 15-22'!K184</f>
        <v>126149</v>
      </c>
      <c r="G13" s="1606">
        <f>'Expenditures 15-22'!K279</f>
        <v>105204</v>
      </c>
      <c r="H13" s="1606">
        <f>'Expenditures 15-22'!K303</f>
        <v>0</v>
      </c>
      <c r="I13" s="1574" t="s">
        <v>1159</v>
      </c>
      <c r="J13" s="1606">
        <f>'Expenditures 15-22'!K330</f>
        <v>0</v>
      </c>
      <c r="K13" s="1617">
        <f>'Expenditures 15-22'!K352</f>
        <v>0</v>
      </c>
      <c r="L13" s="324"/>
    </row>
    <row r="14" spans="1:13" ht="15.75" customHeight="1" x14ac:dyDescent="0.2">
      <c r="A14" s="1313" t="s">
        <v>446</v>
      </c>
      <c r="B14" s="1315">
        <v>3000</v>
      </c>
      <c r="C14" s="1606">
        <f>'Expenditures 15-22'!K75</f>
        <v>38930</v>
      </c>
      <c r="D14" s="1606">
        <f>'Expenditures 15-22'!K130</f>
        <v>0</v>
      </c>
      <c r="E14" s="1615" t="s">
        <v>1159</v>
      </c>
      <c r="F14" s="1606">
        <f>'Expenditures 15-22'!K185</f>
        <v>0</v>
      </c>
      <c r="G14" s="1606">
        <f>'Expenditures 15-22'!K280</f>
        <v>5411</v>
      </c>
      <c r="H14" s="1611"/>
      <c r="I14" s="1574" t="s">
        <v>1159</v>
      </c>
      <c r="J14" s="1574" t="s">
        <v>1159</v>
      </c>
      <c r="K14" s="1611" t="s">
        <v>1159</v>
      </c>
      <c r="L14" s="324"/>
    </row>
    <row r="15" spans="1:13" ht="15.75" customHeight="1" x14ac:dyDescent="0.2">
      <c r="A15" s="1313" t="s">
        <v>107</v>
      </c>
      <c r="B15" s="1315">
        <v>4000</v>
      </c>
      <c r="C15" s="1606">
        <f>'Expenditures 15-22'!K102</f>
        <v>733763</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3960</v>
      </c>
      <c r="D16" s="1606">
        <f>'Expenditures 15-22'!K149</f>
        <v>0</v>
      </c>
      <c r="E16" s="1606">
        <f>'Expenditures 15-22'!K172</f>
        <v>430056</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6459292</v>
      </c>
      <c r="D17" s="1593">
        <f t="shared" si="2"/>
        <v>575085</v>
      </c>
      <c r="E17" s="1593">
        <f t="shared" si="2"/>
        <v>430056</v>
      </c>
      <c r="F17" s="1593">
        <f t="shared" si="2"/>
        <v>126149</v>
      </c>
      <c r="G17" s="1593">
        <f t="shared" si="2"/>
        <v>207944</v>
      </c>
      <c r="H17" s="1593">
        <f t="shared" si="2"/>
        <v>0</v>
      </c>
      <c r="I17" s="1574"/>
      <c r="J17" s="1593">
        <f>SUM(J12:J16)</f>
        <v>0</v>
      </c>
      <c r="K17" s="1593">
        <f>SUM(K12:K16)</f>
        <v>0</v>
      </c>
      <c r="L17" s="324"/>
    </row>
    <row r="18" spans="1:12" ht="15" customHeight="1" thickTop="1" x14ac:dyDescent="0.2">
      <c r="A18" s="1429" t="s">
        <v>1635</v>
      </c>
      <c r="B18" s="1430">
        <v>4180</v>
      </c>
      <c r="C18" s="1605">
        <f t="shared" ref="C18:H18" si="3">C9</f>
        <v>2903721</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9363013</v>
      </c>
      <c r="D19" s="1593">
        <f t="shared" si="4"/>
        <v>575085</v>
      </c>
      <c r="E19" s="1593">
        <f t="shared" si="4"/>
        <v>430056</v>
      </c>
      <c r="F19" s="1593">
        <f t="shared" si="4"/>
        <v>126149</v>
      </c>
      <c r="G19" s="1593">
        <f t="shared" si="4"/>
        <v>207944</v>
      </c>
      <c r="H19" s="1593">
        <f t="shared" si="4"/>
        <v>0</v>
      </c>
      <c r="I19" s="1574"/>
      <c r="J19" s="1593">
        <f>SUM(J17:J18)</f>
        <v>0</v>
      </c>
      <c r="K19" s="1593">
        <f>SUM(K17:K18)</f>
        <v>0</v>
      </c>
      <c r="L19" s="324"/>
    </row>
    <row r="20" spans="1:12" ht="16.5" thickTop="1" thickBot="1" x14ac:dyDescent="0.25">
      <c r="A20" s="2231" t="s">
        <v>1636</v>
      </c>
      <c r="B20" s="2232"/>
      <c r="C20" s="1621">
        <f>C8-C17</f>
        <v>-588720</v>
      </c>
      <c r="D20" s="1621">
        <f t="shared" ref="D20:K20" si="5">D8-D17</f>
        <v>23481</v>
      </c>
      <c r="E20" s="1621">
        <f t="shared" si="5"/>
        <v>-21764</v>
      </c>
      <c r="F20" s="1621">
        <f t="shared" si="5"/>
        <v>33019</v>
      </c>
      <c r="G20" s="1621">
        <f t="shared" si="5"/>
        <v>-7895</v>
      </c>
      <c r="H20" s="1621">
        <f t="shared" si="5"/>
        <v>0</v>
      </c>
      <c r="I20" s="1621">
        <f t="shared" si="5"/>
        <v>40931</v>
      </c>
      <c r="J20" s="1621">
        <f t="shared" si="5"/>
        <v>0</v>
      </c>
      <c r="K20" s="1621">
        <f t="shared" si="5"/>
        <v>32</v>
      </c>
      <c r="L20" s="324"/>
    </row>
    <row r="21" spans="1:12" ht="16.7" customHeight="1" thickTop="1" x14ac:dyDescent="0.2">
      <c r="A21" s="2243" t="s">
        <v>591</v>
      </c>
      <c r="B21" s="2244"/>
      <c r="C21" s="1601"/>
      <c r="D21" s="1602"/>
      <c r="E21" s="1602"/>
      <c r="F21" s="1602"/>
      <c r="G21" s="1602"/>
      <c r="H21" s="1602"/>
      <c r="I21" s="1602"/>
      <c r="J21" s="1602"/>
      <c r="K21" s="1614"/>
      <c r="L21" s="452"/>
    </row>
    <row r="22" spans="1:12" ht="15.75" customHeight="1" collapsed="1" x14ac:dyDescent="0.2">
      <c r="A22" s="2239" t="s">
        <v>592</v>
      </c>
      <c r="B22" s="2240"/>
      <c r="C22" s="1581"/>
      <c r="D22" s="1581"/>
      <c r="E22" s="1581"/>
      <c r="F22" s="1581"/>
      <c r="G22" s="1581"/>
      <c r="H22" s="1581"/>
      <c r="I22" s="1581"/>
      <c r="J22" s="1581"/>
      <c r="K22" s="1581"/>
      <c r="L22" s="324"/>
    </row>
    <row r="23" spans="1:12" s="432" customFormat="1" ht="15.75" customHeight="1" x14ac:dyDescent="0.2">
      <c r="A23" s="2235" t="s">
        <v>290</v>
      </c>
      <c r="B23" s="2236"/>
      <c r="C23" s="1584"/>
      <c r="D23" s="1581"/>
      <c r="E23" s="1581"/>
      <c r="F23" s="1581"/>
      <c r="G23" s="1581"/>
      <c r="H23" s="1581"/>
      <c r="I23" s="1581"/>
      <c r="J23" s="1581"/>
      <c r="K23" s="1581"/>
      <c r="L23" s="452"/>
    </row>
    <row r="24" spans="1:12" s="432" customFormat="1" ht="13.5" customHeight="1" x14ac:dyDescent="0.2">
      <c r="A24" s="1259" t="s">
        <v>1637</v>
      </c>
      <c r="B24" s="453">
        <v>7110</v>
      </c>
      <c r="C24" s="1573">
        <v>236000</v>
      </c>
      <c r="D24" s="1581"/>
      <c r="E24" s="1581"/>
      <c r="F24" s="1581"/>
      <c r="G24" s="1581"/>
      <c r="H24" s="1581"/>
      <c r="I24" s="1581"/>
      <c r="J24" s="1581"/>
      <c r="K24" s="1581"/>
      <c r="L24" s="452"/>
    </row>
    <row r="25" spans="1:12" s="432" customFormat="1" ht="13.5" customHeight="1" x14ac:dyDescent="0.2">
      <c r="A25" s="1259" t="s">
        <v>1638</v>
      </c>
      <c r="B25" s="453">
        <v>7110</v>
      </c>
      <c r="C25" s="1573"/>
      <c r="D25" s="1573"/>
      <c r="E25" s="1573"/>
      <c r="F25" s="1573"/>
      <c r="G25" s="1573"/>
      <c r="H25" s="1573"/>
      <c r="I25" s="1581"/>
      <c r="J25" s="1573"/>
      <c r="K25" s="1573"/>
      <c r="L25" s="452"/>
    </row>
    <row r="26" spans="1:12" s="432" customFormat="1" ht="13.5" customHeight="1" x14ac:dyDescent="0.2">
      <c r="A26" s="1259" t="s">
        <v>183</v>
      </c>
      <c r="B26" s="431">
        <v>7120</v>
      </c>
      <c r="C26" s="1573"/>
      <c r="D26" s="1573"/>
      <c r="E26" s="1573"/>
      <c r="F26" s="1573"/>
      <c r="G26" s="1573"/>
      <c r="H26" s="1573"/>
      <c r="I26" s="1581"/>
      <c r="J26" s="1573"/>
      <c r="K26" s="1573"/>
      <c r="L26" s="452"/>
    </row>
    <row r="27" spans="1:12" s="432" customFormat="1" ht="13.5" customHeight="1" x14ac:dyDescent="0.2">
      <c r="A27" s="1259" t="s">
        <v>184</v>
      </c>
      <c r="B27" s="431">
        <v>7130</v>
      </c>
      <c r="C27" s="1573">
        <v>0</v>
      </c>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37" t="s">
        <v>974</v>
      </c>
      <c r="B32" s="2238"/>
      <c r="C32" s="1581"/>
      <c r="D32" s="1581"/>
      <c r="E32" s="1579"/>
      <c r="F32" s="1581"/>
      <c r="G32" s="1581"/>
      <c r="H32" s="1581"/>
      <c r="I32" s="1581"/>
      <c r="J32" s="1581"/>
      <c r="K32" s="1581"/>
      <c r="L32" s="452"/>
    </row>
    <row r="33" spans="1:12" s="432" customFormat="1" x14ac:dyDescent="0.2">
      <c r="A33" s="1259" t="s">
        <v>409</v>
      </c>
      <c r="B33" s="453">
        <v>7210</v>
      </c>
      <c r="C33" s="1573">
        <v>35235</v>
      </c>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35744</v>
      </c>
      <c r="F37" s="1579"/>
      <c r="G37" s="1579"/>
      <c r="H37" s="1579"/>
      <c r="I37" s="1581"/>
      <c r="J37" s="1579"/>
      <c r="K37" s="1579"/>
      <c r="L37" s="452"/>
    </row>
    <row r="38" spans="1:12" s="432" customFormat="1" x14ac:dyDescent="0.2">
      <c r="A38" s="1259" t="s">
        <v>439</v>
      </c>
      <c r="B38" s="453">
        <v>7500</v>
      </c>
      <c r="C38" s="1581"/>
      <c r="D38" s="1581"/>
      <c r="E38" s="1606">
        <f>SUM(C58:D61,H58:H61)</f>
        <v>0</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45" t="s">
        <v>371</v>
      </c>
      <c r="B44" s="2246"/>
      <c r="C44" s="1623">
        <f>SUM(C24:C43)</f>
        <v>271235</v>
      </c>
      <c r="D44" s="1623">
        <f t="shared" ref="D44:K44" si="6">SUM(D24:D43)</f>
        <v>0</v>
      </c>
      <c r="E44" s="1623">
        <f t="shared" si="6"/>
        <v>35744</v>
      </c>
      <c r="F44" s="1623">
        <f t="shared" si="6"/>
        <v>0</v>
      </c>
      <c r="G44" s="1623">
        <f t="shared" si="6"/>
        <v>0</v>
      </c>
      <c r="H44" s="1623">
        <f t="shared" si="6"/>
        <v>0</v>
      </c>
      <c r="I44" s="1623">
        <f t="shared" si="6"/>
        <v>0</v>
      </c>
      <c r="J44" s="1623">
        <f t="shared" si="6"/>
        <v>0</v>
      </c>
      <c r="K44" s="1623">
        <f t="shared" si="6"/>
        <v>0</v>
      </c>
      <c r="L44" s="452"/>
    </row>
    <row r="45" spans="1:12" ht="15.75" customHeight="1" thickTop="1" x14ac:dyDescent="0.2">
      <c r="A45" s="2239" t="s">
        <v>108</v>
      </c>
      <c r="B45" s="2240"/>
      <c r="C45" s="1624"/>
      <c r="D45" s="1624"/>
      <c r="E45" s="1624"/>
      <c r="F45" s="1624"/>
      <c r="G45" s="1624"/>
      <c r="H45" s="1624"/>
      <c r="I45" s="1624"/>
      <c r="J45" s="1624"/>
      <c r="K45" s="1624"/>
      <c r="L45" s="324"/>
    </row>
    <row r="46" spans="1:12" s="432" customFormat="1" ht="15.75" customHeight="1" x14ac:dyDescent="0.2">
      <c r="A46" s="2247" t="s">
        <v>109</v>
      </c>
      <c r="B46" s="2248"/>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236000</v>
      </c>
      <c r="J47" s="1581"/>
      <c r="K47" s="1581"/>
      <c r="L47" s="455"/>
    </row>
    <row r="48" spans="1:12" s="432" customFormat="1" ht="15" x14ac:dyDescent="0.2">
      <c r="A48" s="1260" t="s">
        <v>1641</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v>0</v>
      </c>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v>35744</v>
      </c>
      <c r="D56" s="1626"/>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v>0</v>
      </c>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1" t="s">
        <v>437</v>
      </c>
      <c r="B76" s="2222"/>
      <c r="C76" s="1623">
        <f t="shared" ref="C76:K76" si="7">SUM(C47:C75)</f>
        <v>35744</v>
      </c>
      <c r="D76" s="1623">
        <f t="shared" si="7"/>
        <v>0</v>
      </c>
      <c r="E76" s="1623">
        <f t="shared" si="7"/>
        <v>0</v>
      </c>
      <c r="F76" s="1623">
        <f t="shared" si="7"/>
        <v>0</v>
      </c>
      <c r="G76" s="1623">
        <f t="shared" si="7"/>
        <v>0</v>
      </c>
      <c r="H76" s="1623">
        <f t="shared" si="7"/>
        <v>0</v>
      </c>
      <c r="I76" s="1623">
        <f t="shared" si="7"/>
        <v>236000</v>
      </c>
      <c r="J76" s="1623">
        <f t="shared" si="7"/>
        <v>0</v>
      </c>
      <c r="K76" s="1623">
        <f t="shared" si="7"/>
        <v>0</v>
      </c>
      <c r="L76" s="452"/>
    </row>
    <row r="77" spans="1:12" ht="14.25" thickTop="1" thickBot="1" x14ac:dyDescent="0.25">
      <c r="A77" s="2223" t="s">
        <v>1167</v>
      </c>
      <c r="B77" s="2224"/>
      <c r="C77" s="1623">
        <f t="shared" ref="C77:K77" si="8">C44-C76</f>
        <v>235491</v>
      </c>
      <c r="D77" s="1623">
        <f t="shared" si="8"/>
        <v>0</v>
      </c>
      <c r="E77" s="1623">
        <f t="shared" si="8"/>
        <v>35744</v>
      </c>
      <c r="F77" s="1623">
        <f t="shared" si="8"/>
        <v>0</v>
      </c>
      <c r="G77" s="1623">
        <f t="shared" si="8"/>
        <v>0</v>
      </c>
      <c r="H77" s="1623">
        <f t="shared" si="8"/>
        <v>0</v>
      </c>
      <c r="I77" s="1623">
        <f t="shared" si="8"/>
        <v>-236000</v>
      </c>
      <c r="J77" s="1623">
        <f t="shared" si="8"/>
        <v>0</v>
      </c>
      <c r="K77" s="1623">
        <f t="shared" si="8"/>
        <v>0</v>
      </c>
      <c r="L77" s="324"/>
    </row>
    <row r="78" spans="1:12" ht="21.75" customHeight="1" thickTop="1" thickBot="1" x14ac:dyDescent="0.25">
      <c r="A78" s="2227" t="s">
        <v>593</v>
      </c>
      <c r="B78" s="2228"/>
      <c r="C78" s="1628">
        <f t="shared" ref="C78:K78" si="9">C20+C77</f>
        <v>-353229</v>
      </c>
      <c r="D78" s="1628">
        <f t="shared" si="9"/>
        <v>23481</v>
      </c>
      <c r="E78" s="1628">
        <f t="shared" si="9"/>
        <v>13980</v>
      </c>
      <c r="F78" s="1628">
        <f t="shared" si="9"/>
        <v>33019</v>
      </c>
      <c r="G78" s="1628">
        <f t="shared" si="9"/>
        <v>-7895</v>
      </c>
      <c r="H78" s="1628">
        <f t="shared" si="9"/>
        <v>0</v>
      </c>
      <c r="I78" s="1628">
        <f t="shared" si="9"/>
        <v>-195069</v>
      </c>
      <c r="J78" s="1628">
        <f t="shared" si="9"/>
        <v>0</v>
      </c>
      <c r="K78" s="1628">
        <f t="shared" si="9"/>
        <v>32</v>
      </c>
      <c r="L78" s="456"/>
    </row>
    <row r="79" spans="1:12" ht="13.5" thickTop="1" x14ac:dyDescent="0.2">
      <c r="A79" s="1843" t="str">
        <f>"Fund Balances - July 1, "&amp;'AFR20'!E2-1</f>
        <v>Fund Balances - July 1, 2019</v>
      </c>
      <c r="B79" s="457"/>
      <c r="C79" s="1582">
        <v>1529498</v>
      </c>
      <c r="D79" s="1629">
        <v>910787</v>
      </c>
      <c r="E79" s="1629">
        <v>673027</v>
      </c>
      <c r="F79" s="1629">
        <v>203929</v>
      </c>
      <c r="G79" s="1629">
        <v>72521</v>
      </c>
      <c r="H79" s="1629"/>
      <c r="I79" s="1629">
        <v>236292</v>
      </c>
      <c r="J79" s="1629"/>
      <c r="K79" s="1629">
        <v>1424</v>
      </c>
      <c r="L79" s="324"/>
    </row>
    <row r="80" spans="1:12" x14ac:dyDescent="0.2">
      <c r="A80" s="2233" t="s">
        <v>1772</v>
      </c>
      <c r="B80" s="2234"/>
      <c r="C80" s="1573"/>
      <c r="D80" s="1573"/>
      <c r="E80" s="1573"/>
      <c r="F80" s="1573"/>
      <c r="G80" s="1573"/>
      <c r="H80" s="1573"/>
      <c r="I80" s="1573"/>
      <c r="J80" s="1573"/>
      <c r="K80" s="1573"/>
      <c r="L80" s="324"/>
    </row>
    <row r="81" spans="1:12" ht="13.5" thickBot="1" x14ac:dyDescent="0.25">
      <c r="A81" s="2225" t="str">
        <f>"Fund Balances - June 30, "&amp;'AFR20'!E2</f>
        <v>Fund Balances - June 30, 2020</v>
      </c>
      <c r="B81" s="2226"/>
      <c r="C81" s="1593">
        <f>(SUM(C78:C80))</f>
        <v>1176269</v>
      </c>
      <c r="D81" s="1593">
        <f>SUM(D78:D80)</f>
        <v>934268</v>
      </c>
      <c r="E81" s="1593">
        <f t="shared" ref="E81:K81" si="10">SUM(E78:E80)</f>
        <v>687007</v>
      </c>
      <c r="F81" s="1593">
        <f t="shared" si="10"/>
        <v>236948</v>
      </c>
      <c r="G81" s="1593">
        <f t="shared" si="10"/>
        <v>64626</v>
      </c>
      <c r="H81" s="1593">
        <f t="shared" si="10"/>
        <v>0</v>
      </c>
      <c r="I81" s="1593">
        <f t="shared" si="10"/>
        <v>41223</v>
      </c>
      <c r="J81" s="1593">
        <f t="shared" si="10"/>
        <v>0</v>
      </c>
      <c r="K81" s="1593">
        <f t="shared" si="10"/>
        <v>1456</v>
      </c>
      <c r="L81" s="324"/>
    </row>
    <row r="82" spans="1:12" ht="0.75" customHeight="1" thickTop="1" thickBot="1" x14ac:dyDescent="0.25">
      <c r="A82" s="458" t="s">
        <v>340</v>
      </c>
      <c r="B82" s="459"/>
      <c r="C82" s="460">
        <f>(C81-C79)</f>
        <v>-353229</v>
      </c>
      <c r="D82" s="460">
        <f t="shared" ref="D82:K82" si="11">(D81-D79)</f>
        <v>23481</v>
      </c>
      <c r="E82" s="460">
        <f t="shared" si="11"/>
        <v>13980</v>
      </c>
      <c r="F82" s="460">
        <f t="shared" si="11"/>
        <v>33019</v>
      </c>
      <c r="G82" s="460">
        <f t="shared" si="11"/>
        <v>-7895</v>
      </c>
      <c r="H82" s="460">
        <f t="shared" si="11"/>
        <v>0</v>
      </c>
      <c r="I82" s="460">
        <f t="shared" si="11"/>
        <v>-195069</v>
      </c>
      <c r="J82" s="460">
        <f t="shared" si="11"/>
        <v>0</v>
      </c>
      <c r="K82" s="460">
        <f t="shared" si="11"/>
        <v>32</v>
      </c>
    </row>
    <row r="83" spans="1:12" ht="14.25" hidden="1" thickTop="1" thickBot="1" x14ac:dyDescent="0.25">
      <c r="A83" s="461" t="s">
        <v>341</v>
      </c>
      <c r="B83" s="427"/>
      <c r="C83" s="462">
        <f>C82/C81</f>
        <v>-0.30029610573771814</v>
      </c>
      <c r="D83" s="462">
        <f t="shared" ref="D83:K83" si="12">D82/D81</f>
        <v>2.5133045336027778E-2</v>
      </c>
      <c r="E83" s="462">
        <f t="shared" si="12"/>
        <v>2.0349137636152179E-2</v>
      </c>
      <c r="F83" s="462">
        <f t="shared" si="12"/>
        <v>0.13935125006330504</v>
      </c>
      <c r="G83" s="462">
        <f t="shared" si="12"/>
        <v>-0.12216445393494878</v>
      </c>
      <c r="H83" s="462" t="e">
        <f t="shared" si="12"/>
        <v>#DIV/0!</v>
      </c>
      <c r="I83" s="462">
        <f t="shared" si="12"/>
        <v>-4.7320427916454406</v>
      </c>
      <c r="J83" s="462" t="e">
        <f t="shared" si="12"/>
        <v>#DIV/0!</v>
      </c>
      <c r="K83" s="462">
        <f t="shared" si="12"/>
        <v>2.197802197802198E-2</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243" activePane="bottomLeft" state="frozen"/>
      <selection pane="bottomLeft" activeCell="C264" sqref="C264"/>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29" t="s">
        <v>1779</v>
      </c>
      <c r="B1" s="415"/>
      <c r="C1" s="416" t="s">
        <v>422</v>
      </c>
      <c r="D1" s="416" t="s">
        <v>423</v>
      </c>
      <c r="E1" s="416" t="s">
        <v>424</v>
      </c>
      <c r="F1" s="416" t="s">
        <v>425</v>
      </c>
      <c r="G1" s="416" t="s">
        <v>426</v>
      </c>
      <c r="H1" s="416" t="s">
        <v>427</v>
      </c>
      <c r="I1" s="416" t="s">
        <v>428</v>
      </c>
      <c r="J1" s="416" t="s">
        <v>429</v>
      </c>
      <c r="K1" s="416" t="s">
        <v>751</v>
      </c>
    </row>
    <row r="2" spans="1:12" ht="36" x14ac:dyDescent="0.2">
      <c r="A2" s="2230"/>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3813945</v>
      </c>
      <c r="D5" s="1585">
        <v>430801</v>
      </c>
      <c r="E5" s="1572">
        <v>395374</v>
      </c>
      <c r="F5" s="1630">
        <v>96502</v>
      </c>
      <c r="G5" s="1572">
        <v>155769</v>
      </c>
      <c r="H5" s="1572"/>
      <c r="I5" s="1572">
        <v>36204</v>
      </c>
      <c r="J5" s="1573"/>
      <c r="K5" s="1572"/>
    </row>
    <row r="6" spans="1:12" ht="15" x14ac:dyDescent="0.2">
      <c r="A6" s="426" t="s">
        <v>1643</v>
      </c>
      <c r="B6" s="428">
        <v>1130</v>
      </c>
      <c r="C6" s="1572"/>
      <c r="D6" s="1572"/>
      <c r="E6" s="1579"/>
      <c r="F6" s="1579"/>
      <c r="G6" s="1574"/>
      <c r="H6" s="1574"/>
      <c r="I6" s="1574"/>
      <c r="J6" s="1574"/>
      <c r="K6" s="1574"/>
    </row>
    <row r="7" spans="1:12" x14ac:dyDescent="0.2">
      <c r="A7" s="426" t="s">
        <v>110</v>
      </c>
      <c r="B7" s="470">
        <v>1140</v>
      </c>
      <c r="C7" s="1572">
        <v>381973</v>
      </c>
      <c r="D7" s="1572"/>
      <c r="E7" s="1574"/>
      <c r="F7" s="1573"/>
      <c r="G7" s="1573"/>
      <c r="H7" s="1573"/>
      <c r="I7" s="1574"/>
      <c r="J7" s="1574"/>
      <c r="K7" s="1574"/>
    </row>
    <row r="8" spans="1:12" x14ac:dyDescent="0.2">
      <c r="A8" s="426" t="s">
        <v>410</v>
      </c>
      <c r="B8" s="428">
        <v>1150</v>
      </c>
      <c r="C8" s="1579"/>
      <c r="D8" s="1579"/>
      <c r="E8" s="1581"/>
      <c r="F8" s="1581"/>
      <c r="G8" s="1585"/>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4195918</v>
      </c>
      <c r="D12" s="1632">
        <f t="shared" si="0"/>
        <v>430801</v>
      </c>
      <c r="E12" s="1632">
        <f t="shared" si="0"/>
        <v>395374</v>
      </c>
      <c r="F12" s="1632">
        <f t="shared" si="0"/>
        <v>96502</v>
      </c>
      <c r="G12" s="1632">
        <f t="shared" si="0"/>
        <v>155769</v>
      </c>
      <c r="H12" s="1632">
        <f t="shared" si="0"/>
        <v>0</v>
      </c>
      <c r="I12" s="1632">
        <f t="shared" si="0"/>
        <v>36204</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481352</v>
      </c>
      <c r="D16" s="1572">
        <v>160450</v>
      </c>
      <c r="E16" s="1572"/>
      <c r="F16" s="1572"/>
      <c r="G16" s="1572">
        <v>43428</v>
      </c>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481352</v>
      </c>
      <c r="D18" s="1634">
        <f t="shared" ref="D18:K18" si="1">SUM(D14:D17)</f>
        <v>160450</v>
      </c>
      <c r="E18" s="1634">
        <f t="shared" si="1"/>
        <v>0</v>
      </c>
      <c r="F18" s="1634">
        <f t="shared" si="1"/>
        <v>0</v>
      </c>
      <c r="G18" s="1634">
        <f t="shared" si="1"/>
        <v>43428</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v>3010</v>
      </c>
      <c r="D20" s="1574"/>
      <c r="E20" s="1574"/>
      <c r="F20" s="1574"/>
      <c r="G20" s="1574"/>
      <c r="H20" s="1574"/>
      <c r="I20" s="1574"/>
      <c r="J20" s="1574"/>
      <c r="K20" s="1574"/>
    </row>
    <row r="21" spans="1:11" ht="12.75" customHeight="1" x14ac:dyDescent="0.2">
      <c r="A21" s="426" t="s">
        <v>827</v>
      </c>
      <c r="B21" s="428">
        <v>1312</v>
      </c>
      <c r="C21" s="1631"/>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v>4725</v>
      </c>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7735</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15883</v>
      </c>
      <c r="D65" s="1572">
        <v>7315</v>
      </c>
      <c r="E65" s="1572">
        <v>12918</v>
      </c>
      <c r="F65" s="1573">
        <v>3858</v>
      </c>
      <c r="G65" s="1572">
        <v>852</v>
      </c>
      <c r="H65" s="1572"/>
      <c r="I65" s="1572">
        <v>4727</v>
      </c>
      <c r="J65" s="1573"/>
      <c r="K65" s="1572">
        <v>32</v>
      </c>
    </row>
    <row r="66" spans="1:11" ht="12.75" customHeight="1" x14ac:dyDescent="0.2">
      <c r="A66" s="426" t="s">
        <v>674</v>
      </c>
      <c r="B66" s="428">
        <v>1520</v>
      </c>
      <c r="C66" s="1572">
        <v>11253</v>
      </c>
      <c r="D66" s="1572"/>
      <c r="E66" s="1572"/>
      <c r="F66" s="1572"/>
      <c r="G66" s="1572"/>
      <c r="H66" s="1572"/>
      <c r="I66" s="1572"/>
      <c r="J66" s="1573"/>
      <c r="K66" s="1572"/>
    </row>
    <row r="67" spans="1:11" ht="12.75" customHeight="1" thickBot="1" x14ac:dyDescent="0.25">
      <c r="A67" s="1405" t="s">
        <v>483</v>
      </c>
      <c r="B67" s="1406"/>
      <c r="C67" s="1593">
        <f>SUM(C65:C66)</f>
        <v>27136</v>
      </c>
      <c r="D67" s="1593">
        <f t="shared" ref="D67:K67" si="2">SUM(D65:D66)</f>
        <v>7315</v>
      </c>
      <c r="E67" s="1593">
        <f t="shared" si="2"/>
        <v>12918</v>
      </c>
      <c r="F67" s="1593">
        <f t="shared" si="2"/>
        <v>3858</v>
      </c>
      <c r="G67" s="1593">
        <f t="shared" si="2"/>
        <v>852</v>
      </c>
      <c r="H67" s="1593">
        <f t="shared" si="2"/>
        <v>0</v>
      </c>
      <c r="I67" s="1593">
        <f t="shared" si="2"/>
        <v>4727</v>
      </c>
      <c r="J67" s="1593">
        <f t="shared" si="2"/>
        <v>0</v>
      </c>
      <c r="K67" s="1593">
        <f t="shared" si="2"/>
        <v>32</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v>22551</v>
      </c>
      <c r="D69" s="1574"/>
      <c r="E69" s="1574"/>
      <c r="F69" s="1574"/>
      <c r="G69" s="1574"/>
      <c r="H69" s="1574"/>
      <c r="I69" s="1574"/>
      <c r="J69" s="1574"/>
      <c r="K69" s="1574"/>
    </row>
    <row r="70" spans="1:11" ht="12.75" customHeight="1" x14ac:dyDescent="0.2">
      <c r="A70" s="426" t="s">
        <v>990</v>
      </c>
      <c r="B70" s="428">
        <v>1612</v>
      </c>
      <c r="C70" s="1631">
        <v>1346</v>
      </c>
      <c r="D70" s="1574"/>
      <c r="E70" s="1574"/>
      <c r="F70" s="1574"/>
      <c r="G70" s="1574"/>
      <c r="H70" s="1574"/>
      <c r="I70" s="1574"/>
      <c r="J70" s="1574"/>
      <c r="K70" s="1574"/>
    </row>
    <row r="71" spans="1:11" ht="12.75" customHeight="1" x14ac:dyDescent="0.2">
      <c r="A71" s="426" t="s">
        <v>271</v>
      </c>
      <c r="B71" s="428">
        <v>1613</v>
      </c>
      <c r="C71" s="1631"/>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23897</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v>8342</v>
      </c>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8342</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v>47383</v>
      </c>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v>9080</v>
      </c>
      <c r="D92" s="1574"/>
      <c r="E92" s="1574"/>
      <c r="F92" s="1574"/>
      <c r="G92" s="1574"/>
      <c r="H92" s="1574"/>
      <c r="I92" s="1574"/>
      <c r="J92" s="1574"/>
      <c r="K92" s="1574"/>
    </row>
    <row r="93" spans="1:11" ht="12.75" customHeight="1" thickBot="1" x14ac:dyDescent="0.25">
      <c r="A93" s="1405" t="s">
        <v>241</v>
      </c>
      <c r="B93" s="1406"/>
      <c r="C93" s="1593">
        <f>SUM(C84:C92)</f>
        <v>56463</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v>2514</v>
      </c>
      <c r="D95" s="1631"/>
      <c r="E95" s="1616"/>
      <c r="F95" s="1616"/>
      <c r="G95" s="1616"/>
      <c r="H95" s="1616"/>
      <c r="I95" s="1616"/>
      <c r="J95" s="1616"/>
      <c r="K95" s="1616"/>
    </row>
    <row r="96" spans="1:11" ht="12.75" customHeight="1" x14ac:dyDescent="0.2">
      <c r="A96" s="426" t="s">
        <v>388</v>
      </c>
      <c r="B96" s="428">
        <v>1920</v>
      </c>
      <c r="C96" s="1631"/>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v>11839</v>
      </c>
      <c r="D99" s="1572"/>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v>57410</v>
      </c>
      <c r="D106" s="1597"/>
      <c r="E106" s="1573"/>
      <c r="F106" s="1573"/>
      <c r="G106" s="1573"/>
      <c r="H106" s="1573"/>
      <c r="I106" s="1616"/>
      <c r="J106" s="1573"/>
      <c r="K106" s="1573"/>
    </row>
    <row r="107" spans="1:12" ht="12.75" customHeight="1" x14ac:dyDescent="0.2">
      <c r="A107" s="426" t="s">
        <v>78</v>
      </c>
      <c r="B107" s="428">
        <v>1999</v>
      </c>
      <c r="C107" s="1631">
        <v>1585</v>
      </c>
      <c r="D107" s="1572"/>
      <c r="E107" s="1572"/>
      <c r="F107" s="1572"/>
      <c r="G107" s="1572"/>
      <c r="H107" s="1572"/>
      <c r="I107" s="1572"/>
      <c r="J107" s="1573"/>
      <c r="K107" s="1572"/>
    </row>
    <row r="108" spans="1:12" ht="12.75" customHeight="1" thickBot="1" x14ac:dyDescent="0.25">
      <c r="A108" s="1405" t="s">
        <v>484</v>
      </c>
      <c r="B108" s="1407"/>
      <c r="C108" s="1632">
        <f>SUM(C95:C107)</f>
        <v>73348</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4874191</v>
      </c>
      <c r="D109" s="1640">
        <f t="shared" si="4"/>
        <v>598566</v>
      </c>
      <c r="E109" s="1640">
        <f t="shared" si="4"/>
        <v>408292</v>
      </c>
      <c r="F109" s="1640">
        <f t="shared" si="4"/>
        <v>100360</v>
      </c>
      <c r="G109" s="1640">
        <f t="shared" si="4"/>
        <v>200049</v>
      </c>
      <c r="H109" s="1640">
        <f t="shared" si="4"/>
        <v>0</v>
      </c>
      <c r="I109" s="1640">
        <f t="shared" si="4"/>
        <v>40931</v>
      </c>
      <c r="J109" s="1640">
        <f t="shared" si="4"/>
        <v>0</v>
      </c>
      <c r="K109" s="1628">
        <f t="shared" si="4"/>
        <v>32</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533398</v>
      </c>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v>750</v>
      </c>
      <c r="D121" s="1572"/>
      <c r="E121" s="1572"/>
      <c r="F121" s="1572"/>
      <c r="G121" s="1572"/>
      <c r="H121" s="1572"/>
      <c r="I121" s="1574"/>
      <c r="J121" s="1573"/>
      <c r="K121" s="1572"/>
    </row>
    <row r="122" spans="1:11" ht="12.6" customHeight="1" thickBot="1" x14ac:dyDescent="0.25">
      <c r="A122" s="1405" t="s">
        <v>485</v>
      </c>
      <c r="B122" s="1412"/>
      <c r="C122" s="1632">
        <f t="shared" ref="C122:H122" si="5">SUM(C117:C121)</f>
        <v>534148</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v>3515</v>
      </c>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v>29278</v>
      </c>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32793</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v>866</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v>135</v>
      </c>
      <c r="G152" s="1573"/>
      <c r="H152" s="1574"/>
      <c r="I152" s="1574"/>
      <c r="J152" s="1574"/>
      <c r="K152" s="1574"/>
    </row>
    <row r="153" spans="1:11" ht="12.75" customHeight="1" x14ac:dyDescent="0.2">
      <c r="A153" s="426" t="s">
        <v>1048</v>
      </c>
      <c r="B153" s="477">
        <v>3510</v>
      </c>
      <c r="C153" s="1631"/>
      <c r="D153" s="1572"/>
      <c r="E153" s="1639"/>
      <c r="F153" s="1572">
        <v>58673</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58808</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v>78452</v>
      </c>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c r="I167" s="1574"/>
      <c r="J167" s="1574"/>
      <c r="K167" s="1625"/>
    </row>
    <row r="168" spans="1:11" ht="14.25" thickTop="1" thickBot="1" x14ac:dyDescent="0.25">
      <c r="A168" s="1269" t="s">
        <v>70</v>
      </c>
      <c r="B168" s="483">
        <v>3999</v>
      </c>
      <c r="C168" s="1653"/>
      <c r="D168" s="1654"/>
      <c r="E168" s="1654"/>
      <c r="F168" s="1654"/>
      <c r="G168" s="1655"/>
      <c r="H168" s="1656"/>
      <c r="I168" s="1655"/>
      <c r="J168" s="1655"/>
      <c r="K168" s="1656"/>
    </row>
    <row r="169" spans="1:11" ht="12.75" customHeight="1" thickTop="1" thickBot="1" x14ac:dyDescent="0.25">
      <c r="A169" s="2249" t="s">
        <v>395</v>
      </c>
      <c r="B169" s="2250"/>
      <c r="C169" s="1657">
        <f t="shared" ref="C169:K169" si="6">SUM(C132,C141,C145,C146:C150,C155,C156:C167,C168)</f>
        <v>112111</v>
      </c>
      <c r="D169" s="1657">
        <f t="shared" si="6"/>
        <v>0</v>
      </c>
      <c r="E169" s="1657">
        <f t="shared" si="6"/>
        <v>0</v>
      </c>
      <c r="F169" s="1657">
        <f t="shared" si="6"/>
        <v>58808</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646259</v>
      </c>
      <c r="D170" s="1640">
        <f t="shared" si="7"/>
        <v>0</v>
      </c>
      <c r="E170" s="1640">
        <f t="shared" si="7"/>
        <v>0</v>
      </c>
      <c r="F170" s="1640">
        <f t="shared" si="7"/>
        <v>58808</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1" t="s">
        <v>1475</v>
      </c>
      <c r="B172" s="2252"/>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5" t="s">
        <v>1646</v>
      </c>
      <c r="B175" s="225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59" t="s">
        <v>1645</v>
      </c>
      <c r="B176" s="2260"/>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57" t="s">
        <v>780</v>
      </c>
      <c r="B181" s="225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3" t="s">
        <v>1780</v>
      </c>
      <c r="B182" s="2254"/>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v>47806</v>
      </c>
      <c r="D190" s="1574"/>
      <c r="E190" s="1639"/>
      <c r="F190" s="1633"/>
      <c r="G190" s="1663"/>
      <c r="H190" s="1574"/>
      <c r="I190" s="1574"/>
      <c r="J190" s="1574"/>
      <c r="K190" s="1574"/>
    </row>
    <row r="191" spans="1:11" ht="12.75" customHeight="1" x14ac:dyDescent="0.2">
      <c r="A191" s="426" t="s">
        <v>1049</v>
      </c>
      <c r="B191" s="428">
        <v>4210</v>
      </c>
      <c r="C191" s="1572"/>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v>4153</v>
      </c>
      <c r="D193" s="1574"/>
      <c r="E193" s="1639"/>
      <c r="F193" s="1574"/>
      <c r="G193" s="1663"/>
      <c r="H193" s="1574"/>
      <c r="I193" s="1574"/>
      <c r="J193" s="1574"/>
      <c r="K193" s="1574"/>
    </row>
    <row r="194" spans="1:11" ht="12.75" customHeight="1" x14ac:dyDescent="0.2">
      <c r="A194" s="426" t="s">
        <v>1434</v>
      </c>
      <c r="B194" s="428">
        <v>4225</v>
      </c>
      <c r="C194" s="1631">
        <v>11382</v>
      </c>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v>13270</v>
      </c>
      <c r="D197" s="1574"/>
      <c r="E197" s="1639"/>
      <c r="F197" s="1574"/>
      <c r="G197" s="1663"/>
      <c r="H197" s="1574"/>
      <c r="I197" s="1574"/>
      <c r="J197" s="1574"/>
      <c r="K197" s="1574"/>
    </row>
    <row r="198" spans="1:11" ht="12.75" customHeight="1" thickBot="1" x14ac:dyDescent="0.25">
      <c r="A198" s="1405" t="s">
        <v>544</v>
      </c>
      <c r="B198" s="1406"/>
      <c r="C198" s="1593">
        <f>SUM(C190:C197)</f>
        <v>76611</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73170</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c r="D203" s="1572"/>
      <c r="E203" s="1574"/>
      <c r="F203" s="1572"/>
      <c r="G203" s="1572"/>
      <c r="H203" s="1574"/>
      <c r="I203" s="1574"/>
      <c r="J203" s="1574"/>
      <c r="K203" s="1574"/>
    </row>
    <row r="204" spans="1:11" ht="12.75" customHeight="1" thickBot="1" x14ac:dyDescent="0.25">
      <c r="A204" s="1405" t="s">
        <v>397</v>
      </c>
      <c r="B204" s="1406"/>
      <c r="C204" s="1632">
        <f>SUM(C200:C203)</f>
        <v>73170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v>99922</v>
      </c>
      <c r="D213" s="1572"/>
      <c r="E213" s="1574"/>
      <c r="F213" s="1572"/>
      <c r="G213" s="1572"/>
      <c r="H213" s="1574"/>
      <c r="I213" s="1574"/>
      <c r="J213" s="1574"/>
      <c r="K213" s="1574"/>
    </row>
    <row r="214" spans="1:11" ht="12.75" customHeight="1" x14ac:dyDescent="0.2">
      <c r="A214" s="426" t="s">
        <v>1045</v>
      </c>
      <c r="B214" s="428">
        <v>4625</v>
      </c>
      <c r="C214" s="1631">
        <v>16806</v>
      </c>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116728</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v>6461</v>
      </c>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v>5880</v>
      </c>
      <c r="D263" s="1650"/>
      <c r="E263" s="1574"/>
      <c r="F263" s="1650"/>
      <c r="G263" s="1650"/>
      <c r="H263" s="1574"/>
      <c r="I263" s="1574"/>
      <c r="J263" s="1574"/>
      <c r="K263" s="1574"/>
    </row>
    <row r="264" spans="1:11" ht="12.75" customHeight="1" thickTop="1" thickBot="1" x14ac:dyDescent="0.25">
      <c r="A264" s="426" t="s">
        <v>374</v>
      </c>
      <c r="B264" s="428">
        <v>4992</v>
      </c>
      <c r="C264" s="1649">
        <v>8492</v>
      </c>
      <c r="D264" s="1650"/>
      <c r="E264" s="1574"/>
      <c r="F264" s="1650"/>
      <c r="G264" s="1650"/>
      <c r="H264" s="1574"/>
      <c r="I264" s="1574"/>
      <c r="J264" s="1574"/>
      <c r="K264" s="1574"/>
    </row>
    <row r="265" spans="1:11" s="488" customFormat="1" ht="12.75" customHeight="1" thickTop="1" thickBot="1" x14ac:dyDescent="0.25">
      <c r="A265" s="478" t="s">
        <v>75</v>
      </c>
      <c r="B265" s="474">
        <v>4998</v>
      </c>
      <c r="C265" s="1649">
        <v>62780</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350122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350122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5870572</v>
      </c>
      <c r="D268" s="1640">
        <f t="shared" si="12"/>
        <v>598566</v>
      </c>
      <c r="E268" s="1640">
        <f t="shared" si="12"/>
        <v>408292</v>
      </c>
      <c r="F268" s="1640">
        <f t="shared" si="12"/>
        <v>159168</v>
      </c>
      <c r="G268" s="1640">
        <f t="shared" si="12"/>
        <v>200049</v>
      </c>
      <c r="H268" s="1640">
        <f t="shared" si="12"/>
        <v>0</v>
      </c>
      <c r="I268" s="1640">
        <f t="shared" si="12"/>
        <v>40931</v>
      </c>
      <c r="J268" s="1640">
        <f t="shared" si="12"/>
        <v>0</v>
      </c>
      <c r="K268" s="1628">
        <f t="shared" si="12"/>
        <v>32</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topLeftCell="C1" colorId="8" zoomScale="110" zoomScaleNormal="110" workbookViewId="0">
      <pane ySplit="2" topLeftCell="A363" activePane="bottomLeft" state="frozen"/>
      <selection pane="bottomLeft" activeCell="G46" sqref="G46"/>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29"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3"/>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9" t="s">
        <v>294</v>
      </c>
      <c r="B3" s="2270"/>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v>2084271</v>
      </c>
      <c r="D5" s="1572">
        <v>375125</v>
      </c>
      <c r="E5" s="1572">
        <v>70330</v>
      </c>
      <c r="F5" s="1572">
        <v>141193</v>
      </c>
      <c r="G5" s="1572">
        <v>1514</v>
      </c>
      <c r="H5" s="1572">
        <v>23953</v>
      </c>
      <c r="I5" s="1573"/>
      <c r="J5" s="1573"/>
      <c r="K5" s="1671">
        <f>SUM(C5:J5)</f>
        <v>2696386</v>
      </c>
      <c r="L5" s="1572">
        <v>2586691</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v>78537</v>
      </c>
      <c r="D7" s="1573">
        <v>17886</v>
      </c>
      <c r="E7" s="1573">
        <v>467</v>
      </c>
      <c r="F7" s="1573">
        <v>1369</v>
      </c>
      <c r="G7" s="1573"/>
      <c r="H7" s="1573"/>
      <c r="I7" s="1573"/>
      <c r="J7" s="1573"/>
      <c r="K7" s="1671">
        <f t="shared" ref="K7:K32" si="0">SUM(C7:J7)</f>
        <v>98259</v>
      </c>
      <c r="L7" s="1572">
        <v>141232</v>
      </c>
    </row>
    <row r="8" spans="1:14" x14ac:dyDescent="0.2">
      <c r="A8" s="1273" t="s">
        <v>163</v>
      </c>
      <c r="B8" s="502">
        <v>1200</v>
      </c>
      <c r="C8" s="1572">
        <v>639524</v>
      </c>
      <c r="D8" s="1572">
        <v>125315</v>
      </c>
      <c r="E8" s="1572">
        <v>681</v>
      </c>
      <c r="F8" s="1572">
        <v>2526</v>
      </c>
      <c r="G8" s="1572"/>
      <c r="H8" s="1572"/>
      <c r="I8" s="1573"/>
      <c r="J8" s="1573"/>
      <c r="K8" s="1671">
        <f t="shared" si="0"/>
        <v>768046</v>
      </c>
      <c r="L8" s="1572">
        <v>831051</v>
      </c>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c r="D10" s="1572"/>
      <c r="E10" s="1572"/>
      <c r="F10" s="1572"/>
      <c r="G10" s="1572"/>
      <c r="H10" s="1572"/>
      <c r="I10" s="1573"/>
      <c r="J10" s="1573"/>
      <c r="K10" s="1671">
        <f t="shared" si="0"/>
        <v>0</v>
      </c>
      <c r="L10" s="1572"/>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v>160435</v>
      </c>
      <c r="D14" s="1572">
        <v>11700</v>
      </c>
      <c r="E14" s="1572">
        <v>3500</v>
      </c>
      <c r="F14" s="1572">
        <v>1009</v>
      </c>
      <c r="G14" s="1572">
        <v>333</v>
      </c>
      <c r="H14" s="1572"/>
      <c r="I14" s="1573"/>
      <c r="J14" s="1573"/>
      <c r="K14" s="1671">
        <f t="shared" si="0"/>
        <v>176977</v>
      </c>
      <c r="L14" s="1572">
        <v>164960</v>
      </c>
    </row>
    <row r="15" spans="1:14" x14ac:dyDescent="0.2">
      <c r="A15" s="1273" t="s">
        <v>958</v>
      </c>
      <c r="B15" s="502">
        <v>1600</v>
      </c>
      <c r="C15" s="1572">
        <v>6282</v>
      </c>
      <c r="D15" s="1572">
        <v>90</v>
      </c>
      <c r="E15" s="1572"/>
      <c r="F15" s="1572">
        <v>1430</v>
      </c>
      <c r="G15" s="1572"/>
      <c r="H15" s="1572"/>
      <c r="I15" s="1573"/>
      <c r="J15" s="1573"/>
      <c r="K15" s="1671">
        <f t="shared" si="0"/>
        <v>7802</v>
      </c>
      <c r="L15" s="1572">
        <v>8430</v>
      </c>
    </row>
    <row r="16" spans="1:14" x14ac:dyDescent="0.2">
      <c r="A16" s="1273" t="s">
        <v>980</v>
      </c>
      <c r="B16" s="502" t="s">
        <v>421</v>
      </c>
      <c r="C16" s="1572"/>
      <c r="D16" s="1572"/>
      <c r="E16" s="1572"/>
      <c r="F16" s="1572"/>
      <c r="G16" s="1572"/>
      <c r="H16" s="1572"/>
      <c r="I16" s="1573"/>
      <c r="J16" s="1573"/>
      <c r="K16" s="1671">
        <f t="shared" si="0"/>
        <v>0</v>
      </c>
      <c r="L16" s="1572"/>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v>100480</v>
      </c>
      <c r="D18" s="1572">
        <v>19618</v>
      </c>
      <c r="E18" s="1572">
        <v>315</v>
      </c>
      <c r="F18" s="1572"/>
      <c r="G18" s="1572"/>
      <c r="H18" s="1572"/>
      <c r="I18" s="1573"/>
      <c r="J18" s="1573"/>
      <c r="K18" s="1671">
        <f t="shared" si="0"/>
        <v>120413</v>
      </c>
      <c r="L18" s="1572">
        <v>120584</v>
      </c>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c r="I22" s="1672"/>
      <c r="J22" s="1581"/>
      <c r="K22" s="1671">
        <f t="shared" si="0"/>
        <v>0</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3069529</v>
      </c>
      <c r="D33" s="1673">
        <f t="shared" ref="D33:L33" si="1">SUM(D5:D32)</f>
        <v>549734</v>
      </c>
      <c r="E33" s="1673">
        <f t="shared" si="1"/>
        <v>75293</v>
      </c>
      <c r="F33" s="1673">
        <f t="shared" si="1"/>
        <v>147527</v>
      </c>
      <c r="G33" s="1673">
        <f t="shared" si="1"/>
        <v>1847</v>
      </c>
      <c r="H33" s="1673">
        <f t="shared" si="1"/>
        <v>23953</v>
      </c>
      <c r="I33" s="1673">
        <f t="shared" si="1"/>
        <v>0</v>
      </c>
      <c r="J33" s="1673">
        <f t="shared" si="1"/>
        <v>0</v>
      </c>
      <c r="K33" s="1673">
        <f t="shared" si="1"/>
        <v>3867883</v>
      </c>
      <c r="L33" s="1673">
        <f t="shared" si="1"/>
        <v>3852948</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v>95914</v>
      </c>
      <c r="D36" s="1585">
        <v>23541</v>
      </c>
      <c r="E36" s="1585"/>
      <c r="F36" s="1585">
        <v>1992</v>
      </c>
      <c r="G36" s="1585"/>
      <c r="H36" s="1585"/>
      <c r="I36" s="1573"/>
      <c r="J36" s="1573"/>
      <c r="K36" s="1671">
        <f t="shared" ref="K36:K41" si="2">SUM(C36:J36)</f>
        <v>121447</v>
      </c>
      <c r="L36" s="1572">
        <v>116513</v>
      </c>
    </row>
    <row r="37" spans="1:14" x14ac:dyDescent="0.2">
      <c r="A37" s="1273" t="s">
        <v>1081</v>
      </c>
      <c r="B37" s="502">
        <v>2120</v>
      </c>
      <c r="C37" s="1572"/>
      <c r="D37" s="1572"/>
      <c r="E37" s="1572"/>
      <c r="F37" s="1572"/>
      <c r="G37" s="1572"/>
      <c r="H37" s="1572"/>
      <c r="I37" s="1573"/>
      <c r="J37" s="1573"/>
      <c r="K37" s="1671">
        <f t="shared" si="2"/>
        <v>0</v>
      </c>
      <c r="L37" s="1572"/>
    </row>
    <row r="38" spans="1:14" x14ac:dyDescent="0.2">
      <c r="A38" s="1273" t="s">
        <v>196</v>
      </c>
      <c r="B38" s="502">
        <v>2130</v>
      </c>
      <c r="C38" s="1572">
        <v>52434</v>
      </c>
      <c r="D38" s="1572">
        <v>9534</v>
      </c>
      <c r="E38" s="1572">
        <v>1125</v>
      </c>
      <c r="F38" s="1572">
        <v>301</v>
      </c>
      <c r="G38" s="1572"/>
      <c r="H38" s="1572"/>
      <c r="I38" s="1573"/>
      <c r="J38" s="1573"/>
      <c r="K38" s="1671">
        <f t="shared" si="2"/>
        <v>63394</v>
      </c>
      <c r="L38" s="1572">
        <v>63205</v>
      </c>
    </row>
    <row r="39" spans="1:14" x14ac:dyDescent="0.2">
      <c r="A39" s="1273" t="s">
        <v>197</v>
      </c>
      <c r="B39" s="502">
        <v>2140</v>
      </c>
      <c r="C39" s="1572"/>
      <c r="D39" s="1572"/>
      <c r="E39" s="1572"/>
      <c r="F39" s="1572"/>
      <c r="G39" s="1572"/>
      <c r="H39" s="1572"/>
      <c r="I39" s="1573"/>
      <c r="J39" s="1573"/>
      <c r="K39" s="1671">
        <f t="shared" si="2"/>
        <v>0</v>
      </c>
      <c r="L39" s="1572"/>
    </row>
    <row r="40" spans="1:14" x14ac:dyDescent="0.2">
      <c r="A40" s="1273" t="s">
        <v>198</v>
      </c>
      <c r="B40" s="502">
        <v>2150</v>
      </c>
      <c r="C40" s="1572">
        <v>92008</v>
      </c>
      <c r="D40" s="1572">
        <v>17007</v>
      </c>
      <c r="E40" s="1572"/>
      <c r="F40" s="1572">
        <v>1647</v>
      </c>
      <c r="G40" s="1572"/>
      <c r="H40" s="1572"/>
      <c r="I40" s="1573"/>
      <c r="J40" s="1573"/>
      <c r="K40" s="1671">
        <f t="shared" si="2"/>
        <v>110662</v>
      </c>
      <c r="L40" s="1572">
        <v>109940</v>
      </c>
    </row>
    <row r="41" spans="1:14" x14ac:dyDescent="0.2">
      <c r="A41" s="1273" t="s">
        <v>1650</v>
      </c>
      <c r="B41" s="502">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240356</v>
      </c>
      <c r="D42" s="1673">
        <f t="shared" ref="D42:L42" si="3">SUM(D36:D41)</f>
        <v>50082</v>
      </c>
      <c r="E42" s="1673">
        <f t="shared" si="3"/>
        <v>1125</v>
      </c>
      <c r="F42" s="1673">
        <f t="shared" si="3"/>
        <v>3940</v>
      </c>
      <c r="G42" s="1673">
        <f t="shared" si="3"/>
        <v>0</v>
      </c>
      <c r="H42" s="1673">
        <f t="shared" si="3"/>
        <v>0</v>
      </c>
      <c r="I42" s="1673">
        <f t="shared" si="3"/>
        <v>0</v>
      </c>
      <c r="J42" s="1673">
        <f t="shared" si="3"/>
        <v>0</v>
      </c>
      <c r="K42" s="1673">
        <f t="shared" si="3"/>
        <v>295503</v>
      </c>
      <c r="L42" s="1673">
        <f t="shared" si="3"/>
        <v>289658</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c r="D44" s="1585">
        <v>7795</v>
      </c>
      <c r="E44" s="1585">
        <v>10076</v>
      </c>
      <c r="F44" s="1585"/>
      <c r="G44" s="1585"/>
      <c r="H44" s="1585"/>
      <c r="I44" s="1573"/>
      <c r="J44" s="1573"/>
      <c r="K44" s="1677">
        <f>SUM(C44:J44)</f>
        <v>17871</v>
      </c>
      <c r="L44" s="1585">
        <v>13250</v>
      </c>
    </row>
    <row r="45" spans="1:14" x14ac:dyDescent="0.2">
      <c r="A45" s="1273" t="s">
        <v>810</v>
      </c>
      <c r="B45" s="502">
        <v>2220</v>
      </c>
      <c r="C45" s="1572">
        <v>111162</v>
      </c>
      <c r="D45" s="1572">
        <v>18811</v>
      </c>
      <c r="E45" s="1572">
        <v>8615</v>
      </c>
      <c r="F45" s="1572">
        <v>63302</v>
      </c>
      <c r="G45" s="1572">
        <v>56352</v>
      </c>
      <c r="H45" s="1572"/>
      <c r="I45" s="1573"/>
      <c r="J45" s="1573"/>
      <c r="K45" s="1677">
        <f>SUM(C45:J45)</f>
        <v>258242</v>
      </c>
      <c r="L45" s="1572">
        <v>249250</v>
      </c>
    </row>
    <row r="46" spans="1:14" x14ac:dyDescent="0.2">
      <c r="A46" s="1273" t="s">
        <v>811</v>
      </c>
      <c r="B46" s="502">
        <v>2230</v>
      </c>
      <c r="C46" s="1572"/>
      <c r="D46" s="1572"/>
      <c r="E46" s="1572"/>
      <c r="F46" s="1572">
        <v>5000</v>
      </c>
      <c r="G46" s="1572"/>
      <c r="H46" s="1572"/>
      <c r="I46" s="1573"/>
      <c r="J46" s="1573"/>
      <c r="K46" s="1677">
        <f>SUM(C46:J46)</f>
        <v>5000</v>
      </c>
      <c r="L46" s="1572">
        <v>5000</v>
      </c>
    </row>
    <row r="47" spans="1:14" ht="12.75" customHeight="1" thickBot="1" x14ac:dyDescent="0.25">
      <c r="A47" s="1379" t="s">
        <v>557</v>
      </c>
      <c r="B47" s="1380" t="s">
        <v>32</v>
      </c>
      <c r="C47" s="1673">
        <f>SUM(C44:C46)</f>
        <v>111162</v>
      </c>
      <c r="D47" s="1673">
        <f t="shared" ref="D47:K47" si="4">SUM(D44:D46)</f>
        <v>26606</v>
      </c>
      <c r="E47" s="1673">
        <f t="shared" si="4"/>
        <v>18691</v>
      </c>
      <c r="F47" s="1673">
        <f t="shared" si="4"/>
        <v>68302</v>
      </c>
      <c r="G47" s="1673">
        <f t="shared" si="4"/>
        <v>56352</v>
      </c>
      <c r="H47" s="1673">
        <f t="shared" si="4"/>
        <v>0</v>
      </c>
      <c r="I47" s="1673">
        <f t="shared" si="4"/>
        <v>0</v>
      </c>
      <c r="J47" s="1673">
        <f t="shared" si="4"/>
        <v>0</v>
      </c>
      <c r="K47" s="1673">
        <f t="shared" si="4"/>
        <v>281113</v>
      </c>
      <c r="L47" s="1673">
        <f>SUM(L44:L46)</f>
        <v>267500</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v>63228</v>
      </c>
      <c r="D49" s="1585">
        <v>11063</v>
      </c>
      <c r="E49" s="1585">
        <v>118699</v>
      </c>
      <c r="F49" s="1585">
        <v>1275</v>
      </c>
      <c r="G49" s="1585"/>
      <c r="H49" s="1585">
        <v>12385</v>
      </c>
      <c r="I49" s="1573"/>
      <c r="J49" s="1573"/>
      <c r="K49" s="1677">
        <f>SUM(C49:J49)</f>
        <v>206650</v>
      </c>
      <c r="L49" s="1585">
        <v>178274</v>
      </c>
    </row>
    <row r="50" spans="1:14" x14ac:dyDescent="0.2">
      <c r="A50" s="1273" t="s">
        <v>813</v>
      </c>
      <c r="B50" s="502">
        <v>2320</v>
      </c>
      <c r="C50" s="1572">
        <v>168000</v>
      </c>
      <c r="D50" s="1572">
        <v>53718</v>
      </c>
      <c r="E50" s="1572">
        <v>680</v>
      </c>
      <c r="F50" s="1572"/>
      <c r="G50" s="1572"/>
      <c r="H50" s="1572">
        <v>1772</v>
      </c>
      <c r="I50" s="1573"/>
      <c r="J50" s="1573"/>
      <c r="K50" s="1677">
        <f>SUM(C50:J50)</f>
        <v>224170</v>
      </c>
      <c r="L50" s="1572">
        <v>218583</v>
      </c>
    </row>
    <row r="51" spans="1:14" x14ac:dyDescent="0.2">
      <c r="A51" s="1273" t="s">
        <v>42</v>
      </c>
      <c r="B51" s="502">
        <v>2330</v>
      </c>
      <c r="C51" s="1572"/>
      <c r="D51" s="1572"/>
      <c r="E51" s="1572"/>
      <c r="F51" s="1572"/>
      <c r="G51" s="1572"/>
      <c r="H51" s="1572"/>
      <c r="I51" s="1573"/>
      <c r="J51" s="1573"/>
      <c r="K51" s="1677">
        <f>SUM(C51:J51)</f>
        <v>0</v>
      </c>
      <c r="L51" s="1572"/>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231228</v>
      </c>
      <c r="D53" s="1673">
        <f t="shared" ref="D53:L53" si="5">SUM(D49:D52)</f>
        <v>64781</v>
      </c>
      <c r="E53" s="1673">
        <f t="shared" si="5"/>
        <v>119379</v>
      </c>
      <c r="F53" s="1673">
        <f t="shared" si="5"/>
        <v>1275</v>
      </c>
      <c r="G53" s="1673">
        <f t="shared" si="5"/>
        <v>0</v>
      </c>
      <c r="H53" s="1673">
        <f t="shared" si="5"/>
        <v>14157</v>
      </c>
      <c r="I53" s="1673">
        <f t="shared" si="5"/>
        <v>0</v>
      </c>
      <c r="J53" s="1673">
        <f t="shared" si="5"/>
        <v>0</v>
      </c>
      <c r="K53" s="1673">
        <f t="shared" si="5"/>
        <v>430820</v>
      </c>
      <c r="L53" s="1673">
        <f t="shared" si="5"/>
        <v>396857</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248797</v>
      </c>
      <c r="D55" s="1585">
        <v>95815</v>
      </c>
      <c r="E55" s="1585">
        <v>753</v>
      </c>
      <c r="F55" s="1585"/>
      <c r="G55" s="1585"/>
      <c r="H55" s="1585">
        <v>797</v>
      </c>
      <c r="I55" s="1573"/>
      <c r="J55" s="1573"/>
      <c r="K55" s="1677">
        <f>SUM(C55:J55)</f>
        <v>346162</v>
      </c>
      <c r="L55" s="1585">
        <v>311914</v>
      </c>
    </row>
    <row r="56" spans="1:14" ht="12.75" customHeight="1" x14ac:dyDescent="0.2">
      <c r="A56" s="1277" t="s">
        <v>373</v>
      </c>
      <c r="B56" s="511">
        <v>2490</v>
      </c>
      <c r="C56" s="1572">
        <v>64201</v>
      </c>
      <c r="D56" s="1572">
        <v>36353</v>
      </c>
      <c r="E56" s="1572"/>
      <c r="F56" s="1572"/>
      <c r="G56" s="1572"/>
      <c r="H56" s="1572"/>
      <c r="I56" s="1573"/>
      <c r="J56" s="1573"/>
      <c r="K56" s="1677">
        <f>SUM(C56:J56)</f>
        <v>100554</v>
      </c>
      <c r="L56" s="1572"/>
    </row>
    <row r="57" spans="1:14" s="320" customFormat="1" ht="12.75" customHeight="1" thickBot="1" x14ac:dyDescent="0.25">
      <c r="A57" s="1379" t="s">
        <v>261</v>
      </c>
      <c r="B57" s="1381" t="s">
        <v>34</v>
      </c>
      <c r="C57" s="1678">
        <f>SUM(C55:C56)</f>
        <v>312998</v>
      </c>
      <c r="D57" s="1678">
        <f t="shared" ref="D57:K57" si="6">SUM(D55:D56)</f>
        <v>132168</v>
      </c>
      <c r="E57" s="1678">
        <f t="shared" si="6"/>
        <v>753</v>
      </c>
      <c r="F57" s="1678">
        <f t="shared" si="6"/>
        <v>0</v>
      </c>
      <c r="G57" s="1678">
        <f t="shared" si="6"/>
        <v>0</v>
      </c>
      <c r="H57" s="1678">
        <f t="shared" si="6"/>
        <v>797</v>
      </c>
      <c r="I57" s="1678">
        <f t="shared" si="6"/>
        <v>0</v>
      </c>
      <c r="J57" s="1678">
        <f t="shared" si="6"/>
        <v>0</v>
      </c>
      <c r="K57" s="1678">
        <f t="shared" si="6"/>
        <v>446716</v>
      </c>
      <c r="L57" s="1673">
        <f>SUM(L55:L56)</f>
        <v>311914</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v>132810</v>
      </c>
      <c r="D60" s="1572">
        <v>4712</v>
      </c>
      <c r="E60" s="1572">
        <v>40169</v>
      </c>
      <c r="F60" s="1572">
        <v>151</v>
      </c>
      <c r="G60" s="1572"/>
      <c r="H60" s="1572">
        <v>340</v>
      </c>
      <c r="I60" s="1573"/>
      <c r="J60" s="1573"/>
      <c r="K60" s="1677">
        <f t="shared" si="7"/>
        <v>178182</v>
      </c>
      <c r="L60" s="1572">
        <v>154571</v>
      </c>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v>92696</v>
      </c>
      <c r="D63" s="1572"/>
      <c r="E63" s="1572">
        <v>763</v>
      </c>
      <c r="F63" s="1572">
        <v>88963</v>
      </c>
      <c r="G63" s="1572"/>
      <c r="H63" s="1572"/>
      <c r="I63" s="1573"/>
      <c r="J63" s="1573"/>
      <c r="K63" s="1677">
        <f t="shared" si="7"/>
        <v>182422</v>
      </c>
      <c r="L63" s="1572">
        <v>189962</v>
      </c>
    </row>
    <row r="64" spans="1:14" s="500" customFormat="1" x14ac:dyDescent="0.2">
      <c r="A64" s="1278" t="s">
        <v>101</v>
      </c>
      <c r="B64" s="512">
        <v>2570</v>
      </c>
      <c r="C64" s="1585"/>
      <c r="D64" s="1585"/>
      <c r="E64" s="1585"/>
      <c r="F64" s="1585"/>
      <c r="G64" s="1585"/>
      <c r="H64" s="1585"/>
      <c r="I64" s="1573"/>
      <c r="J64" s="1573"/>
      <c r="K64" s="1677">
        <f t="shared" si="7"/>
        <v>0</v>
      </c>
      <c r="L64" s="1585"/>
    </row>
    <row r="65" spans="1:14" s="320" customFormat="1" ht="12.75" customHeight="1" thickBot="1" x14ac:dyDescent="0.25">
      <c r="A65" s="1379" t="s">
        <v>714</v>
      </c>
      <c r="B65" s="1380" t="s">
        <v>35</v>
      </c>
      <c r="C65" s="1673">
        <f>SUM(C59:C64)</f>
        <v>225506</v>
      </c>
      <c r="D65" s="1673">
        <f t="shared" ref="D65:L65" si="8">SUM(D59:D64)</f>
        <v>4712</v>
      </c>
      <c r="E65" s="1673">
        <f t="shared" si="8"/>
        <v>40932</v>
      </c>
      <c r="F65" s="1673">
        <f t="shared" si="8"/>
        <v>89114</v>
      </c>
      <c r="G65" s="1673">
        <f t="shared" si="8"/>
        <v>0</v>
      </c>
      <c r="H65" s="1673">
        <f t="shared" si="8"/>
        <v>340</v>
      </c>
      <c r="I65" s="1673">
        <f t="shared" si="8"/>
        <v>0</v>
      </c>
      <c r="J65" s="1673">
        <f t="shared" si="8"/>
        <v>0</v>
      </c>
      <c r="K65" s="1673">
        <f t="shared" si="8"/>
        <v>360604</v>
      </c>
      <c r="L65" s="1673">
        <f t="shared" si="8"/>
        <v>344533</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c r="F69" s="1572"/>
      <c r="G69" s="1572"/>
      <c r="H69" s="1572"/>
      <c r="I69" s="1573"/>
      <c r="J69" s="1573"/>
      <c r="K69" s="1677">
        <f>SUM(C69:J69)</f>
        <v>0</v>
      </c>
      <c r="L69" s="1572"/>
      <c r="M69" s="500"/>
      <c r="N69" s="500"/>
    </row>
    <row r="70" spans="1:14" s="320" customFormat="1" x14ac:dyDescent="0.2">
      <c r="A70" s="1273" t="s">
        <v>400</v>
      </c>
      <c r="B70" s="502">
        <v>2640</v>
      </c>
      <c r="C70" s="1572"/>
      <c r="D70" s="1572"/>
      <c r="E70" s="1572"/>
      <c r="F70" s="1572"/>
      <c r="G70" s="1572"/>
      <c r="H70" s="1572"/>
      <c r="I70" s="1573"/>
      <c r="J70" s="1573"/>
      <c r="K70" s="1677">
        <f>SUM(C70:J70)</f>
        <v>0</v>
      </c>
      <c r="L70" s="1572"/>
      <c r="M70" s="500"/>
      <c r="N70" s="500"/>
    </row>
    <row r="71" spans="1:14" s="320" customFormat="1" x14ac:dyDescent="0.2">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0"/>
      <c r="N72" s="500"/>
    </row>
    <row r="73" spans="1:14" s="320" customFormat="1" ht="14.25" thickTop="1" thickBot="1" x14ac:dyDescent="0.25">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x14ac:dyDescent="0.25">
      <c r="A74" s="1379" t="s">
        <v>806</v>
      </c>
      <c r="B74" s="1383">
        <v>2000</v>
      </c>
      <c r="C74" s="1680">
        <f>SUM(C42,C47,C53,C57,C65,C72,C73)</f>
        <v>1121250</v>
      </c>
      <c r="D74" s="1680">
        <f t="shared" ref="D74:K74" si="10">SUM(D42,D47,D53,D57,D65,D72,D73)</f>
        <v>278349</v>
      </c>
      <c r="E74" s="1680">
        <f t="shared" si="10"/>
        <v>180880</v>
      </c>
      <c r="F74" s="1680">
        <f t="shared" si="10"/>
        <v>162631</v>
      </c>
      <c r="G74" s="1680">
        <f t="shared" si="10"/>
        <v>56352</v>
      </c>
      <c r="H74" s="1680">
        <f t="shared" si="10"/>
        <v>15294</v>
      </c>
      <c r="I74" s="1680">
        <f t="shared" si="10"/>
        <v>0</v>
      </c>
      <c r="J74" s="1680">
        <f t="shared" si="10"/>
        <v>0</v>
      </c>
      <c r="K74" s="1680">
        <f t="shared" si="10"/>
        <v>1814756</v>
      </c>
      <c r="L74" s="1680">
        <f>SUM(L42,L47,L53,L57,L65,L72,L73)</f>
        <v>1610462</v>
      </c>
    </row>
    <row r="75" spans="1:14" s="253" customFormat="1" ht="15.75" customHeight="1" thickTop="1" thickBot="1" x14ac:dyDescent="0.25">
      <c r="A75" s="1347" t="s">
        <v>47</v>
      </c>
      <c r="B75" s="1348" t="s">
        <v>571</v>
      </c>
      <c r="C75" s="1648">
        <v>38503</v>
      </c>
      <c r="D75" s="1648"/>
      <c r="E75" s="1648"/>
      <c r="F75" s="1648">
        <v>427</v>
      </c>
      <c r="G75" s="1648"/>
      <c r="H75" s="1648"/>
      <c r="I75" s="1626"/>
      <c r="J75" s="1626"/>
      <c r="K75" s="1673">
        <f>SUM(C75:J75)</f>
        <v>38930</v>
      </c>
      <c r="L75" s="1650">
        <v>38352</v>
      </c>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v>342525</v>
      </c>
      <c r="F79" s="1672"/>
      <c r="G79" s="1672"/>
      <c r="H79" s="1572">
        <v>391238</v>
      </c>
      <c r="I79" s="1581"/>
      <c r="J79" s="1581"/>
      <c r="K79" s="1671">
        <f t="shared" si="11"/>
        <v>733763</v>
      </c>
      <c r="L79" s="1572">
        <v>381676</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342525</v>
      </c>
      <c r="F84" s="1672"/>
      <c r="G84" s="1672"/>
      <c r="H84" s="1673">
        <f>SUM(H78:H83)</f>
        <v>391238</v>
      </c>
      <c r="I84" s="1581"/>
      <c r="J84" s="1581"/>
      <c r="K84" s="1673">
        <f>SUM(K78:K83)</f>
        <v>733763</v>
      </c>
      <c r="L84" s="1673">
        <f>SUM(L78:L83)</f>
        <v>381676</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c r="I86" s="1581"/>
      <c r="J86" s="1581"/>
      <c r="K86" s="1680">
        <f t="shared" ref="K86:K98" si="12">H86</f>
        <v>0</v>
      </c>
      <c r="L86" s="1625"/>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v>11200</v>
      </c>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11200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342525</v>
      </c>
      <c r="F102" s="1672"/>
      <c r="G102" s="1672"/>
      <c r="H102" s="1680">
        <f>SUM(H84,H92,H100,H101)</f>
        <v>391238</v>
      </c>
      <c r="I102" s="1581"/>
      <c r="J102" s="1581"/>
      <c r="K102" s="1680">
        <f>SUM(K84,K92,K100,K101)</f>
        <v>733763</v>
      </c>
      <c r="L102" s="1680">
        <f>SUM(L84,L92,L100,L101)</f>
        <v>392876</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v>3960</v>
      </c>
      <c r="I105" s="1574"/>
      <c r="J105" s="1574"/>
      <c r="K105" s="1671">
        <f>H105</f>
        <v>3960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3960</v>
      </c>
      <c r="I110" s="1574"/>
      <c r="J110" s="1574"/>
      <c r="K110" s="1673">
        <f>SUM(K105:K109)</f>
        <v>3960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3960</v>
      </c>
      <c r="I112" s="1574"/>
      <c r="J112" s="1574"/>
      <c r="K112" s="1673">
        <f>SUM(K110:K111)</f>
        <v>3960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4229282</v>
      </c>
      <c r="D114" s="1673">
        <f t="shared" ref="D114:K114" si="13">SUM(D33,D74,D75,D102,D112,D113)</f>
        <v>828083</v>
      </c>
      <c r="E114" s="1673">
        <f t="shared" si="13"/>
        <v>598698</v>
      </c>
      <c r="F114" s="1673">
        <f t="shared" si="13"/>
        <v>310585</v>
      </c>
      <c r="G114" s="1673">
        <f t="shared" si="13"/>
        <v>58199</v>
      </c>
      <c r="H114" s="1673">
        <f>SUM(H33,H74,H75,H102,H112,H113)</f>
        <v>434445</v>
      </c>
      <c r="I114" s="1673">
        <f t="shared" si="13"/>
        <v>0</v>
      </c>
      <c r="J114" s="1673">
        <f t="shared" si="13"/>
        <v>0</v>
      </c>
      <c r="K114" s="1673">
        <f t="shared" si="13"/>
        <v>6459292</v>
      </c>
      <c r="L114" s="1673">
        <f>SUM(L33,L74,L75,L102,L112,L113)</f>
        <v>5894638</v>
      </c>
    </row>
    <row r="115" spans="1:14" ht="13.5" thickTop="1" x14ac:dyDescent="0.2">
      <c r="A115" s="2261" t="s">
        <v>989</v>
      </c>
      <c r="B115" s="2262"/>
      <c r="C115" s="1674"/>
      <c r="D115" s="1674"/>
      <c r="E115" s="1674"/>
      <c r="F115" s="1674"/>
      <c r="G115" s="1674"/>
      <c r="H115" s="1674"/>
      <c r="I115" s="1674"/>
      <c r="J115" s="1674"/>
      <c r="K115" s="1688">
        <f>'Revenues 9-14'!C268-'Expenditures 15-22'!K114</f>
        <v>-588720</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66" t="s">
        <v>293</v>
      </c>
      <c r="B117" s="2267"/>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267110</v>
      </c>
      <c r="D124" s="1572">
        <v>36455</v>
      </c>
      <c r="E124" s="1572">
        <v>174391</v>
      </c>
      <c r="F124" s="1572">
        <v>90075</v>
      </c>
      <c r="G124" s="1572">
        <v>5171</v>
      </c>
      <c r="H124" s="1572"/>
      <c r="I124" s="1573">
        <v>1883</v>
      </c>
      <c r="J124" s="1573"/>
      <c r="K124" s="1673">
        <f>SUM(C124:J124)</f>
        <v>575085</v>
      </c>
      <c r="L124" s="1572">
        <v>608824</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267110</v>
      </c>
      <c r="D127" s="1673">
        <f t="shared" ref="D127:L127" si="14">SUM(D122:D126)</f>
        <v>36455</v>
      </c>
      <c r="E127" s="1673">
        <f t="shared" si="14"/>
        <v>174391</v>
      </c>
      <c r="F127" s="1673">
        <f t="shared" si="14"/>
        <v>90075</v>
      </c>
      <c r="G127" s="1673">
        <f t="shared" si="14"/>
        <v>5171</v>
      </c>
      <c r="H127" s="1673">
        <f t="shared" si="14"/>
        <v>0</v>
      </c>
      <c r="I127" s="1673">
        <f t="shared" si="14"/>
        <v>1883</v>
      </c>
      <c r="J127" s="1673">
        <f t="shared" si="14"/>
        <v>0</v>
      </c>
      <c r="K127" s="1673">
        <f t="shared" si="14"/>
        <v>575085</v>
      </c>
      <c r="L127" s="1673">
        <f t="shared" si="14"/>
        <v>608824</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267110</v>
      </c>
      <c r="D129" s="1680">
        <f t="shared" ref="D129:L129" si="15">SUM(D120,D127,D128)</f>
        <v>36455</v>
      </c>
      <c r="E129" s="1680">
        <f t="shared" si="15"/>
        <v>174391</v>
      </c>
      <c r="F129" s="1680">
        <f t="shared" si="15"/>
        <v>90075</v>
      </c>
      <c r="G129" s="1680">
        <f t="shared" si="15"/>
        <v>5171</v>
      </c>
      <c r="H129" s="1680">
        <f t="shared" si="15"/>
        <v>0</v>
      </c>
      <c r="I129" s="1680">
        <f t="shared" si="15"/>
        <v>1883</v>
      </c>
      <c r="J129" s="1680">
        <f t="shared" si="15"/>
        <v>0</v>
      </c>
      <c r="K129" s="1680">
        <f t="shared" si="15"/>
        <v>575085</v>
      </c>
      <c r="L129" s="1680">
        <f t="shared" si="15"/>
        <v>608824</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8" t="s">
        <v>616</v>
      </c>
      <c r="B151" s="2258"/>
      <c r="C151" s="1673">
        <f>SUM(C129,C130,C139,C149,C150)</f>
        <v>267110</v>
      </c>
      <c r="D151" s="1673">
        <f t="shared" ref="D151:K151" si="16">SUM(D129,D130,D139,D149,D150)</f>
        <v>36455</v>
      </c>
      <c r="E151" s="1673">
        <f t="shared" si="16"/>
        <v>174391</v>
      </c>
      <c r="F151" s="1673">
        <f t="shared" si="16"/>
        <v>90075</v>
      </c>
      <c r="G151" s="1673">
        <f t="shared" si="16"/>
        <v>5171</v>
      </c>
      <c r="H151" s="1673">
        <f t="shared" si="16"/>
        <v>0</v>
      </c>
      <c r="I151" s="1673">
        <f t="shared" si="16"/>
        <v>1883</v>
      </c>
      <c r="J151" s="1673">
        <f t="shared" si="16"/>
        <v>0</v>
      </c>
      <c r="K151" s="1673">
        <f t="shared" si="16"/>
        <v>575085</v>
      </c>
      <c r="L151" s="1673">
        <f>SUM(L129,L130,L139,L149,L150)</f>
        <v>608824</v>
      </c>
    </row>
    <row r="152" spans="1:14" ht="12.75" customHeight="1" thickTop="1" x14ac:dyDescent="0.2">
      <c r="A152" s="2281" t="s">
        <v>1168</v>
      </c>
      <c r="B152" s="2282"/>
      <c r="C152" s="1674"/>
      <c r="D152" s="1674"/>
      <c r="E152" s="1674"/>
      <c r="F152" s="1674"/>
      <c r="G152" s="1674"/>
      <c r="H152" s="1674"/>
      <c r="I152" s="1674"/>
      <c r="J152" s="1672"/>
      <c r="K152" s="1688">
        <f>'Revenues 9-14'!D268-'Expenditures 15-22'!K151</f>
        <v>23481</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66" t="s">
        <v>617</v>
      </c>
      <c r="B154" s="2268"/>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v>203863</v>
      </c>
      <c r="I169" s="1672"/>
      <c r="J169" s="1672"/>
      <c r="K169" s="1671">
        <f>SUM(C169:H169)</f>
        <v>203863</v>
      </c>
      <c r="L169" s="1694">
        <v>107594</v>
      </c>
    </row>
    <row r="170" spans="1:14" ht="33.75" customHeight="1" x14ac:dyDescent="0.2">
      <c r="A170" s="542" t="s">
        <v>1651</v>
      </c>
      <c r="B170" s="544" t="s">
        <v>31</v>
      </c>
      <c r="C170" s="1672"/>
      <c r="D170" s="1672"/>
      <c r="E170" s="1672"/>
      <c r="F170" s="1672"/>
      <c r="G170" s="1672"/>
      <c r="H170" s="1645">
        <v>223669</v>
      </c>
      <c r="I170" s="1672"/>
      <c r="J170" s="1672"/>
      <c r="K170" s="1671">
        <f>SUM(C170:J170)</f>
        <v>223669</v>
      </c>
      <c r="L170" s="1645">
        <v>186975</v>
      </c>
    </row>
    <row r="171" spans="1:14" ht="15.75" customHeight="1" x14ac:dyDescent="0.2">
      <c r="A171" s="506" t="s">
        <v>761</v>
      </c>
      <c r="B171" s="545" t="s">
        <v>84</v>
      </c>
      <c r="C171" s="1672"/>
      <c r="D171" s="1672"/>
      <c r="E171" s="1572"/>
      <c r="F171" s="1672"/>
      <c r="G171" s="1672"/>
      <c r="H171" s="1645">
        <v>2524</v>
      </c>
      <c r="I171" s="1581"/>
      <c r="J171" s="1672"/>
      <c r="K171" s="1671">
        <f>SUM(C171:J171)</f>
        <v>2524</v>
      </c>
      <c r="L171" s="1645"/>
    </row>
    <row r="172" spans="1:14" ht="12.75" customHeight="1" thickBot="1" x14ac:dyDescent="0.25">
      <c r="A172" s="1379" t="s">
        <v>633</v>
      </c>
      <c r="B172" s="1380" t="s">
        <v>489</v>
      </c>
      <c r="C172" s="1672"/>
      <c r="D172" s="1672"/>
      <c r="E172" s="1680">
        <f>SUM(E168,E169,E170,E171)</f>
        <v>0</v>
      </c>
      <c r="F172" s="1672"/>
      <c r="G172" s="1672"/>
      <c r="H172" s="1680">
        <f>SUM(H168,H169,H170,H171)</f>
        <v>430056</v>
      </c>
      <c r="I172" s="1683"/>
      <c r="J172" s="1672"/>
      <c r="K172" s="1680">
        <f>SUM(K168,K169,K170,K171)</f>
        <v>430056</v>
      </c>
      <c r="L172" s="1680">
        <f>SUM(L168,L169,L170,L171)</f>
        <v>294569</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430056</v>
      </c>
      <c r="I174" s="1683"/>
      <c r="J174" s="1672"/>
      <c r="K174" s="1680">
        <f>SUM(K160,K172,K173)</f>
        <v>430056</v>
      </c>
      <c r="L174" s="1680">
        <f>SUM(L160,L172,L173)</f>
        <v>294569</v>
      </c>
    </row>
    <row r="175" spans="1:14" ht="13.5" thickTop="1" x14ac:dyDescent="0.2">
      <c r="A175" s="2261" t="s">
        <v>989</v>
      </c>
      <c r="B175" s="2262"/>
      <c r="C175" s="1672"/>
      <c r="D175" s="1672"/>
      <c r="E175" s="1672"/>
      <c r="F175" s="1672"/>
      <c r="G175" s="1672"/>
      <c r="H175" s="1674"/>
      <c r="I175" s="1672"/>
      <c r="J175" s="1672"/>
      <c r="K175" s="1688">
        <f>'Revenues 9-14'!E268-'Expenditures 15-22'!K174</f>
        <v>-21764</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c r="D182" s="1572"/>
      <c r="E182" s="1572">
        <v>126149</v>
      </c>
      <c r="F182" s="1572"/>
      <c r="G182" s="1572"/>
      <c r="H182" s="1572"/>
      <c r="I182" s="1573"/>
      <c r="J182" s="1573"/>
      <c r="K182" s="1671">
        <f>SUM(C182:J182)</f>
        <v>126149</v>
      </c>
      <c r="L182" s="1572">
        <v>146743</v>
      </c>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0</v>
      </c>
      <c r="D184" s="1680">
        <f t="shared" ref="D184:J184" si="17">SUM(D180,D182,D183)</f>
        <v>0</v>
      </c>
      <c r="E184" s="1680">
        <f t="shared" si="17"/>
        <v>126149</v>
      </c>
      <c r="F184" s="1680">
        <f t="shared" si="17"/>
        <v>0</v>
      </c>
      <c r="G184" s="1680">
        <f t="shared" si="17"/>
        <v>0</v>
      </c>
      <c r="H184" s="1680">
        <f t="shared" si="17"/>
        <v>0</v>
      </c>
      <c r="I184" s="1680">
        <f t="shared" si="17"/>
        <v>0</v>
      </c>
      <c r="J184" s="1680">
        <f t="shared" si="17"/>
        <v>0</v>
      </c>
      <c r="K184" s="1680">
        <f>SUM(K180,K182,K183)</f>
        <v>126149</v>
      </c>
      <c r="L184" s="1680">
        <f>SUM(L180, L182:L183)</f>
        <v>146743</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0</v>
      </c>
      <c r="D210" s="1673">
        <f>SUM(D184,D185)</f>
        <v>0</v>
      </c>
      <c r="E210" s="1673">
        <f>SUM(E184,E185,E196)</f>
        <v>126149</v>
      </c>
      <c r="F210" s="1673">
        <f>SUM(F184,F185)</f>
        <v>0</v>
      </c>
      <c r="G210" s="1673">
        <f>SUM(G184,G185)</f>
        <v>0</v>
      </c>
      <c r="H210" s="1673">
        <f>SUM(H184,H185,H196,H208,H209)</f>
        <v>0</v>
      </c>
      <c r="I210" s="1673">
        <f>SUM(I184,I185)</f>
        <v>0</v>
      </c>
      <c r="J210" s="1673">
        <f>SUM(J184,J185)</f>
        <v>0</v>
      </c>
      <c r="K210" s="1671">
        <f>SUM(K184,K185,K196,K208,K209)</f>
        <v>126149</v>
      </c>
      <c r="L210" s="1673">
        <f>SUM(L184,L185,L196,L208,L209)</f>
        <v>146743</v>
      </c>
    </row>
    <row r="211" spans="1:14" ht="13.5" thickTop="1" x14ac:dyDescent="0.2">
      <c r="A211" s="2261" t="s">
        <v>989</v>
      </c>
      <c r="B211" s="2262"/>
      <c r="C211" s="1674"/>
      <c r="D211" s="1674"/>
      <c r="E211" s="1674"/>
      <c r="F211" s="1674"/>
      <c r="G211" s="1674"/>
      <c r="H211" s="1674"/>
      <c r="I211" s="1672"/>
      <c r="J211" s="1672"/>
      <c r="K211" s="1688">
        <f>'Revenues 9-14'!F268-'Expenditures 15-22'!K210</f>
        <v>33019</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3" t="s">
        <v>959</v>
      </c>
      <c r="B213" s="2284"/>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v>37172</v>
      </c>
      <c r="E215" s="1672"/>
      <c r="F215" s="1672"/>
      <c r="G215" s="1672"/>
      <c r="H215" s="1672"/>
      <c r="I215" s="1672"/>
      <c r="J215" s="1672"/>
      <c r="K215" s="1671">
        <f>D215</f>
        <v>37172</v>
      </c>
      <c r="L215" s="1572">
        <v>36200</v>
      </c>
    </row>
    <row r="216" spans="1:14" x14ac:dyDescent="0.2">
      <c r="A216" s="1273" t="s">
        <v>162</v>
      </c>
      <c r="B216" s="502" t="s">
        <v>961</v>
      </c>
      <c r="C216" s="1672"/>
      <c r="D216" s="1573">
        <v>4390</v>
      </c>
      <c r="E216" s="1672"/>
      <c r="F216" s="1672"/>
      <c r="G216" s="1672"/>
      <c r="H216" s="1672"/>
      <c r="I216" s="1672"/>
      <c r="J216" s="1672"/>
      <c r="K216" s="1671">
        <f t="shared" ref="K216:K228" si="19">D216</f>
        <v>4390</v>
      </c>
      <c r="L216" s="1572">
        <v>2660</v>
      </c>
    </row>
    <row r="217" spans="1:14" x14ac:dyDescent="0.2">
      <c r="A217" s="1273" t="s">
        <v>163</v>
      </c>
      <c r="B217" s="502">
        <v>1200</v>
      </c>
      <c r="C217" s="1672"/>
      <c r="D217" s="1572">
        <v>52202</v>
      </c>
      <c r="E217" s="1672"/>
      <c r="F217" s="1672"/>
      <c r="G217" s="1672"/>
      <c r="H217" s="1672"/>
      <c r="I217" s="1672"/>
      <c r="J217" s="1672"/>
      <c r="K217" s="1671">
        <f t="shared" si="19"/>
        <v>52202</v>
      </c>
      <c r="L217" s="1572">
        <v>64400</v>
      </c>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c r="E219" s="1672"/>
      <c r="F219" s="1672"/>
      <c r="G219" s="1672"/>
      <c r="H219" s="1672"/>
      <c r="I219" s="1672"/>
      <c r="J219" s="1672"/>
      <c r="K219" s="1671">
        <f t="shared" si="19"/>
        <v>0</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v>2137</v>
      </c>
      <c r="E223" s="1672"/>
      <c r="F223" s="1672"/>
      <c r="G223" s="1672"/>
      <c r="H223" s="1672"/>
      <c r="I223" s="1672"/>
      <c r="J223" s="1672"/>
      <c r="K223" s="1671">
        <f t="shared" si="19"/>
        <v>2137</v>
      </c>
      <c r="L223" s="1572"/>
    </row>
    <row r="224" spans="1:14" x14ac:dyDescent="0.2">
      <c r="A224" s="1273" t="s">
        <v>958</v>
      </c>
      <c r="B224" s="502">
        <v>1600</v>
      </c>
      <c r="C224" s="1672"/>
      <c r="D224" s="1572">
        <v>129</v>
      </c>
      <c r="E224" s="1672"/>
      <c r="F224" s="1672"/>
      <c r="G224" s="1672"/>
      <c r="H224" s="1672"/>
      <c r="I224" s="1672"/>
      <c r="J224" s="1672"/>
      <c r="K224" s="1671">
        <f t="shared" si="19"/>
        <v>129</v>
      </c>
      <c r="L224" s="1572">
        <v>170</v>
      </c>
    </row>
    <row r="225" spans="1:12" x14ac:dyDescent="0.2">
      <c r="A225" s="1273" t="s">
        <v>980</v>
      </c>
      <c r="B225" s="502">
        <v>1650</v>
      </c>
      <c r="C225" s="1672"/>
      <c r="D225" s="1572"/>
      <c r="E225" s="1672"/>
      <c r="F225" s="1672"/>
      <c r="G225" s="1672"/>
      <c r="H225" s="1672"/>
      <c r="I225" s="1672"/>
      <c r="J225" s="1672"/>
      <c r="K225" s="1671">
        <f t="shared" si="19"/>
        <v>0</v>
      </c>
      <c r="L225" s="1572"/>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v>1299</v>
      </c>
      <c r="E227" s="1672"/>
      <c r="F227" s="1672"/>
      <c r="G227" s="1672"/>
      <c r="H227" s="1672"/>
      <c r="I227" s="1672"/>
      <c r="J227" s="1672"/>
      <c r="K227" s="1671">
        <f t="shared" si="19"/>
        <v>1299</v>
      </c>
      <c r="L227" s="1572"/>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97329</v>
      </c>
      <c r="E229" s="1672"/>
      <c r="F229" s="1672"/>
      <c r="G229" s="1672"/>
      <c r="H229" s="1672"/>
      <c r="I229" s="1672"/>
      <c r="J229" s="1672"/>
      <c r="K229" s="1673">
        <f>SUM(K215:K228)</f>
        <v>97329</v>
      </c>
      <c r="L229" s="1673">
        <f>SUM(L215:L228)</f>
        <v>103430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v>1373</v>
      </c>
      <c r="E232" s="1672"/>
      <c r="F232" s="1672"/>
      <c r="G232" s="1672"/>
      <c r="H232" s="1672"/>
      <c r="I232" s="1672"/>
      <c r="J232" s="1672"/>
      <c r="K232" s="1671">
        <f t="shared" ref="K232:K237" si="20">D232</f>
        <v>1373</v>
      </c>
      <c r="L232" s="1572">
        <v>1450</v>
      </c>
    </row>
    <row r="233" spans="1:12" x14ac:dyDescent="0.2">
      <c r="A233" s="1273" t="s">
        <v>1081</v>
      </c>
      <c r="B233" s="502">
        <v>2120</v>
      </c>
      <c r="C233" s="1672"/>
      <c r="D233" s="1572"/>
      <c r="E233" s="1672"/>
      <c r="F233" s="1672"/>
      <c r="G233" s="1672"/>
      <c r="H233" s="1672"/>
      <c r="I233" s="1672"/>
      <c r="J233" s="1672"/>
      <c r="K233" s="1671">
        <f t="shared" si="20"/>
        <v>0</v>
      </c>
      <c r="L233" s="1572"/>
    </row>
    <row r="234" spans="1:12" x14ac:dyDescent="0.2">
      <c r="A234" s="1273" t="s">
        <v>196</v>
      </c>
      <c r="B234" s="502">
        <v>2130</v>
      </c>
      <c r="C234" s="1672"/>
      <c r="D234" s="1572">
        <v>7680</v>
      </c>
      <c r="E234" s="1672"/>
      <c r="F234" s="1672"/>
      <c r="G234" s="1672"/>
      <c r="H234" s="1672"/>
      <c r="I234" s="1672"/>
      <c r="J234" s="1672"/>
      <c r="K234" s="1671">
        <f t="shared" si="20"/>
        <v>7680</v>
      </c>
      <c r="L234" s="1572">
        <v>8825</v>
      </c>
    </row>
    <row r="235" spans="1:12" x14ac:dyDescent="0.2">
      <c r="A235" s="1273" t="s">
        <v>197</v>
      </c>
      <c r="B235" s="502">
        <v>2140</v>
      </c>
      <c r="C235" s="1672"/>
      <c r="D235" s="1572"/>
      <c r="E235" s="1672"/>
      <c r="F235" s="1672"/>
      <c r="G235" s="1672"/>
      <c r="H235" s="1672"/>
      <c r="I235" s="1672"/>
      <c r="J235" s="1672"/>
      <c r="K235" s="1671">
        <f t="shared" si="20"/>
        <v>0</v>
      </c>
      <c r="L235" s="1572"/>
    </row>
    <row r="236" spans="1:12" x14ac:dyDescent="0.2">
      <c r="A236" s="1273" t="s">
        <v>198</v>
      </c>
      <c r="B236" s="502">
        <v>2150</v>
      </c>
      <c r="C236" s="1672"/>
      <c r="D236" s="1572">
        <v>1193</v>
      </c>
      <c r="E236" s="1672"/>
      <c r="F236" s="1672"/>
      <c r="G236" s="1672"/>
      <c r="H236" s="1672"/>
      <c r="I236" s="1672"/>
      <c r="J236" s="1672"/>
      <c r="K236" s="1671">
        <f t="shared" si="20"/>
        <v>1193</v>
      </c>
      <c r="L236" s="1572"/>
    </row>
    <row r="237" spans="1:12" x14ac:dyDescent="0.2">
      <c r="A237" s="1273" t="s">
        <v>164</v>
      </c>
      <c r="B237" s="502">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10246</v>
      </c>
      <c r="E238" s="1672"/>
      <c r="F238" s="1672"/>
      <c r="G238" s="1672"/>
      <c r="H238" s="1672"/>
      <c r="I238" s="1672"/>
      <c r="J238" s="1672"/>
      <c r="K238" s="1673">
        <f>SUM(K232:K237)</f>
        <v>10246</v>
      </c>
      <c r="L238" s="1673">
        <f>SUM(L232:L237)</f>
        <v>10275</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c r="E240" s="1672"/>
      <c r="F240" s="1672"/>
      <c r="G240" s="1672"/>
      <c r="H240" s="1672"/>
      <c r="I240" s="1672"/>
      <c r="J240" s="1672"/>
      <c r="K240" s="1677">
        <f>D240</f>
        <v>0</v>
      </c>
      <c r="L240" s="1585"/>
    </row>
    <row r="241" spans="1:12" x14ac:dyDescent="0.2">
      <c r="A241" s="1273" t="s">
        <v>810</v>
      </c>
      <c r="B241" s="502">
        <v>2220</v>
      </c>
      <c r="C241" s="1672"/>
      <c r="D241" s="1572">
        <v>9661</v>
      </c>
      <c r="E241" s="1672"/>
      <c r="F241" s="1672"/>
      <c r="G241" s="1672"/>
      <c r="H241" s="1672"/>
      <c r="I241" s="1672"/>
      <c r="J241" s="1672"/>
      <c r="K241" s="1677">
        <f>D241</f>
        <v>9661</v>
      </c>
      <c r="L241" s="1572">
        <v>9315</v>
      </c>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9661</v>
      </c>
      <c r="E243" s="1672"/>
      <c r="F243" s="1672"/>
      <c r="G243" s="1672"/>
      <c r="H243" s="1672"/>
      <c r="I243" s="1672"/>
      <c r="J243" s="1672"/>
      <c r="K243" s="1673">
        <f>SUM(K240:K242)</f>
        <v>9661</v>
      </c>
      <c r="L243" s="1673">
        <f>SUM(L240:L242)</f>
        <v>9315</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v>9014</v>
      </c>
      <c r="E245" s="1672"/>
      <c r="F245" s="1672"/>
      <c r="G245" s="1672"/>
      <c r="H245" s="1672"/>
      <c r="I245" s="1672"/>
      <c r="J245" s="1672"/>
      <c r="K245" s="1677">
        <f>D245</f>
        <v>9014</v>
      </c>
      <c r="L245" s="1585">
        <v>160</v>
      </c>
    </row>
    <row r="246" spans="1:12" x14ac:dyDescent="0.2">
      <c r="A246" s="1273" t="s">
        <v>813</v>
      </c>
      <c r="B246" s="502">
        <v>2320</v>
      </c>
      <c r="C246" s="1672"/>
      <c r="D246" s="1572">
        <v>2673</v>
      </c>
      <c r="E246" s="1672"/>
      <c r="F246" s="1672"/>
      <c r="G246" s="1672"/>
      <c r="H246" s="1672"/>
      <c r="I246" s="1672"/>
      <c r="J246" s="1672"/>
      <c r="K246" s="1677">
        <f t="shared" ref="K246:K256" si="21">D246</f>
        <v>2673</v>
      </c>
      <c r="L246" s="1572">
        <v>10900</v>
      </c>
    </row>
    <row r="247" spans="1:12" x14ac:dyDescent="0.2">
      <c r="A247" s="1273" t="s">
        <v>814</v>
      </c>
      <c r="B247" s="502">
        <v>2330</v>
      </c>
      <c r="C247" s="1672"/>
      <c r="D247" s="1572"/>
      <c r="E247" s="1672"/>
      <c r="F247" s="1672"/>
      <c r="G247" s="1672"/>
      <c r="H247" s="1672"/>
      <c r="I247" s="1672"/>
      <c r="J247" s="1672"/>
      <c r="K247" s="1677">
        <f t="shared" si="21"/>
        <v>0</v>
      </c>
      <c r="L247" s="1572"/>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11687</v>
      </c>
      <c r="E257" s="1672"/>
      <c r="F257" s="1672"/>
      <c r="G257" s="1672"/>
      <c r="H257" s="1672"/>
      <c r="I257" s="1672"/>
      <c r="J257" s="1672"/>
      <c r="K257" s="1673">
        <f>SUM(K245:K256)</f>
        <v>11687</v>
      </c>
      <c r="L257" s="1673">
        <f>SUM(L245:L256)</f>
        <v>11060</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8946</v>
      </c>
      <c r="E259" s="1672"/>
      <c r="F259" s="1672"/>
      <c r="G259" s="1672"/>
      <c r="H259" s="1672"/>
      <c r="I259" s="1672"/>
      <c r="J259" s="1672"/>
      <c r="K259" s="1677">
        <f>D259</f>
        <v>8946</v>
      </c>
      <c r="L259" s="1585">
        <v>7275</v>
      </c>
    </row>
    <row r="260" spans="1:14" s="492" customFormat="1" x14ac:dyDescent="0.2">
      <c r="A260" s="1291" t="s">
        <v>1781</v>
      </c>
      <c r="B260" s="511">
        <v>2490</v>
      </c>
      <c r="C260" s="1672"/>
      <c r="D260" s="1572">
        <v>2344</v>
      </c>
      <c r="E260" s="1672"/>
      <c r="F260" s="1672"/>
      <c r="G260" s="1672"/>
      <c r="H260" s="1672"/>
      <c r="I260" s="1672"/>
      <c r="J260" s="1672"/>
      <c r="K260" s="1677">
        <f>D260</f>
        <v>2344</v>
      </c>
      <c r="L260" s="1572">
        <v>2352</v>
      </c>
      <c r="M260" s="204"/>
      <c r="N260" s="204"/>
    </row>
    <row r="261" spans="1:14" ht="12.75" customHeight="1" thickBot="1" x14ac:dyDescent="0.25">
      <c r="A261" s="1393" t="s">
        <v>261</v>
      </c>
      <c r="B261" s="1398" t="s">
        <v>34</v>
      </c>
      <c r="C261" s="1672"/>
      <c r="D261" s="1673">
        <f>SUM(D259:D260)</f>
        <v>11290</v>
      </c>
      <c r="E261" s="1672"/>
      <c r="F261" s="1672"/>
      <c r="G261" s="1672"/>
      <c r="H261" s="1672"/>
      <c r="I261" s="1672"/>
      <c r="J261" s="1672"/>
      <c r="K261" s="1673">
        <f>SUM(K259:K260)</f>
        <v>11290</v>
      </c>
      <c r="L261" s="1673">
        <f>SUM(L259:L260)</f>
        <v>9627</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v>16998</v>
      </c>
      <c r="E264" s="1672"/>
      <c r="F264" s="1672"/>
      <c r="G264" s="1672"/>
      <c r="H264" s="1672"/>
      <c r="I264" s="1672"/>
      <c r="J264" s="1672"/>
      <c r="K264" s="1677">
        <f t="shared" ref="K264:K269" si="22">D264</f>
        <v>16998</v>
      </c>
      <c r="L264" s="1572">
        <v>12000</v>
      </c>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39499</v>
      </c>
      <c r="E266" s="1672"/>
      <c r="F266" s="1672"/>
      <c r="G266" s="1672"/>
      <c r="H266" s="1672"/>
      <c r="I266" s="1672"/>
      <c r="J266" s="1672"/>
      <c r="K266" s="1677">
        <f t="shared" si="22"/>
        <v>39499</v>
      </c>
      <c r="L266" s="1572">
        <v>37300</v>
      </c>
    </row>
    <row r="267" spans="1:14" x14ac:dyDescent="0.2">
      <c r="A267" s="1273" t="s">
        <v>947</v>
      </c>
      <c r="B267" s="502">
        <v>2550</v>
      </c>
      <c r="C267" s="1672"/>
      <c r="D267" s="1572"/>
      <c r="E267" s="1672"/>
      <c r="F267" s="1672"/>
      <c r="G267" s="1672"/>
      <c r="H267" s="1672"/>
      <c r="I267" s="1672"/>
      <c r="J267" s="1672"/>
      <c r="K267" s="1677">
        <f t="shared" si="22"/>
        <v>0</v>
      </c>
      <c r="L267" s="1572"/>
    </row>
    <row r="268" spans="1:14" x14ac:dyDescent="0.2">
      <c r="A268" s="1273" t="s">
        <v>100</v>
      </c>
      <c r="B268" s="502">
        <v>2560</v>
      </c>
      <c r="C268" s="1672"/>
      <c r="D268" s="1572">
        <v>5823</v>
      </c>
      <c r="E268" s="1672"/>
      <c r="F268" s="1672"/>
      <c r="G268" s="1672"/>
      <c r="H268" s="1672"/>
      <c r="I268" s="1672"/>
      <c r="J268" s="1672"/>
      <c r="K268" s="1677">
        <f t="shared" si="22"/>
        <v>5823</v>
      </c>
      <c r="L268" s="1572"/>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62320</v>
      </c>
      <c r="E270" s="1672"/>
      <c r="F270" s="1672"/>
      <c r="G270" s="1672"/>
      <c r="H270" s="1672"/>
      <c r="I270" s="1672"/>
      <c r="J270" s="1672"/>
      <c r="K270" s="1673">
        <f>SUM(K263:K269)</f>
        <v>62320</v>
      </c>
      <c r="L270" s="1673">
        <f>SUM(L263:L269)</f>
        <v>49300</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105204</v>
      </c>
      <c r="E279" s="1672"/>
      <c r="F279" s="1672"/>
      <c r="G279" s="1672"/>
      <c r="H279" s="1672"/>
      <c r="I279" s="1672"/>
      <c r="J279" s="1672"/>
      <c r="K279" s="1680">
        <f>SUM(K238,K243,K257,K261,K270,K277,K278)</f>
        <v>105204</v>
      </c>
      <c r="L279" s="1680">
        <f>SUM(L238,L243,L257,L261,L270,L277,L278)</f>
        <v>89577</v>
      </c>
    </row>
    <row r="280" spans="1:12" ht="15.75" customHeight="1" thickTop="1" thickBot="1" x14ac:dyDescent="0.25">
      <c r="A280" s="1361" t="s">
        <v>870</v>
      </c>
      <c r="B280" s="1350">
        <v>3000</v>
      </c>
      <c r="C280" s="1672"/>
      <c r="D280" s="1650">
        <v>5411</v>
      </c>
      <c r="E280" s="1672"/>
      <c r="F280" s="1672"/>
      <c r="G280" s="1672"/>
      <c r="H280" s="1672"/>
      <c r="I280" s="1672"/>
      <c r="J280" s="1672"/>
      <c r="K280" s="1686">
        <f>D280</f>
        <v>5411</v>
      </c>
      <c r="L280" s="1650">
        <v>11225</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9" t="s">
        <v>502</v>
      </c>
      <c r="B295" s="2280"/>
      <c r="C295" s="1672"/>
      <c r="D295" s="1673">
        <f>SUM(D229,D279,D280,D285)</f>
        <v>207944</v>
      </c>
      <c r="E295" s="1672"/>
      <c r="F295" s="1672"/>
      <c r="G295" s="1672"/>
      <c r="H295" s="1673">
        <f>H293</f>
        <v>0</v>
      </c>
      <c r="I295" s="1672"/>
      <c r="J295" s="1672"/>
      <c r="K295" s="1673">
        <f>SUM(K229,K279,K280,K285,K293,K294)</f>
        <v>207944</v>
      </c>
      <c r="L295" s="1673">
        <f>SUM(L229,L279,L280,L285,L293,L294)</f>
        <v>204232</v>
      </c>
    </row>
    <row r="296" spans="1:14" ht="13.5" thickTop="1" x14ac:dyDescent="0.2">
      <c r="A296" s="2261" t="s">
        <v>989</v>
      </c>
      <c r="B296" s="2262"/>
      <c r="C296" s="1672"/>
      <c r="D296" s="1674"/>
      <c r="E296" s="1672"/>
      <c r="F296" s="1672"/>
      <c r="G296" s="1672"/>
      <c r="H296" s="1706"/>
      <c r="I296" s="1672"/>
      <c r="J296" s="1672"/>
      <c r="K296" s="1688">
        <f>'Revenues 9-14'!G268-'Expenditures 15-22'!K295</f>
        <v>-7895</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71" t="s">
        <v>142</v>
      </c>
      <c r="B298" s="226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c r="F301" s="1572"/>
      <c r="G301" s="1572"/>
      <c r="H301" s="1572"/>
      <c r="I301" s="1573"/>
      <c r="J301" s="1573"/>
      <c r="K301" s="1671">
        <f>SUM(C301:J301)</f>
        <v>0</v>
      </c>
      <c r="L301" s="1573"/>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6" t="s">
        <v>275</v>
      </c>
      <c r="B312" s="2277"/>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8"/>
      <c r="N312" s="538"/>
    </row>
    <row r="313" spans="1:14" ht="13.5" thickTop="1" x14ac:dyDescent="0.2">
      <c r="A313" s="2272" t="s">
        <v>989</v>
      </c>
      <c r="B313" s="2273"/>
      <c r="C313" s="1676"/>
      <c r="D313" s="1676"/>
      <c r="E313" s="1676"/>
      <c r="F313" s="1676"/>
      <c r="G313" s="1676"/>
      <c r="H313" s="1676"/>
      <c r="I313" s="1676"/>
      <c r="J313" s="1676"/>
      <c r="K313" s="1695">
        <f>'Revenues 9-14'!H268-'Expenditures 15-22'!K312</f>
        <v>0</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85" t="s">
        <v>148</v>
      </c>
      <c r="B315" s="2286"/>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87" t="s">
        <v>892</v>
      </c>
      <c r="B317" s="2286"/>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c r="F320" s="1573"/>
      <c r="G320" s="1573"/>
      <c r="H320" s="1573"/>
      <c r="I320" s="1573"/>
      <c r="J320" s="1573"/>
      <c r="K320" s="1671">
        <f t="shared" ref="K320:K327" si="24">SUM(C320:J320)</f>
        <v>0</v>
      </c>
      <c r="L320" s="1573"/>
      <c r="M320" s="538"/>
      <c r="N320" s="538"/>
    </row>
    <row r="321" spans="1:14" s="547" customFormat="1" x14ac:dyDescent="0.2">
      <c r="A321" s="1288" t="s">
        <v>297</v>
      </c>
      <c r="B321" s="566" t="s">
        <v>281</v>
      </c>
      <c r="C321" s="1573"/>
      <c r="D321" s="1573"/>
      <c r="E321" s="1573"/>
      <c r="F321" s="1573"/>
      <c r="G321" s="1573"/>
      <c r="H321" s="1573"/>
      <c r="I321" s="1573"/>
      <c r="J321" s="1573"/>
      <c r="K321" s="1671">
        <f t="shared" si="24"/>
        <v>0</v>
      </c>
      <c r="L321" s="1573"/>
      <c r="M321" s="538"/>
      <c r="N321" s="538"/>
    </row>
    <row r="322" spans="1:14" s="547" customFormat="1" x14ac:dyDescent="0.2">
      <c r="A322" s="1288" t="s">
        <v>236</v>
      </c>
      <c r="B322" s="566" t="s">
        <v>282</v>
      </c>
      <c r="C322" s="1573"/>
      <c r="D322" s="1573"/>
      <c r="E322" s="1573"/>
      <c r="F322" s="1573"/>
      <c r="G322" s="1573"/>
      <c r="H322" s="1573"/>
      <c r="I322" s="1573"/>
      <c r="J322" s="1573"/>
      <c r="K322" s="1671">
        <f t="shared" si="24"/>
        <v>0</v>
      </c>
      <c r="L322" s="1573"/>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74" t="s">
        <v>989</v>
      </c>
      <c r="B343" s="2275"/>
      <c r="C343" s="1672"/>
      <c r="D343" s="1672"/>
      <c r="E343" s="1672"/>
      <c r="F343" s="1672"/>
      <c r="G343" s="1672"/>
      <c r="H343" s="1672"/>
      <c r="I343" s="1672"/>
      <c r="J343" s="1672"/>
      <c r="K343" s="1688">
        <f>'Revenues 9-14'!J268-'Expenditures 15-22'!K342</f>
        <v>0</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64" t="s">
        <v>960</v>
      </c>
      <c r="B345" s="2265"/>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c r="F348" s="1572"/>
      <c r="G348" s="1572"/>
      <c r="H348" s="1572"/>
      <c r="I348" s="1573"/>
      <c r="J348" s="1573"/>
      <c r="K348" s="1671">
        <f>SUM(C348:J348)</f>
        <v>0</v>
      </c>
      <c r="L348" s="1572"/>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1" t="s">
        <v>989</v>
      </c>
      <c r="B368" s="2262"/>
      <c r="C368" s="1693"/>
      <c r="D368" s="1693"/>
      <c r="E368" s="1676"/>
      <c r="F368" s="1676"/>
      <c r="G368" s="1676"/>
      <c r="H368" s="1676"/>
      <c r="I368" s="1676"/>
      <c r="J368" s="1675"/>
      <c r="K368" s="1671">
        <f>'Revenues 9-14'!K268-'Expenditures 15-22'!K367</f>
        <v>32</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microsoft.com/sharepoint/v3"/>
    <ds:schemaRef ds:uri="http://schemas.openxmlformats.org/package/2006/metadata/core-properties"/>
    <ds:schemaRef ds:uri="http://purl.org/dc/elements/1.1/"/>
    <ds:schemaRef ds:uri="http://schemas.microsoft.com/office/infopath/2007/PartnerControls"/>
    <ds:schemaRef ds:uri="4d435f69-8686-490b-bd6d-b153bf22ab50"/>
    <ds:schemaRef ds:uri="d21dc803-237d-4c68-8692-8d731fd29118"/>
    <ds:schemaRef ds:uri="http://purl.org/dc/terms/"/>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2020-11-02T18:13:53Z</cp:lastPrinted>
  <dcterms:created xsi:type="dcterms:W3CDTF">2003-10-29T19:06:34Z</dcterms:created>
  <dcterms:modified xsi:type="dcterms:W3CDTF">2020-11-22T17:20:47Z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140.03</vt:lpwstr>
  </property>
</Properties>
</file>