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76301FD-01E8-4FB3-9A15-2C2140EFF5CE}"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8" i="183"/>
  <c r="F27" i="183"/>
  <c r="F26" i="183"/>
  <c r="F25" i="183"/>
  <c r="F24" i="183"/>
  <c r="F23"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E27" i="183"/>
  <c r="E26" i="183"/>
  <c r="E25" i="183"/>
  <c r="E24" i="183"/>
  <c r="E23" i="183"/>
  <c r="E22" i="183"/>
  <c r="F22" i="183" s="1"/>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15" i="184" l="1"/>
  <c r="B7705" i="106"/>
  <c r="D7705" i="106" s="1"/>
  <c r="E67" i="184"/>
  <c r="N67" i="184" s="1"/>
  <c r="F70" i="34"/>
  <c r="B7696" i="106"/>
  <c r="D7696" i="106" s="1"/>
  <c r="E66" i="184"/>
  <c r="N66" i="184" s="1"/>
  <c r="G33" i="108"/>
  <c r="E17" i="184"/>
  <c r="H17" i="184" s="1"/>
  <c r="B7189" i="106"/>
  <c r="D7189" i="106" s="1"/>
  <c r="E64" i="184"/>
  <c r="N64" i="184" s="1"/>
  <c r="B7126" i="106"/>
  <c r="D7126" i="106" s="1"/>
  <c r="E57" i="184"/>
  <c r="N57" i="184" s="1"/>
  <c r="B7180" i="106"/>
  <c r="D7180" i="106" s="1"/>
  <c r="E63" i="184"/>
  <c r="N63" i="184" s="1"/>
  <c r="B7171" i="106"/>
  <c r="D7171" i="106" s="1"/>
  <c r="E62" i="184"/>
  <c r="N62" i="184" s="1"/>
  <c r="H76" i="4"/>
  <c r="B3298" i="106" s="1"/>
  <c r="D3298" i="106" s="1"/>
  <c r="H342" i="29"/>
  <c r="J129" i="29"/>
  <c r="B7038" i="106" s="1"/>
  <c r="D7038" i="106" s="1"/>
  <c r="C342" i="29"/>
  <c r="B7216" i="106" s="1"/>
  <c r="D7216" i="106" s="1"/>
  <c r="J210" i="29"/>
  <c r="B7072" i="106" s="1"/>
  <c r="D7072" i="106" s="1"/>
  <c r="F77" i="4"/>
  <c r="B3255" i="106" s="1"/>
  <c r="D3255" i="106" s="1"/>
  <c r="I210" i="29"/>
  <c r="B7071" i="106" s="1"/>
  <c r="D7071" i="106" s="1"/>
  <c r="I129" i="29"/>
  <c r="B7037" i="106" s="1"/>
  <c r="D7037" i="106" s="1"/>
  <c r="C352" i="29"/>
  <c r="B3621" i="106" s="1"/>
  <c r="D3621" i="106" s="1"/>
  <c r="H365" i="29"/>
  <c r="B7242" i="106" s="1"/>
  <c r="D7242" i="106" s="1"/>
  <c r="H33" i="118"/>
  <c r="N59" i="184"/>
  <c r="D68" i="36"/>
  <c r="B7198" i="106"/>
  <c r="D7198" i="106" s="1"/>
  <c r="E65" i="184"/>
  <c r="B7162" i="106"/>
  <c r="D7162" i="106" s="1"/>
  <c r="E61" i="184"/>
  <c r="B7153" i="106"/>
  <c r="D7153" i="106" s="1"/>
  <c r="E60" i="184"/>
  <c r="B7135" i="106"/>
  <c r="D7135" i="106" s="1"/>
  <c r="E58" i="184"/>
  <c r="D31" i="108"/>
  <c r="E16" i="184"/>
  <c r="H16" i="184" s="1"/>
  <c r="G30" i="108"/>
  <c r="H12" i="18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367" i="29" l="1"/>
  <c r="B3622" i="106" s="1"/>
  <c r="D3622" i="106" s="1"/>
  <c r="B7220" i="106"/>
  <c r="D7220" i="106" s="1"/>
  <c r="F75" i="34"/>
  <c r="B7886" i="106" s="1"/>
  <c r="D7886" i="106" s="1"/>
  <c r="B7222" i="106"/>
  <c r="D7222" i="106" s="1"/>
  <c r="F76" i="34"/>
  <c r="B7887" i="106" s="1"/>
  <c r="D7887" i="106" s="1"/>
  <c r="K365" i="29"/>
  <c r="H77" i="4"/>
  <c r="B3299" i="106" s="1"/>
  <c r="D3299" i="106" s="1"/>
  <c r="I7" i="4"/>
  <c r="B4444" i="106" s="1"/>
  <c r="D4444" i="106" s="1"/>
  <c r="B5770" i="106"/>
  <c r="D5770" i="106" s="1"/>
  <c r="B6216" i="106"/>
  <c r="D6216" i="106" s="1"/>
  <c r="N23" i="3"/>
  <c r="B284" i="106" s="1"/>
  <c r="D284" i="106" s="1"/>
  <c r="N61" i="184"/>
  <c r="N60" i="184"/>
  <c r="M68" i="184"/>
  <c r="N65" i="184"/>
  <c r="L16" i="11"/>
  <c r="B2061" i="106" s="1"/>
  <c r="D2061" i="106" s="1"/>
  <c r="B2031" i="106"/>
  <c r="D2031" i="106" s="1"/>
  <c r="E367" i="29"/>
  <c r="B3636" i="106" s="1"/>
  <c r="D3636" i="106" s="1"/>
  <c r="B3635" i="106"/>
  <c r="K342" i="29"/>
  <c r="F13" i="34" s="1"/>
  <c r="N58" i="184"/>
  <c r="E68" i="184"/>
  <c r="F41" i="108"/>
  <c r="G43" i="108" s="1"/>
  <c r="L114" i="29"/>
  <c r="E19" i="184"/>
  <c r="H19" i="184"/>
  <c r="L20" i="184"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N68" i="184" l="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3" i="106"/>
  <c r="D6223" i="106" s="1"/>
  <c r="J19" i="4"/>
  <c r="B6229" i="106" s="1"/>
  <c r="D6229" i="106" s="1"/>
  <c r="F8" i="4"/>
  <c r="F10" i="4" s="1"/>
  <c r="B4125" i="106" s="1"/>
  <c r="D4125" i="106" s="1"/>
  <c r="K17" i="4"/>
  <c r="K19" i="4" s="1"/>
  <c r="B4144" i="106" s="1"/>
  <c r="D4144"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78" i="4"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<sst xmlns="http://schemas.openxmlformats.org/spreadsheetml/2006/main" count="5190" uniqueCount="2101">
  <si>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</si>
  <si>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</si>
  <si>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</si>
  <si>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</si>
  <si>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</si>
  <si>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</si>
  <si>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</si>
  <si>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</si>
  <si>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</si>
  <si>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</si>
  <si>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</si>
  <si>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</si>
  <si>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</si>
  <si>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</si>
  <si>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</si>
  <si>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</si>
  <si>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</si>
  <si>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</si>
  <si>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</si>
  <si>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</si>
  <si>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</si>
  <si>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</si>
  <si>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</si>
  <si>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</si>
  <si>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</si>
  <si>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</si>
  <si>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</si>
  <si>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</si>
  <si>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</si>
  <si>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</si>
  <si>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</si>
  <si>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</si>
  <si>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</si>
  <si>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</si>
  <si>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</si>
  <si>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</si>
  <si>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</si>
  <si>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</si>
  <si>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</si>
  <si>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</si>
  <si>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</si>
  <si>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</si>
  <si>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</si>
  <si>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</si>
  <si>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</si>
  <si>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</si>
  <si>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</si>
  <si>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</si>
  <si>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</si>
  <si>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</si>
  <si>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</si>
  <si>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</si>
  <si>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</si>
  <si>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</si>
  <si>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</si>
  <si>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</si>
  <si>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</si>
  <si>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</si>
  <si>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</si>
  <si>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</si>
  <si>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</si>
  <si>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</si>
  <si>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</si>
  <si>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</si>
  <si>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</si>
  <si>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</si>
  <si>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</si>
  <si>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</si>
  <si>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</si>
  <si>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</si>
  <si>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</si>
  <si>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</si>
  <si>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</si>
  <si>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</si>
  <si>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</si>
  <si>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</si>
  <si>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</si>
  <si>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</si>
  <si>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</si>
  <si>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</si>
  <si>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</si>
  <si>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</si>
  <si>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</si>
  <si>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</si>
  <si>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</si>
  <si>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</si>
  <si>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</si>
  <si>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</si>
  <si>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</si>
  <si>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</si>
  <si>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</si>
  <si>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</si>
  <si>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</si>
  <si>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</si>
  <si>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</si>
  <si>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</si>
  <si>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</si>
  <si>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</si>
  <si>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</si>
  <si>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</si>
  <si>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</si>
  <si>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</si>
  <si>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</si>
  <si>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</si>
  <si>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</si>
  <si>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</si>
  <si>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</si>
  <si>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</si>
  <si>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</si>
  <si>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</si>
  <si>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</si>
  <si>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</si>
  <si>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</si>
  <si>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</si>
  <si>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</si>
  <si>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</si>
  <si>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</si>
  <si>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</si>
  <si>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</si>
  <si>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</si>
  <si>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</si>
  <si>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</si>
  <si>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</si>
  <si>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</si>
  <si>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</si>
  <si>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</si>
  <si>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</si>
  <si>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</si>
  <si>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</si>
  <si>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</si>
  <si>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</si>
  <si>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</si>
  <si>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</si>
  <si>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</si>
  <si>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</si>
  <si>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</si>
  <si>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</si>
  <si>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</si>
  <si>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</si>
  <si>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</si>
  <si>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</si>
  <si>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</si>
  <si>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</si>
  <si>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</si>
  <si>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</si>
  <si>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</si>
  <si>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</si>
  <si>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</si>
  <si>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</si>
  <si>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</si>
  <si>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</si>
  <si>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</si>
  <si>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</si>
  <si>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</si>
  <si>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</si>
  <si>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</si>
  <si>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</si>
  <si>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</si>
  <si>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</si>
  <si>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</si>
  <si>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</si>
  <si>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</si>
  <si>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</si>
  <si>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</si>
  <si>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</si>
  <si>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</si>
  <si>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</si>
  <si>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</si>
  <si>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</si>
  <si>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</si>
  <si>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</si>
  <si>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</si>
  <si>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</si>
  <si>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</si>
  <si>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</si>
  <si>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</si>
  <si>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</si>
  <si>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</si>
  <si>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</si>
  <si>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</si>
  <si>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</si>
  <si>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</si>
  <si>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</si>
  <si>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</si>
  <si>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</si>
  <si>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</si>
  <si>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</si>
  <si>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</si>
  <si>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</si>
  <si>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</si>
  <si>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</si>
  <si>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</si>
  <si>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</si>
  <si>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</si>
  <si>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</si>
  <si>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</si>
  <si>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</si>
  <si>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</si>
  <si>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</si>
  <si>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</si>
  <si>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</si>
  <si>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</si>
  <si>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</si>
  <si>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</si>
  <si>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</si>
  <si>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</si>
  <si>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</si>
  <si>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</si>
  <si>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</si>
  <si>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</si>
  <si>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</si>
  <si>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</si>
  <si>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</si>
  <si>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</si>
  <si>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</si>
  <si>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</si>
  <si>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</si>
  <si>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</si>
  <si>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</si>
  <si>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</si>
  <si>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</si>
  <si>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</si>
  <si>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</si>
  <si>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</si>
  <si>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</si>
  <si>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</si>
  <si>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</si>
  <si>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</si>
  <si>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</si>
  <si>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</si>
  <si>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</si>
  <si>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</si>
  <si>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</si>
  <si>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</si>
  <si>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</si>
  <si>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</si>
  <si>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</si>
  <si>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</si>
  <si>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</si>
  <si>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</si>
  <si>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</si>
  <si>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</si>
  <si>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</si>
  <si>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</si>
  <si>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</si>
  <si>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</si>
  <si>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</si>
  <si>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</si>
  <si>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</si>
  <si>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</si>
  <si>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</si>
  <si>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</si>
  <si>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</si>
  <si>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</si>
  <si>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</si>
  <si>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</si>
  <si>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</si>
  <si>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</si>
  <si>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</si>
  <si>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</si>
  <si>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</si>
  <si>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</si>
  <si>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</si>
  <si>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</si>
  <si>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</si>
  <si>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</si>
  <si>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</si>
  <si>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</si>
  <si>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</si>
  <si>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</si>
  <si>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</si>
  <si>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</si>
  <si>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</si>
  <si>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</si>
  <si>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</si>
  <si>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</si>
  <si>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</si>
  <si>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</si>
  <si>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</si>
  <si>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</si>
  <si>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</si>
  <si>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</si>
  <si>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</si>
  <si>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</si>
  <si>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</si>
  <si>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</si>
  <si>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</si>
  <si>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</si>
  <si>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</si>
  <si>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</si>
  <si>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</si>
  <si>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</si>
  <si>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</si>
  <si>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</si>
  <si>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</si>
  <si>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</si>
  <si>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</si>
  <si>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</si>
  <si>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</si>
  <si>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</si>
  <si>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</si>
  <si>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</si>
  <si>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</si>
  <si>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</si>
  <si>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</si>
  <si>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</si>
  <si>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</si>
  <si>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</si>
  <si>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</si>
  <si>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</si>
  <si>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</si>
  <si>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</si>
  <si>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</si>
  <si>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</si>
  <si>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</si>
  <si>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</si>
  <si>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</si>
  <si>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</si>
  <si>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</si>
  <si>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</si>
  <si>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</si>
  <si>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</si>
  <si>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</si>
  <si>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</si>
  <si>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</si>
  <si>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</si>
  <si>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</si>
  <si>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</si>
  <si>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</si>
  <si>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</si>
  <si>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</si>
  <si>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</si>
  <si>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</si>
  <si>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</si>
  <si>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</si>
  <si>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</si>
  <si>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</si>
  <si>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</si>
  <si>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</si>
  <si>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</si>
  <si>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</si>
  <si>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</si>
  <si>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</si>
  <si>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</si>
  <si>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</si>
  <si>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</si>
  <si>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</si>
  <si>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</si>
  <si>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</si>
  <si>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</si>
  <si>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</si>
  <si>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</si>
  <si>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</si>
  <si>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</si>
  <si>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</si>
  <si>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</si>
  <si>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</si>
  <si>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</si>
  <si>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</si>
  <si>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</si>
  <si>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</si>
  <si>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</si>
  <si>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</si>
  <si>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</si>
  <si>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</si>
  <si>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</si>
  <si>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</si>
  <si>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</si>
  <si>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</si>
  <si>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</si>
  <si>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</si>
  <si>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</si>
  <si>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</si>
  <si>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</si>
  <si>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</si>
  <si>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</si>
  <si>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</si>
  <si>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</si>
  <si>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</si>
  <si>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</si>
  <si>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</si>
  <si>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</si>
  <si>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</si>
  <si>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</si>
  <si>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</si>
  <si>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</si>
  <si>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</si>
  <si>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</si>
  <si>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</si>
  <si>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</si>
  <si>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</si>
  <si>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</si>
  <si>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</si>
  <si>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</si>
  <si>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</si>
  <si>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</si>
  <si>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</si>
  <si>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</si>
  <si>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</si>
  <si>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</si>
  <si>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</si>
  <si>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</si>
  <si>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</si>
  <si>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</si>
  <si>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</si>
  <si>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</si>
  <si>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</si>
  <si>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</si>
  <si>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</si>
  <si>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</si>
  <si>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</si>
  <si>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</si>
  <si>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</si>
  <si>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</si>
  <si>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</si>
  <si>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</si>
  <si>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</si>
  <si>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</si>
  <si>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</si>
  <si>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</si>
  <si>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</si>
  <si>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</si>
  <si>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</si>
  <si>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</si>
  <si>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</si>
  <si>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</si>
  <si>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</si>
  <si>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</si>
  <si>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</si>
  <si>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</si>
  <si>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</si>
  <si>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</si>
  <si>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</si>
  <si>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</si>
  <si>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</si>
  <si>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</si>
  <si>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</si>
  <si>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</si>
  <si>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</si>
  <si>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</si>
  <si>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</si>
  <si>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</si>
  <si>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</si>
  <si>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</si>
  <si>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</si>
  <si>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</si>
  <si>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</si>
  <si>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</si>
  <si>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</si>
  <si>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</si>
  <si>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</si>
  <si>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</si>
  <si>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</si>
  <si>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</si>
  <si>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</si>
  <si>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</si>
  <si>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</si>
  <si>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</si>
  <si>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</si>
  <si>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</si>
  <si>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</si>
  <si>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</si>
  <si>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</si>
  <si>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</si>
  <si>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</si>
  <si>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</si>
  <si>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</si>
  <si>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</si>
  <si>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</si>
  <si>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</si>
  <si>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</si>
  <si>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</si>
  <si>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</si>
  <si>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</si>
  <si>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</si>
  <si>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</si>
  <si>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</si>
  <si>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</si>
  <si>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</si>
  <si>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</si>
  <si>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</si>
  <si>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</si>
  <si>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</si>
  <si>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</si>
  <si>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</si>
  <si>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</si>
  <si>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</si>
  <si>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</si>
  <si>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</si>
  <si>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</si>
  <si>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</si>
  <si>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</si>
  <si>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</si>
  <si>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</si>
  <si>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</si>
  <si>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</si>
  <si>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</si>
  <si>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</si>
  <si>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</si>
  <si>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</si>
  <si>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</si>
  <si>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</si>
  <si>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</si>
  <si>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</si>
  <si>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</si>
  <si>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</si>
  <si>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</si>
  <si>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</si>
  <si>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</si>
  <si>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</si>
  <si>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</si>
  <si>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</si>
  <si>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</si>
  <si>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</si>
  <si>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</si>
  <si>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</si>
  <si>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</si>
  <si>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</si>
  <si>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</si>
  <si>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</si>
  <si>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</si>
  <si>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</si>
  <si>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</si>
  <si>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</si>
  <si>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</si>
  <si>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</si>
  <si>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</si>
  <si>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</si>
  <si>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</si>
  <si>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</si>
  <si>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</si>
  <si>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</si>
  <si>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</si>
  <si>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</si>
  <si>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</si>
  <si>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</si>
  <si>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</si>
  <si>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</si>
  <si>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</si>
  <si>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</si>
  <si>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</si>
  <si>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</si>
  <si>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</si>
  <si>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</si>
  <si>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</si>
  <si>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</si>
  <si>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</si>
  <si>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</si>
  <si>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</si>
  <si>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</si>
  <si>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</si>
  <si>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</si>
  <si>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</si>
  <si>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</si>
  <si>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</si>
  <si>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</si>
  <si>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</si>
  <si>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</si>
  <si>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</si>
  <si>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</si>
  <si>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</si>
  <si>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</si>
  <si>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</si>
  <si>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</si>
  <si>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</si>
  <si>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</si>
  <si>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</si>
  <si>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</si>
  <si>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</si>
  <si>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</si>
  <si>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</si>
  <si>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</si>
  <si>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</si>
  <si>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</si>
  <si>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</si>
  <si>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</si>
  <si>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</si>
  <si>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</si>
  <si>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</si>
  <si>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</si>
  <si>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</si>
  <si>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</si>
  <si>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</si>
  <si>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</si>
  <si>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</si>
  <si>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</si>
  <si>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</si>
  <si>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</si>
  <si>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</si>
  <si>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</si>
  <si>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</si>
  <si>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</si>
  <si>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</si>
  <si>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</si>
  <si>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</si>
  <si>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</si>
  <si>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</si>
  <si>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</si>
  <si>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</si>
  <si>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</si>
  <si>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</si>
  <si>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</si>
  <si>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</si>
  <si>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</si>
  <si>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</si>
  <si>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</si>
  <si>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</si>
  <si>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</si>
  <si>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</si>
  <si>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</si>
  <si>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</si>
  <si>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</si>
  <si>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</si>
  <si>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</si>
  <si>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</si>
  <si>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</si>
  <si>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</si>
  <si>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</si>
  <si>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</si>
  <si>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</si>
  <si>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</si>
  <si>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</si>
  <si>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</si>
  <si>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</si>
  <si>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</si>
  <si>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</si>
  <si>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</si>
  <si>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</si>
  <si>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</si>
  <si>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</si>
  <si>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</si>
  <si>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</si>
  <si>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</si>
  <si>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</si>
  <si>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</si>
  <si>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</si>
  <si>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</si>
  <si>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</si>
  <si>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</si>
  <si>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</si>
  <si>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</si>
  <si>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</si>
  <si>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</si>
  <si>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</si>
  <si>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</si>
  <si>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</si>
  <si>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</si>
  <si>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</si>
  <si>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</si>
  <si>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</si>
  <si>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</si>
  <si>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</si>
  <si>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</si>
  <si>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</si>
  <si>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</si>
  <si>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</si>
  <si>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</si>
  <si>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</si>
  <si>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</si>
  <si>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</si>
  <si>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</si>
  <si>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</si>
  <si>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</si>
  <si>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</si>
  <si>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</si>
  <si>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</si>
  <si>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</si>
  <si>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</si>
  <si>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</si>
  <si>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</si>
  <si>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</si>
  <si>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</si>
  <si>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</si>
  <si>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</si>
  <si>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</si>
  <si>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</si>
  <si>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</si>
  <si>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</si>
  <si>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</si>
  <si>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</si>
  <si>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</si>
  <si>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</si>
  <si>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</si>
  <si>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</si>
  <si>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</si>
  <si>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</si>
  <si>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</si>
  <si>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</si>
  <si>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</si>
  <si>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</si>
  <si>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</si>
  <si>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</si>
  <si>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</si>
  <si>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</si>
  <si>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</si>
  <si>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</si>
  <si>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</si>
  <si>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</si>
  <si>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</si>
  <si>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</si>
  <si>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</si>
  <si>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</si>
  <si>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</si>
  <si>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</si>
  <si>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</si>
  <si>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</si>
  <si>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</si>
  <si>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</si>
  <si>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</si>
  <si>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</si>
  <si>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</si>
  <si>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</si>
  <si>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</si>
  <si>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</si>
  <si>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</si>
  <si>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</si>
  <si>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</si>
  <si>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</si>
  <si>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</si>
  <si>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</si>
  <si>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</si>
  <si>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</si>
  <si>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</si>
  <si>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</si>
  <si>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</si>
  <si>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</si>
  <si>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</si>
  <si>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</si>
  <si>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</si>
  <si>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</si>
  <si>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</si>
  <si>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</si>
  <si>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</si>
  <si>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</si>
  <si>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</si>
  <si>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</si>
  <si>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</si>
  <si>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</si>
  <si>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</si>
  <si>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</si>
  <si>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</si>
  <si>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</si>
  <si>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</si>
  <si>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</si>
  <si>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</si>
  <si>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</si>
  <si>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</si>
  <si>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</si>
  <si>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</si>
  <si>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</si>
  <si>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</si>
  <si>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</si>
  <si>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</si>
  <si>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</si>
  <si>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</si>
  <si>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</si>
  <si>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</si>
  <si>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</si>
  <si>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</si>
  <si>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</si>
  <si>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</si>
  <si>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</si>
  <si>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</si>
  <si>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</si>
  <si>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</si>
  <si>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</si>
  <si>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</si>
  <si>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</si>
  <si>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</si>
  <si>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</si>
  <si>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</si>
  <si>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</si>
  <si>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</si>
  <si>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</si>
  <si>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</si>
  <si>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</si>
  <si>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</si>
  <si>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</si>
  <si>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</si>
  <si>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</si>
  <si>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</si>
  <si>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</si>
  <si>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</si>
  <si>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</si>
  <si>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</si>
  <si>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</si>
  <si>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</si>
  <si>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</si>
  <si>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</si>
  <si>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</si>
  <si>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</si>
  <si>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</si>
  <si>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</si>
  <si>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</si>
  <si>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</si>
  <si>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</si>
  <si>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</si>
  <si>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</si>
  <si>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</si>
  <si>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</si>
  <si>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</si>
  <si>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</si>
  <si>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</si>
  <si>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</si>
  <si>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</si>
  <si>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</si>
  <si>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</si>
  <si>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</si>
  <si>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</si>
  <si>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</si>
  <si>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</si>
  <si>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</si>
  <si>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</si>
  <si>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</si>
  <si>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</si>
  <si>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</si>
  <si>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</si>
  <si>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</si>
  <si>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</si>
  <si>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</si>
  <si>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</si>
  <si>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</si>
  <si>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</si>
  <si>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</si>
  <si>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</si>
  <si>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</si>
  <si>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</si>
  <si>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</si>
  <si>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</si>
  <si>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</si>
  <si>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</si>
  <si>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</si>
  <si>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</si>
  <si>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</si>
  <si>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</si>
  <si>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</si>
  <si>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</si>
  <si>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</si>
  <si>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</si>
  <si>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</si>
  <si>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</si>
  <si>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</si>
  <si>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</si>
  <si>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</si>
  <si>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</si>
  <si>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</si>
  <si>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</si>
  <si>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</si>
  <si>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</si>
  <si>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</si>
  <si>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</si>
  <si>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</si>
  <si>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</si>
  <si>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</si>
  <si>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</si>
  <si>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</si>
  <si>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</si>
  <si>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</si>
  <si>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</si>
  <si>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</si>
  <si>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</si>
  <si>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</si>
  <si>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</si>
  <si>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</si>
  <si>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</si>
  <si>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</si>
  <si>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</si>
  <si>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</si>
  <si>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</si>
  <si>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</si>
  <si>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</si>
  <si>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</si>
  <si>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</si>
  <si>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</si>
  <si>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</si>
  <si>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</si>
  <si>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</si>
  <si>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</si>
  <si>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</si>
  <si>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</si>
  <si>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</si>
  <si>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</si>
  <si>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</si>
  <si>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</si>
  <si>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</si>
  <si>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</si>
  <si>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</si>
  <si>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</si>
  <si>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</si>
  <si>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</si>
  <si>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</si>
  <si>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</si>
  <si>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</si>
  <si>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</si>
  <si>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</si>
  <si>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</si>
  <si>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</si>
  <si>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</si>
  <si>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</si>
  <si>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</si>
  <si>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</si>
  <si>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</si>
  <si>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</si>
  <si>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</si>
  <si>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</si>
  <si>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</si>
  <si>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</si>
  <si>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</si>
  <si>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</si>
  <si>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</si>
  <si>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</si>
  <si>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</si>
  <si>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</si>
  <si>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</si>
  <si>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</si>
  <si>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</si>
  <si>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</si>
  <si>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</si>
  <si>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</si>
  <si>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</si>
  <si>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</si>
  <si>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</si>
  <si>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</si>
  <si>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</si>
  <si>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</si>
  <si>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</si>
  <si>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</si>
  <si>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</si>
  <si>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</si>
  <si>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</si>
  <si>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</si>
  <si>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</si>
  <si>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</si>
  <si>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</si>
  <si>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</si>
  <si>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</si>
  <si>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</si>
  <si>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</si>
  <si>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</si>
  <si>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</si>
  <si>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</si>
  <si>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</si>
  <si>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</si>
  <si>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</si>
  <si>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</si>
  <si>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</si>
  <si>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</si>
  <si>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</si>
  <si>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</si>
  <si>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</si>
  <si>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</si>
  <si>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</si>
  <si>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</si>
  <si>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</si>
  <si>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</si>
  <si>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</si>
  <si>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</si>
  <si>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</si>
  <si>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</si>
  <si>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</si>
  <si>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</si>
  <si>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</si>
  <si>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</si>
  <si>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</si>
  <si>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</si>
  <si>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</si>
  <si>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</si>
  <si>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</si>
  <si>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</si>
  <si>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</si>
  <si>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</si>
  <si>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</si>
  <si>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</si>
  <si>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</si>
  <si>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</si>
  <si>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</si>
  <si>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</si>
  <si>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</si>
  <si>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</si>
  <si>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</si>
  <si>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</si>
  <si>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</si>
  <si>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</si>
  <si>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</si>
  <si>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</si>
  <si>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</si>
  <si>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</si>
  <si>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</si>
  <si>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</si>
  <si>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</si>
  <si>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</si>
  <si>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</si>
  <si>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</si>
  <si>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</si>
  <si>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</si>
  <si>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</si>
  <si>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</si>
  <si>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</si>
  <si>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</si>
  <si>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</si>
  <si>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</si>
  <si>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</si>
  <si>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</si>
  <si>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</si>
  <si>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</si>
  <si>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</si>
  <si>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</si>
  <si>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</si>
  <si>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</si>
  <si>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</si>
  <si>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</si>
  <si>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</si>
  <si>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</si>
  <si>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</si>
  <si>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</si>
  <si>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</si>
  <si>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</si>
  <si>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</si>
  <si>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</si>
  <si>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</si>
  <si>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</si>
  <si>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</si>
  <si>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</si>
  <si>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</si>
  <si>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</si>
  <si>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</si>
  <si>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</si>
  <si>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</si>
  <si>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</si>
  <si>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</si>
  <si>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</si>
  <si>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</si>
  <si>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</si>
  <si>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</si>
  <si>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</si>
  <si>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</si>
  <si>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</si>
  <si>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</si>
  <si>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</si>
  <si>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</si>
  <si>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</si>
  <si>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</si>
  <si>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</si>
  <si>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</si>
  <si>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</si>
  <si>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</si>
  <si>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</si>
  <si>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</si>
  <si>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</si>
  <si>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</si>
  <si>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</si>
  <si>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</si>
  <si>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</si>
  <si>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</si>
  <si>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</si>
  <si>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</si>
  <si>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</si>
  <si>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</si>
  <si>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</si>
  <si>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</si>
  <si>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</si>
  <si>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</si>
  <si>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</si>
  <si>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</si>
  <si>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</si>
  <si>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</si>
  <si>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</si>
  <si>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</si>
  <si>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</si>
  <si>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</si>
  <si>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</si>
  <si>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</si>
  <si>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</si>
  <si>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</si>
  <si>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</si>
  <si>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</si>
  <si>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</si>
  <si>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</si>
  <si>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</si>
  <si>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</si>
  <si>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</si>
  <si>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</si>
  <si>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</si>
  <si>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</si>
  <si>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</si>
  <si>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</si>
  <si>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</si>
  <si>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</si>
  <si>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</si>
  <si>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</si>
  <si>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</si>
  <si>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</si>
  <si>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</si>
  <si>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</si>
  <si>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</si>
  <si>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</si>
  <si>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</si>
  <si>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</si>
  <si>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</si>
  <si>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</si>
  <si>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</si>
  <si>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</si>
  <si>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</si>
  <si>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</si>
  <si>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</si>
  <si>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</si>
  <si>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</si>
  <si>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</si>
  <si>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</si>
  <si>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</si>
  <si>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</si>
  <si>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</si>
  <si>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</si>
  <si>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</si>
  <si>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</si>
  <si>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</si>
  <si>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</si>
  <si>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</si>
  <si>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</si>
  <si>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</si>
  <si>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</si>
  <si>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</si>
  <si>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</si>
  <si>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</si>
  <si>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</si>
  <si>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</si>
  <si>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</si>
  <si>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</si>
  <si>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</si>
  <si>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</si>
  <si>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</si>
  <si>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</si>
  <si>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</si>
  <si>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</si>
  <si>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</si>
  <si>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</si>
  <si>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</si>
  <si>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</si>
  <si>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</si>
  <si>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</si>
  <si>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</si>
  <si>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</si>
  <si>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</si>
  <si>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</si>
  <si>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</si>
  <si>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</si>
  <si>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</si>
  <si>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</si>
  <si>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</si>
  <si>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</si>
  <si>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</si>
  <si>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</si>
  <si>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</si>
  <si>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</si>
  <si>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</si>
  <si>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</si>
  <si>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</si>
  <si>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</si>
  <si>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</si>
  <si>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</si>
  <si>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</si>
  <si>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</si>
  <si>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</si>
  <si>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</si>
  <si>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</si>
  <si>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</si>
  <si>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</si>
  <si>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</si>
  <si>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</si>
  <si>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</si>
  <si>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</si>
  <si>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</si>
  <si>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</si>
  <si>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</si>
  <si>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</si>
  <si>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</si>
  <si>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</si>
  <si>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</si>
  <si>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</si>
  <si>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</si>
  <si>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</si>
  <si>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</si>
  <si>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</si>
  <si>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</si>
  <si>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</si>
  <si>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</si>
  <si>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</si>
  <si>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</si>
  <si>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</si>
  <si>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</si>
  <si>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</si>
  <si>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</si>
  <si>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</si>
  <si>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</si>
  <si>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</si>
  <si>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</si>
  <si>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</si>
  <si>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</si>
  <si>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</si>
  <si>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</si>
  <si>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</si>
  <si>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</si>
  <si>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</si>
  <si>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</si>
  <si>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</si>
  <si>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</si>
  <si>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</si>
  <si>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</si>
  <si>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</si>
  <si>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</si>
  <si>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</si>
  <si>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</si>
  <si>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</si>
  <si>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</si>
  <si>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</si>
  <si>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</si>
  <si>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</si>
  <si>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</si>
  <si>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</si>
  <si>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</si>
  <si>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</si>
  <si>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</si>
  <si>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</si>
  <si>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</si>
  <si>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</si>
  <si>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</si>
  <si>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</si>
  <si>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</si>
  <si>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</si>
  <si>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</si>
  <si>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</si>
  <si>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</si>
  <si>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</si>
  <si>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</si>
  <si>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</si>
  <si>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</si>
  <si>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</si>
  <si>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</si>
  <si>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</si>
  <si>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</si>
  <si>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</si>
  <si>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</si>
  <si>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</si>
  <si>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</si>
  <si>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</si>
  <si>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</si>
  <si>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</si>
  <si>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</si>
  <si>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</si>
  <si>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</si>
  <si>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</si>
  <si>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</si>
  <si>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</si>
  <si>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</si>
  <si>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</si>
  <si>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</si>
  <si>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</si>
  <si>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</si>
  <si>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</si>
  <si>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</si>
  <si>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</si>
  <si>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</si>
  <si>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</si>
  <si>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</si>
  <si>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</si>
  <si>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</si>
  <si>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</si>
  <si>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</si>
  <si>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</si>
  <si>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</si>
  <si>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</si>
  <si>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</si>
  <si>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</si>
  <si>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</si>
  <si>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</si>
  <si>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</si>
  <si>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</si>
  <si>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</si>
  <si>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</si>
  <si>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</si>
  <si>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</si>
  <si>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</si>
  <si>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</si>
  <si>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</si>
  <si>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</si>
  <si>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</si>
  <si>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</si>
  <si>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</si>
  <si>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</si>
  <si>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</si>
  <si>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</si>
  <si>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</si>
  <si>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</si>
  <si>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</si>
  <si>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</si>
  <si>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</si>
  <si>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</si>
  <si>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</si>
  <si>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</si>
  <si>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</si>
  <si>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</si>
  <si>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</si>
  <si>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</si>
  <si>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</si>
  <si>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</si>
  <si>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</si>
  <si>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</si>
  <si>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</si>
  <si>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</si>
  <si>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</si>
  <si>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</si>
  <si>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</si>
  <si>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</si>
  <si>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</si>
  <si>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</si>
  <si>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</si>
  <si>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</si>
  <si>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</si>
  <si>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</si>
  <si>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</si>
  <si>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</si>
  <si>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</si>
  <si>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</si>
  <si>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</si>
  <si>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</si>
  <si>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</si>
  <si>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</si>
  <si>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</si>
  <si>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</si>
  <si>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</si>
  <si>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</si>
  <si>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</si>
  <si>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</si>
  <si>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</si>
  <si>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</si>
  <si>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</si>
  <si>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</si>
  <si>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</si>
  <si>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</si>
  <si>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</si>
  <si>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</si>
  <si>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</si>
  <si>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</si>
  <si>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</si>
  <si>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</si>
  <si>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</si>
  <si>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</si>
  <si>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</si>
  <si>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</si>
  <si>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</si>
  <si>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</si>
  <si>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</si>
  <si>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</si>
  <si>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</si>
  <si>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</si>
  <si>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</si>
  <si>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</si>
  <si>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</si>
  <si>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</si>
  <si>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</si>
  <si>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</si>
  <si>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</si>
  <si>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</si>
  <si>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</si>
  <si>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</si>
  <si>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</si>
  <si>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</si>
  <si>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</si>
  <si>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</si>
  <si>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</si>
  <si>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</si>
  <si>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</si>
  <si>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</si>
  <si>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</si>
  <si>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</si>
  <si>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</si>
  <si>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</si>
  <si>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</si>
  <si>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</si>
  <si>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</si>
  <si>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</si>
  <si>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</si>
  <si>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</si>
  <si>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</si>
  <si>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</si>
  <si>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</si>
  <si>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</si>
  <si>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</si>
  <si>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</si>
  <si>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</si>
  <si>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</si>
  <si>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</si>
  <si>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</si>
  <si>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</si>
  <si>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</si>
  <si>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</si>
  <si>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</si>
  <si>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</si>
  <si>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</si>
  <si>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</si>
  <si>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</si>
  <si>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</si>
  <si>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</si>
  <si>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</si>
  <si>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</si>
  <si>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</si>
  <si>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</si>
  <si>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</si>
  <si>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</si>
  <si>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</si>
  <si>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</si>
  <si>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</si>
  <si>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</si>
  <si>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</si>
  <si>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</si>
  <si>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</si>
  <si>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</si>
  <si>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</si>
  <si>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</si>
  <si>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</si>
  <si>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</si>
  <si>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</si>
  <si>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</si>
  <si>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</si>
  <si>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</si>
  <si>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</si>
  <si>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</si>
  <si>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</si>
  <si>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</si>
  <si>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</si>
  <si>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</si>
  <si>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</si>
  <si>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</si>
  <si>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</si>
  <si>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</si>
  <si>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</si>
  <si>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</si>
  <si>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</si>
  <si>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</si>
  <si>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</si>
  <si>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</si>
  <si>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</si>
  <si>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</si>
  <si>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</si>
  <si>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</si>
  <si>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</si>
  <si>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</si>
  <si>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</si>
  <si>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</si>
  <si>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</si>
  <si>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</si>
  <si>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</si>
  <si>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</si>
  <si>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</si>
  <si>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</si>
  <si>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</si>
  <si>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</si>
  <si>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</si>
  <si>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</si>
  <si>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</si>
  <si>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</si>
  <si>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</si>
  <si>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</si>
  <si>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</si>
  <si>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</si>
  <si>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</si>
  <si>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</si>
  <si>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</si>
  <si>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</si>
  <si>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</si>
  <si>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</si>
  <si>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</si>
  <si>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</si>
  <si>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</si>
  <si>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</si>
  <si>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</si>
  <si>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</si>
  <si>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</si>
  <si>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</si>
  <si>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</si>
  <si>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</si>
  <si>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</si>
  <si>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</si>
  <si>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</si>
  <si>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</si>
  <si>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</si>
  <si>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</si>
  <si>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</si>
  <si>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</si>
  <si>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</si>
  <si>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</si>
  <si>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</si>
  <si>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</si>
  <si>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</si>
  <si>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</si>
  <si>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</si>
  <si>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</si>
  <si>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</si>
  <si>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</si>
  <si>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</si>
  <si>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</si>
  <si>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</si>
  <si>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</si>
  <si>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</si>
  <si>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</si>
  <si>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</si>
  <si>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</si>
  <si>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</si>
  <si>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</si>
  <si>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</si>
  <si>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</si>
  <si>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</si>
  <si>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</si>
  <si>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</si>
  <si>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</si>
  <si>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</si>
  <si>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</si>
  <si>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</si>
  <si>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</si>
  <si>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</si>
  <si>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</si>
  <si>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</si>
  <si>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</si>
  <si>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</si>
  <si>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</si>
  <si>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</si>
  <si>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</si>
  <si>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</si>
  <si>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</si>
  <si>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</si>
  <si>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</si>
  <si>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</si>
  <si>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</si>
  <si>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</si>
  <si>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</si>
  <si>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</si>
  <si>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</si>
  <si>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</si>
  <si>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</si>
  <si>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</si>
  <si>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</si>
  <si>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</si>
  <si>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</si>
  <si>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</si>
  <si>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</si>
  <si>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</si>
  <si>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</si>
  <si>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</si>
  <si>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</si>
  <si>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</si>
  <si>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</si>
  <si>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</si>
  <si>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</si>
  <si>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</si>
  <si>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</si>
  <si>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</si>
  <si>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</si>
  <si>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</si>
  <si>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</si>
  <si>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</si>
  <si>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</si>
  <si>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</si>
  <si>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</si>
  <si>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</si>
  <si>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</si>
  <si>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</si>
  <si>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</si>
  <si>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</si>
  <si>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</si>
  <si>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</si>
  <si>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</si>
  <si>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</si>
  <si>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</si>
  <si>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</si>
  <si>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</si>
  <si>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</si>
  <si>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</si>
  <si>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</si>
  <si>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</si>
  <si>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</si>
  <si>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</si>
  <si>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</si>
  <si>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</si>
  <si>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</si>
  <si>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</si>
  <si>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</si>
  <si>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</si>
  <si>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</si>
  <si>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</si>
  <si>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</si>
  <si>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</si>
  <si>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</si>
  <si>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</si>
  <si>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</si>
  <si>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</si>
  <si>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</si>
  <si>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</si>
  <si>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</si>
  <si>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</si>
  <si>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</si>
  <si>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</si>
  <si>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</si>
  <si>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</si>
  <si>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</si>
  <si>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</si>
  <si>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</si>
  <si>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</si>
  <si>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</si>
  <si>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</si>
  <si>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</si>
  <si>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</si>
  <si>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</si>
  <si>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</si>
  <si>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</si>
  <si>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</si>
  <si>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</si>
  <si>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</si>
  <si>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</si>
  <si>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</si>
  <si>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</si>
  <si>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</si>
  <si>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</si>
  <si>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</si>
  <si>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</si>
  <si>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</si>
  <si>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</si>
  <si>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</si>
  <si>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</si>
  <si>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</si>
  <si>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</si>
  <si>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</si>
  <si>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</si>
  <si>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</si>
  <si>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</si>
  <si>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</si>
  <si>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</si>
  <si>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</si>
  <si>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</si>
  <si>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</si>
  <si>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</si>
  <si>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</si>
  <si>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</si>
  <si>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</si>
  <si>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</si>
  <si>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</si>
  <si>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</si>
  <si>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</si>
  <si>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</si>
  <si>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</si>
  <si>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</si>
  <si>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</si>
  <si>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</si>
  <si>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</si>
  <si>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</si>
  <si>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</si>
  <si>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</si>
  <si>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</si>
  <si>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</si>
  <si>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</si>
  <si>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</si>
  <si>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</si>
  <si>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</si>
  <si>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</si>
  <si>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</si>
  <si>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</si>
  <si>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</si>
  <si>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</si>
  <si>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</si>
  <si>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</si>
  <si>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</si>
  <si>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</si>
  <si>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</si>
  <si>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</si>
  <si>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</si>
  <si>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</si>
  <si>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</si>
  <si>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</si>
  <si>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</si>
  <si>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</si>
  <si>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</si>
  <si>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</si>
  <si>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</si>
  <si>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</si>
  <si>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</si>
  <si>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</si>
  <si>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</si>
  <si>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</si>
  <si>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</si>
  <si>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</si>
  <si>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</si>
  <si>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</si>
  <si>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</si>
  <si>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</si>
  <si>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</si>
  <si>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</si>
  <si>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</si>
  <si>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</si>
  <si>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</si>
  <si>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</si>
  <si>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</si>
  <si>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</si>
  <si>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</si>
  <si>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</si>
  <si>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</si>
  <si>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</si>
  <si>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</si>
  <si>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</si>
  <si>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</si>
  <si>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</si>
  <si>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</si>
  <si>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</si>
  <si>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</si>
  <si>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</si>
  <si>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</si>
  <si>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</si>
  <si>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</si>
  <si>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</si>
  <si>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</si>
  <si>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</si>
  <si>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</si>
  <si>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</si>
  <si>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</si>
  <si>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</si>
  <si>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</si>
  <si>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</si>
  <si>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</si>
  <si>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</si>
  <si>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</si>
  <si>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</si>
  <si>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</si>
  <si>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</si>
  <si>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</si>
  <si>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</si>
  <si>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</si>
  <si>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</si>
  <si>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</si>
  <si>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</si>
  <si>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</si>
  <si>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</si>
  <si>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</si>
  <si>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</si>
  <si>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</si>
  <si>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</si>
  <si>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</si>
  <si>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</si>
  <si>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</si>
  <si>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</si>
  <si>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</si>
  <si>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</si>
  <si>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</si>
  <si>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</si>
  <si>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</si>
  <si>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</si>
  <si>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</si>
  <si>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</si>
  <si>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</si>
  <si>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</si>
  <si>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</si>
  <si>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</si>
  <si>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</si>
  <si>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</si>
  <si>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</si>
  <si>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</si>
  <si>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</si>
  <si>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</si>
  <si>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</si>
  <si>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</si>
  <si>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</si>
  <si>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</si>
  <si>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</si>
  <si>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</si>
  <si>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</si>
  <si>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</si>
  <si>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</si>
  <si>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</si>
  <si>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</si>
  <si>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</si>
  <si>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</si>
  <si>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</si>
  <si>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</si>
  <si>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</si>
  <si>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</si>
  <si>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</si>
  <si>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</si>
  <si>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</si>
  <si>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</si>
  <si>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</si>
  <si>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</si>
  <si>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</si>
  <si>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</si>
  <si>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</si>
  <si>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</si>
  <si>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</si>
  <si>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</si>
  <si>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</si>
  <si>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</si>
  <si>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</si>
  <si>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</si>
  <si>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</si>
  <si>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</si>
  <si>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</si>
  <si>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</si>
  <si>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</si>
  <si>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</si>
  <si>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</si>
  <si>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</si>
  <si>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</si>
  <si>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</si>
  <si>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</si>
  <si>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</si>
  <si>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</si>
  <si>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</si>
  <si>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</si>
  <si>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</si>
  <si>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</si>
  <si>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</si>
  <si>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</si>
  <si>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</si>
  <si>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</si>
  <si>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</si>
  <si>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</si>
  <si>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</si>
  <si>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</si>
  <si>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</si>
  <si>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</si>
  <si>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</si>
  <si>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</si>
  <si>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</si>
  <si>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</si>
  <si>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</si>
  <si>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</si>
  <si>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</si>
  <si>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</si>
  <si>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</si>
  <si>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</si>
  <si>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</si>
  <si>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</si>
  <si>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</si>
  <si>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</si>
  <si>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</si>
  <si>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</si>
  <si>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</si>
  <si>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</si>
  <si>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</si>
  <si>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</si>
  <si>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</si>
  <si>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</si>
  <si>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</si>
  <si>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</si>
  <si>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</si>
  <si>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</si>
  <si>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</si>
  <si>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</si>
  <si>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</si>
  <si>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</si>
  <si>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</si>
  <si>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</si>
  <si>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</si>
  <si>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</si>
  <si>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</si>
  <si>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</si>
  <si>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</si>
  <si>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</si>
  <si>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</si>
  <si>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</si>
  <si>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</si>
  <si>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</si>
  <si>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</si>
  <si>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</si>
  <si>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</si>
  <si>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</si>
  <si>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</si>
  <si>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</si>
  <si>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</si>
  <si>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</si>
  <si>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</si>
  <si>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</si>
  <si>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</si>
  <si>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</si>
  <si>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</si>
  <si>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</si>
  <si>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</si>
  <si>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</si>
  <si>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</si>
  <si>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</si>
  <si>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</si>
  <si>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</si>
  <si>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</si>
  <si>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</si>
  <si>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</si>
  <si>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</si>
  <si>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</si>
  <si>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</si>
  <si>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</si>
  <si>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</si>
  <si>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</si>
  <si>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</si>
  <si>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</si>
  <si>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</si>
  <si>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</si>
  <si>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</si>
  <si>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</si>
  <si>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</si>
  <si>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</si>
  <si>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</si>
  <si>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</si>
  <si>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</si>
  <si>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</si>
  <si>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</si>
  <si>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</si>
  <si>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</si>
  <si>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</si>
  <si>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</si>
  <si>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</si>
  <si>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</si>
  <si>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</si>
  <si>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</si>
  <si>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</si>
  <si>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</si>
  <si>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</si>
  <si>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</si>
  <si>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</si>
  <si>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</si>
  <si>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</si>
  <si>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</si>
  <si>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</si>
  <si>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</si>
  <si>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</si>
  <si>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</si>
  <si>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</si>
  <si>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</si>
  <si>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</si>
  <si>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</si>
  <si>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</si>
  <si>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</si>
  <si>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</si>
  <si>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</si>
  <si>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</si>
  <si>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</si>
  <si>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</si>
  <si>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</si>
  <si>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</si>
  <si>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</si>
  <si>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</si>
  <si>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</si>
  <si>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</si>
  <si>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</si>
  <si>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</si>
  <si>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</si>
  <si>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</si>
  <si>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</si>
  <si>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</si>
  <si>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</si>
  <si>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</si>
  <si>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</si>
  <si>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</si>
  <si>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</si>
  <si>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</si>
  <si>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</si>
  <si>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</si>
  <si>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</si>
  <si>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</si>
  <si>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</si>
  <si>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</si>
  <si>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</si>
  <si>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</si>
  <si>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</si>
  <si>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</si>
  <si>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</si>
  <si>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</si>
  <si>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</si>
  <si>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</si>
  <si>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</si>
  <si>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</si>
  <si>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</si>
  <si>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</si>
  <si>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</si>
  <si>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</si>
  <si>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</si>
  <si>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</si>
  <si>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</si>
  <si>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</si>
  <si>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</si>
  <si>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</si>
  <si>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</si>
  <si>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</si>
  <si>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</si>
  <si>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</si>
  <si>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</si>
  <si>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</si>
  <si>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</si>
  <si>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</si>
  <si>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</si>
  <si>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</si>
  <si>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</si>
  <si>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</si>
  <si>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</si>
  <si>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</si>
  <si>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</si>
  <si>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</si>
  <si>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</si>
  <si>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</si>
  <si>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</si>
  <si>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</si>
  <si>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</si>
  <si>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</si>
  <si>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</si>
  <si>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</si>
  <si>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</si>
  <si>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</si>
  <si>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</si>
  <si>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</si>
  <si>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</si>
  <si>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</si>
  <si>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</si>
  <si>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</si>
  <si>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</si>
  <si>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</si>
  <si>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</si>
  <si>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</si>
  <si>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</si>
  <si>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</si>
  <si>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</si>
  <si>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</si>
  <si>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</si>
  <si>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</si>
  <si>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</si>
  <si>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</si>
  <si>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</si>
  <si>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</si>
  <si>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</si>
  <si>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</si>
  <si>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</si>
  <si>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</si>
  <si>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</si>
  <si>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</si>
  <si>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</si>
  <si>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</si>
  <si>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</si>
  <si>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</si>
  <si>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</si>
  <si>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</si>
  <si>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</si>
  <si>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</si>
  <si>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</si>
  <si>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</si>
  <si>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</si>
  <si>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</si>
  <si>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</si>
  <si>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</si>
  <si>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</si>
  <si>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</si>
  <si>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</si>
  <si>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2400 SOUTH 18TH AVENUE</t>
  </si>
  <si>
    <t>BROADVIEW</t>
  </si>
  <si>
    <t>SBERANEK@LINDOP92.NET</t>
  </si>
  <si>
    <t>PROVISO</t>
  </si>
  <si>
    <t>EVANS, MARSHALL &amp; PEASE, P.C.</t>
  </si>
  <si>
    <t>CHRISTOPHER M. SCALET, CPA</t>
  </si>
  <si>
    <t>1875 HICKS ROAD</t>
  </si>
  <si>
    <t>ROLLING MEADOWS</t>
  </si>
  <si>
    <t>IL</t>
  </si>
  <si>
    <t>847-221-5700</t>
  </si>
  <si>
    <t>547-221-5701</t>
  </si>
  <si>
    <t>066-005340</t>
  </si>
  <si>
    <t>CHRIS@EMPCPA.COM</t>
  </si>
  <si>
    <t>Evans, Marshall &amp; Pease, P.C.</t>
  </si>
  <si>
    <t>2003 General Obligation Bond</t>
  </si>
  <si>
    <t>Capital Leases</t>
  </si>
  <si>
    <t>Various</t>
  </si>
  <si>
    <t>x</t>
  </si>
  <si>
    <t>Proviso Area for Exceptional Children</t>
  </si>
  <si>
    <t>Suburban School Cooperative Insurance Pool &amp; School Employees Loss Fund</t>
  </si>
  <si>
    <t>Educational Benefit Cooperative (EBC)</t>
  </si>
  <si>
    <t>ED-Internal Services-Supplies</t>
  </si>
  <si>
    <t>10-2570-400</t>
  </si>
  <si>
    <t>Canon Financial Services</t>
  </si>
  <si>
    <t>ED-Food Service-Purchase Service</t>
  </si>
  <si>
    <t>10-2560-300</t>
  </si>
  <si>
    <t>Ceres Food Group Inc</t>
  </si>
  <si>
    <t>ED-Support Services Pupil-Purchase Service</t>
  </si>
  <si>
    <t>10-2100-300</t>
  </si>
  <si>
    <t>College Mentoring Experience</t>
  </si>
  <si>
    <t>ED-Support Services Instructional Staff-Purchase Service</t>
  </si>
  <si>
    <t>10-2200-300</t>
  </si>
  <si>
    <t>Connection Consultants Inc</t>
  </si>
  <si>
    <t>Consortium For Educational Change</t>
  </si>
  <si>
    <t>O&amp;M-Plant Services-Supplies</t>
  </si>
  <si>
    <t>20-2540-400</t>
  </si>
  <si>
    <t>Constellation Newenergy-Gas</t>
  </si>
  <si>
    <t>ED-Supprts Serices-Gen Admin-Purchase Service</t>
  </si>
  <si>
    <t>10-2300-300</t>
  </si>
  <si>
    <t>20-2540-300</t>
  </si>
  <si>
    <t>Johnson Controls Fire Protection</t>
  </si>
  <si>
    <t>K12 Data Services</t>
  </si>
  <si>
    <t>Maxim Staffing Solutions</t>
  </si>
  <si>
    <t>Prime Produce, Inc</t>
  </si>
  <si>
    <t>Procare Therapy Inc</t>
  </si>
  <si>
    <t>O&amp;M-Plant Services-Purchase Service</t>
  </si>
  <si>
    <t>Verizon Wireless</t>
  </si>
  <si>
    <t xml:space="preserve"> Lindop SD 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</si>
</sst>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cellStyleXfs>
  <cellXfs count="26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22" applyBorder="1" applyAlignment="1" applyProtection="1">
      <alignment horizontal="left" vertical="top" wrapText="1"/>
      <protection locked="0"/>
    </xf>
    <xf numFmtId="184" fontId="2" fillId="0" borderId="155" xfId="22" applyNumberFormat="1" applyBorder="1" applyAlignment="1" applyProtection="1">
      <alignment horizontal="center" vertical="top"/>
      <protection locked="0"/>
    </xf>
    <xf numFmtId="0" fontId="2" fillId="0" borderId="155" xfId="22" applyBorder="1" applyAlignment="1" applyProtection="1">
      <alignment vertical="top"/>
      <protection locked="0"/>
    </xf>
    <xf numFmtId="38" fontId="2" fillId="0" borderId="155" xfId="22" applyNumberFormat="1" applyBorder="1" applyAlignment="1" applyProtection="1">
      <alignment horizontal="right" vertical="top"/>
      <protection locked="0"/>
    </xf>
    <xf numFmtId="0" fontId="2" fillId="0" borderId="155" xfId="22" applyFont="1" applyBorder="1" applyAlignment="1" applyProtection="1">
      <alignment horizontal="left" vertical="top" wrapText="1"/>
      <protection locked="0"/>
    </xf>
    <xf numFmtId="184" fontId="2" fillId="0" borderId="155" xfId="22" applyNumberFormat="1" applyFont="1" applyBorder="1" applyAlignment="1" applyProtection="1">
      <alignment horizontal="center" vertical="top"/>
      <protection locked="0"/>
    </xf>
    <xf numFmtId="0" fontId="2" fillId="0" borderId="155" xfId="22"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2" xr:uid="{CB6ABF91-09B1-433C-AA74-801FF22A9AB6}"/>
    <cellStyle name="Normal 6" xfId="20" xr:uid="{00000000-0005-0000-0000-00000B000000}"/>
    <cellStyle name="Normal 7" xfId="21" xr:uid="{AB49045D-1B5C-40E4-AF0B-20C3E5891DC2}"/>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485775</xdr:colOff>
          <xdr:row>9</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295275</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295275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41">
        <f>+'AFR20'!E4</f>
        <v>44119</v>
      </c>
      <c r="C1" s="2041"/>
      <c r="D1" s="2042"/>
      <c r="I1" s="2120" t="s">
        <v>402</v>
      </c>
      <c r="J1" s="2121"/>
      <c r="K1" s="2121"/>
      <c r="L1" s="2121"/>
      <c r="M1" s="2121"/>
      <c r="N1" s="2121"/>
      <c r="O1" s="2121"/>
      <c r="P1" s="2121"/>
      <c r="Q1" s="2121"/>
      <c r="R1" s="2121"/>
      <c r="S1" s="2121"/>
    </row>
    <row r="2" spans="1:32" ht="12" customHeight="1" x14ac:dyDescent="0.2">
      <c r="A2" s="1830" t="str">
        <f>"Due to ISBE on "</f>
        <v xml:space="preserve">Due to ISBE on </v>
      </c>
      <c r="B2" s="2043">
        <f>+'AFR20'!F4</f>
        <v>44151</v>
      </c>
      <c r="C2" s="2043"/>
      <c r="D2" s="2044"/>
      <c r="I2" s="2122" t="s">
        <v>2003</v>
      </c>
      <c r="J2" s="2121"/>
      <c r="K2" s="2121"/>
      <c r="L2" s="2121"/>
      <c r="M2" s="2121"/>
      <c r="N2" s="2121"/>
      <c r="O2" s="2121"/>
      <c r="P2" s="2121"/>
      <c r="Q2" s="2121"/>
      <c r="R2" s="2121"/>
      <c r="S2" s="2121"/>
    </row>
    <row r="3" spans="1:32" ht="12" customHeight="1" x14ac:dyDescent="0.2">
      <c r="A3" s="1833" t="str">
        <f>"SD/JA"&amp;MID('AFR20'!E2,3,2)</f>
        <v>SD/JA20</v>
      </c>
      <c r="B3" s="150"/>
      <c r="C3" s="150"/>
      <c r="D3" s="151"/>
      <c r="I3" s="2122" t="s">
        <v>52</v>
      </c>
      <c r="J3" s="2121"/>
      <c r="K3" s="2121"/>
      <c r="L3" s="2121"/>
      <c r="M3" s="2121"/>
      <c r="N3" s="2121"/>
      <c r="O3" s="2121"/>
      <c r="P3" s="2121"/>
      <c r="Q3" s="2121"/>
      <c r="R3" s="2121"/>
      <c r="S3" s="2121"/>
    </row>
    <row r="4" spans="1:32" ht="12" customHeight="1" x14ac:dyDescent="0.2">
      <c r="A4" s="37"/>
      <c r="I4" s="2122" t="s">
        <v>521</v>
      </c>
      <c r="J4" s="2121"/>
      <c r="K4" s="2121"/>
      <c r="L4" s="2121"/>
      <c r="M4" s="2121"/>
      <c r="N4" s="2121"/>
      <c r="O4" s="2121"/>
      <c r="P4" s="2121"/>
      <c r="Q4" s="2121"/>
      <c r="R4" s="2121"/>
      <c r="S4" s="2121"/>
    </row>
    <row r="5" spans="1:32" ht="14.1" customHeight="1" x14ac:dyDescent="0.2">
      <c r="B5" s="100" t="s">
        <v>2051</v>
      </c>
      <c r="C5" s="26" t="s">
        <v>904</v>
      </c>
      <c r="D5" s="81"/>
      <c r="E5" s="81"/>
      <c r="H5" s="38"/>
      <c r="I5" s="2129" t="s">
        <v>675</v>
      </c>
      <c r="J5" s="2074"/>
      <c r="K5" s="2074"/>
      <c r="L5" s="2074"/>
      <c r="M5" s="2074"/>
      <c r="N5" s="2074"/>
      <c r="O5" s="2074"/>
      <c r="P5" s="2074"/>
      <c r="Q5" s="2074"/>
      <c r="R5" s="2074"/>
      <c r="S5" s="2074"/>
      <c r="AF5" s="1826"/>
    </row>
    <row r="6" spans="1:32" ht="14.1" customHeight="1" x14ac:dyDescent="0.2">
      <c r="B6" s="100"/>
      <c r="C6" s="26" t="s">
        <v>905</v>
      </c>
      <c r="D6" s="81"/>
      <c r="E6" s="81"/>
      <c r="I6" s="2128" t="s">
        <v>877</v>
      </c>
      <c r="J6" s="2074"/>
      <c r="K6" s="2074"/>
      <c r="L6" s="2074"/>
      <c r="M6" s="2074"/>
      <c r="N6" s="2074"/>
      <c r="O6" s="2074"/>
      <c r="P6" s="2074"/>
      <c r="Q6" s="2074"/>
      <c r="R6" s="2074"/>
      <c r="S6" s="2074"/>
    </row>
    <row r="7" spans="1:32" ht="12.4" customHeight="1" x14ac:dyDescent="0.2">
      <c r="I7" s="2123" t="str">
        <f>"June 30, "&amp;'AFR20'!E2</f>
        <v>June 30, 2020</v>
      </c>
      <c r="J7" s="2124"/>
      <c r="K7" s="2124"/>
      <c r="L7" s="2124"/>
      <c r="M7" s="2124"/>
      <c r="N7" s="2124"/>
      <c r="O7" s="2124"/>
      <c r="P7" s="2124"/>
      <c r="Q7" s="2124"/>
      <c r="R7" s="2124"/>
      <c r="S7" s="2124"/>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5" t="s">
        <v>669</v>
      </c>
      <c r="J9" s="2126"/>
      <c r="K9" s="2126"/>
      <c r="L9" s="2126"/>
      <c r="M9" s="2126"/>
      <c r="N9" s="2126"/>
      <c r="O9" s="2126"/>
      <c r="P9" s="2126"/>
      <c r="Q9" s="2126"/>
      <c r="R9" s="2126"/>
      <c r="S9" s="2127"/>
      <c r="T9" s="2070" t="s">
        <v>530</v>
      </c>
      <c r="U9" s="2071"/>
      <c r="V9" s="2071"/>
      <c r="W9" s="2071"/>
      <c r="X9" s="2071"/>
      <c r="Y9" s="2071"/>
      <c r="Z9" s="2071"/>
      <c r="AA9" s="2072"/>
    </row>
    <row r="10" spans="1:32" ht="13.5" customHeight="1" x14ac:dyDescent="0.2">
      <c r="A10" s="2079" t="s">
        <v>670</v>
      </c>
      <c r="B10" s="2080"/>
      <c r="C10" s="2080"/>
      <c r="D10" s="2080"/>
      <c r="E10" s="2080"/>
      <c r="F10" s="2080"/>
      <c r="G10" s="2080"/>
      <c r="H10" s="2081"/>
      <c r="I10" s="29"/>
      <c r="J10" s="30"/>
      <c r="K10" s="28"/>
      <c r="R10" s="30"/>
      <c r="S10" s="30"/>
      <c r="T10" s="2073"/>
      <c r="U10" s="2074"/>
      <c r="V10" s="2074"/>
      <c r="W10" s="2074"/>
      <c r="X10" s="2074"/>
      <c r="Y10" s="2074"/>
      <c r="Z10" s="2074"/>
      <c r="AA10" s="2075"/>
    </row>
    <row r="11" spans="1:32" ht="14.25" customHeight="1" x14ac:dyDescent="0.2">
      <c r="A11" s="2082" t="s">
        <v>949</v>
      </c>
      <c r="B11" s="2083"/>
      <c r="C11" s="2083"/>
      <c r="D11" s="2083"/>
      <c r="E11" s="2083"/>
      <c r="F11" s="2083"/>
      <c r="G11" s="2083"/>
      <c r="H11" s="2084"/>
      <c r="I11" s="27"/>
      <c r="J11" s="71"/>
      <c r="K11" s="27"/>
      <c r="O11" s="143"/>
      <c r="P11" s="97" t="s">
        <v>199</v>
      </c>
      <c r="Q11" s="30"/>
      <c r="R11" s="28"/>
      <c r="S11" s="27"/>
      <c r="T11" s="2076"/>
      <c r="U11" s="2077"/>
      <c r="V11" s="2077"/>
      <c r="W11" s="2077"/>
      <c r="X11" s="2077"/>
      <c r="Y11" s="2077"/>
      <c r="Z11" s="2077"/>
      <c r="AA11" s="2078"/>
    </row>
    <row r="12" spans="1:32" ht="13.5" customHeight="1" x14ac:dyDescent="0.2">
      <c r="A12" s="82" t="s">
        <v>919</v>
      </c>
      <c r="B12" s="73"/>
      <c r="C12" s="73"/>
      <c r="D12" s="73"/>
      <c r="E12" s="73"/>
      <c r="F12" s="73"/>
      <c r="G12" s="73"/>
      <c r="H12" s="50"/>
      <c r="I12" s="29"/>
      <c r="J12" s="30"/>
      <c r="K12" s="28"/>
      <c r="O12" s="144" t="s">
        <v>2051</v>
      </c>
      <c r="P12" s="97" t="s">
        <v>200</v>
      </c>
      <c r="Q12" s="71"/>
      <c r="R12" s="30"/>
      <c r="S12" s="30"/>
      <c r="T12" s="82" t="s">
        <v>263</v>
      </c>
      <c r="U12" s="48"/>
      <c r="V12" s="48"/>
      <c r="W12" s="48"/>
      <c r="X12" s="48"/>
      <c r="Y12" s="43"/>
      <c r="Z12" s="43"/>
      <c r="AA12" s="44"/>
    </row>
    <row r="13" spans="1:32" ht="13.5" customHeight="1" x14ac:dyDescent="0.2">
      <c r="A13" s="2090">
        <v>6016092002</v>
      </c>
      <c r="B13" s="2091"/>
      <c r="C13" s="2091"/>
      <c r="D13" s="2091"/>
      <c r="E13" s="2091"/>
      <c r="F13" s="2091"/>
      <c r="G13" s="2091"/>
      <c r="H13" s="2092"/>
      <c r="I13" s="31"/>
      <c r="J13" s="30"/>
      <c r="K13" s="28"/>
      <c r="L13" s="30"/>
      <c r="M13" s="30"/>
      <c r="N13" s="30"/>
      <c r="O13" s="30"/>
      <c r="P13" s="30"/>
      <c r="Q13" s="30"/>
      <c r="R13" s="30"/>
      <c r="S13" s="30"/>
      <c r="T13" s="2095" t="s">
        <v>2057</v>
      </c>
      <c r="U13" s="2096"/>
      <c r="V13" s="2096"/>
      <c r="W13" s="2096"/>
      <c r="X13" s="2096"/>
      <c r="Y13" s="2097"/>
      <c r="Z13" s="2097"/>
      <c r="AA13" s="2098"/>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88" t="s">
        <v>2052</v>
      </c>
      <c r="B15" s="2093"/>
      <c r="C15" s="2093"/>
      <c r="D15" s="2093"/>
      <c r="E15" s="2093"/>
      <c r="F15" s="2093"/>
      <c r="G15" s="2093"/>
      <c r="H15" s="2094"/>
      <c r="T15" s="2056" t="s">
        <v>2058</v>
      </c>
      <c r="U15" s="2057"/>
      <c r="V15" s="2057"/>
      <c r="W15" s="2057"/>
      <c r="X15" s="2057"/>
      <c r="Y15" s="2099"/>
      <c r="Z15" s="2099"/>
      <c r="AA15" s="210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8" t="s">
        <v>2100</v>
      </c>
      <c r="B17" s="2118"/>
      <c r="C17" s="2118"/>
      <c r="D17" s="2118"/>
      <c r="E17" s="2118"/>
      <c r="F17" s="2118"/>
      <c r="G17" s="2118"/>
      <c r="H17" s="2119"/>
      <c r="T17" s="2105" t="s">
        <v>2059</v>
      </c>
      <c r="U17" s="2106"/>
      <c r="V17" s="2106"/>
      <c r="W17" s="2106"/>
      <c r="X17" s="2106"/>
      <c r="Y17" s="2106"/>
      <c r="Z17" s="2106"/>
      <c r="AA17" s="2107"/>
    </row>
    <row r="18" spans="1:27" ht="13.5" customHeight="1" x14ac:dyDescent="0.2">
      <c r="A18" s="82" t="s">
        <v>527</v>
      </c>
      <c r="B18" s="73"/>
      <c r="C18" s="69"/>
      <c r="D18" s="73"/>
      <c r="E18" s="73"/>
      <c r="F18" s="73"/>
      <c r="G18" s="73"/>
      <c r="H18" s="53"/>
      <c r="I18" s="2115" t="s">
        <v>671</v>
      </c>
      <c r="J18" s="2116"/>
      <c r="K18" s="2116"/>
      <c r="L18" s="2116"/>
      <c r="M18" s="2116"/>
      <c r="N18" s="2116"/>
      <c r="O18" s="2116"/>
      <c r="P18" s="2116"/>
      <c r="Q18" s="2116"/>
      <c r="R18" s="2116"/>
      <c r="S18" s="2117"/>
      <c r="T18" s="82" t="s">
        <v>706</v>
      </c>
      <c r="U18" s="48"/>
      <c r="V18" s="69"/>
      <c r="W18" s="47"/>
      <c r="X18" s="82" t="s">
        <v>264</v>
      </c>
      <c r="Y18" s="78"/>
      <c r="Z18" s="153" t="s">
        <v>672</v>
      </c>
      <c r="AA18" s="44"/>
    </row>
    <row r="19" spans="1:27" ht="13.5" customHeight="1" x14ac:dyDescent="0.2">
      <c r="A19" s="2088" t="s">
        <v>2053</v>
      </c>
      <c r="B19" s="2089"/>
      <c r="C19" s="2089"/>
      <c r="D19" s="2089"/>
      <c r="E19" s="2089"/>
      <c r="F19" s="2089"/>
      <c r="G19" s="2089"/>
      <c r="H19" s="2087"/>
      <c r="I19" s="30"/>
      <c r="J19" s="96"/>
      <c r="K19" s="40"/>
      <c r="L19" s="38"/>
      <c r="M19" s="108" t="s">
        <v>312</v>
      </c>
      <c r="P19" s="27"/>
      <c r="Q19" s="27"/>
      <c r="R19" s="27"/>
      <c r="S19" s="31"/>
      <c r="T19" s="2088" t="s">
        <v>2060</v>
      </c>
      <c r="U19" s="2086"/>
      <c r="V19" s="2086"/>
      <c r="W19" s="2087"/>
      <c r="X19" s="2103" t="s">
        <v>2061</v>
      </c>
      <c r="Y19" s="2104"/>
      <c r="Z19" s="2101">
        <v>60008</v>
      </c>
      <c r="AA19" s="2102"/>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85" t="s">
        <v>2054</v>
      </c>
      <c r="B21" s="2086"/>
      <c r="C21" s="2086"/>
      <c r="D21" s="2086"/>
      <c r="E21" s="2086"/>
      <c r="F21" s="2086"/>
      <c r="G21" s="2086"/>
      <c r="H21" s="2087"/>
      <c r="I21" s="2111" t="s">
        <v>673</v>
      </c>
      <c r="J21" s="2074"/>
      <c r="K21" s="2074"/>
      <c r="L21" s="2074"/>
      <c r="M21" s="2074"/>
      <c r="N21" s="2074"/>
      <c r="O21" s="2074"/>
      <c r="P21" s="2074"/>
      <c r="Q21" s="2074"/>
      <c r="R21" s="2074"/>
      <c r="S21" s="2075"/>
      <c r="T21" s="2053" t="s">
        <v>2062</v>
      </c>
      <c r="U21" s="2054"/>
      <c r="V21" s="2054"/>
      <c r="W21" s="2054"/>
      <c r="X21" s="2067" t="s">
        <v>2063</v>
      </c>
      <c r="Y21" s="2068"/>
      <c r="Z21" s="2068"/>
      <c r="AA21" s="2069"/>
    </row>
    <row r="22" spans="1:27" ht="13.5" customHeight="1" x14ac:dyDescent="0.2">
      <c r="A22" s="84" t="s">
        <v>528</v>
      </c>
      <c r="B22" s="56"/>
      <c r="C22" s="56"/>
      <c r="D22" s="56"/>
      <c r="E22" s="56"/>
      <c r="F22" s="56"/>
      <c r="G22" s="56"/>
      <c r="H22" s="57"/>
      <c r="I22" s="2112" t="s">
        <v>1412</v>
      </c>
      <c r="J22" s="2113"/>
      <c r="K22" s="2113"/>
      <c r="L22" s="2113"/>
      <c r="M22" s="2113"/>
      <c r="N22" s="2113"/>
      <c r="O22" s="2113"/>
      <c r="P22" s="2113"/>
      <c r="Q22" s="2113"/>
      <c r="R22" s="2113"/>
      <c r="S22" s="2114"/>
      <c r="T22" s="82" t="s">
        <v>1499</v>
      </c>
      <c r="U22" s="48"/>
      <c r="V22" s="69"/>
      <c r="W22" s="48"/>
      <c r="X22" s="154" t="s">
        <v>1307</v>
      </c>
      <c r="Z22" s="43"/>
      <c r="AA22" s="44"/>
    </row>
    <row r="23" spans="1:27" ht="13.5" customHeight="1" x14ac:dyDescent="0.2">
      <c r="A23" s="2108" t="s">
        <v>2055</v>
      </c>
      <c r="B23" s="2109"/>
      <c r="C23" s="2109"/>
      <c r="D23" s="2109"/>
      <c r="E23" s="2109"/>
      <c r="F23" s="2109"/>
      <c r="G23" s="2109"/>
      <c r="H23" s="2110"/>
      <c r="T23" s="2048" t="s">
        <v>2064</v>
      </c>
      <c r="U23" s="2049"/>
      <c r="V23" s="2049"/>
      <c r="W23" s="2049"/>
      <c r="X23" s="2064">
        <v>44530</v>
      </c>
      <c r="Y23" s="2065"/>
      <c r="Z23" s="2065"/>
      <c r="AA23" s="2066"/>
    </row>
    <row r="24" spans="1:27" ht="14.1" customHeight="1" x14ac:dyDescent="0.2">
      <c r="A24" s="85" t="s">
        <v>672</v>
      </c>
      <c r="B24" s="46"/>
      <c r="C24" s="46"/>
      <c r="D24" s="46"/>
      <c r="E24" s="46"/>
      <c r="F24" s="46"/>
      <c r="G24" s="46"/>
      <c r="H24" s="58"/>
      <c r="J24" s="2150">
        <f>IF(B5="x",IF(AUDITCHECK!D29="AFR form Incomplete.","",IF(AUDITCHECK!D29="Deficit reduction plan is required.","School District must complete a deficit reduction plan in the 2020-2021 Budget",)),"")</f>
        <v>0</v>
      </c>
      <c r="K24" s="2150"/>
      <c r="L24" s="2150"/>
      <c r="M24" s="2150"/>
      <c r="N24" s="2150"/>
      <c r="O24" s="2150"/>
      <c r="P24" s="2150"/>
      <c r="Q24" s="2150"/>
      <c r="R24" s="2150"/>
      <c r="S24" s="2151"/>
      <c r="T24" s="101" t="s">
        <v>528</v>
      </c>
      <c r="U24" s="102"/>
      <c r="V24" s="102"/>
      <c r="W24" s="102"/>
      <c r="X24" s="103"/>
      <c r="Y24" s="103"/>
      <c r="Z24" s="103"/>
      <c r="AA24" s="104"/>
    </row>
    <row r="25" spans="1:27" ht="14.1" customHeight="1" x14ac:dyDescent="0.2">
      <c r="A25" s="2085">
        <v>60153</v>
      </c>
      <c r="B25" s="2086"/>
      <c r="C25" s="2086"/>
      <c r="D25" s="2086"/>
      <c r="E25" s="2086"/>
      <c r="F25" s="2086"/>
      <c r="G25" s="2086"/>
      <c r="H25" s="2087"/>
      <c r="I25" s="109"/>
      <c r="J25" s="2152"/>
      <c r="K25" s="2152"/>
      <c r="L25" s="2152"/>
      <c r="M25" s="2152"/>
      <c r="N25" s="2152"/>
      <c r="O25" s="2152"/>
      <c r="P25" s="2152"/>
      <c r="Q25" s="2152"/>
      <c r="R25" s="2152"/>
      <c r="S25" s="2153"/>
      <c r="T25" s="2045" t="s">
        <v>2065</v>
      </c>
      <c r="U25" s="2046"/>
      <c r="V25" s="2046"/>
      <c r="W25" s="2046"/>
      <c r="X25" s="2046"/>
      <c r="Y25" s="2046"/>
      <c r="Z25" s="2046"/>
      <c r="AA25" s="2047"/>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43" t="s">
        <v>1494</v>
      </c>
      <c r="J27" s="2116"/>
      <c r="K27" s="2116"/>
      <c r="L27" s="2116"/>
      <c r="M27" s="2116"/>
      <c r="N27" s="2116"/>
      <c r="O27" s="2116"/>
      <c r="P27" s="2116"/>
      <c r="Q27" s="2116"/>
      <c r="R27" s="2116"/>
      <c r="S27" s="2117"/>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t="s">
        <v>2051</v>
      </c>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539</v>
      </c>
      <c r="D34" s="31"/>
      <c r="E34" s="31"/>
      <c r="F34" s="31"/>
      <c r="G34" s="31"/>
      <c r="H34" s="31"/>
      <c r="I34" s="51"/>
      <c r="J34" s="80"/>
      <c r="L34" s="144"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9" t="s">
        <v>2056</v>
      </c>
      <c r="Q35" s="2086"/>
      <c r="R35" s="2086"/>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8"/>
      <c r="B38" s="2118"/>
      <c r="C38" s="2118"/>
      <c r="D38" s="2118"/>
      <c r="E38" s="2118"/>
      <c r="F38" s="2086"/>
      <c r="G38" s="2086"/>
      <c r="H38" s="2087"/>
      <c r="I38" s="2137"/>
      <c r="J38" s="2057"/>
      <c r="K38" s="2057"/>
      <c r="L38" s="2057"/>
      <c r="M38" s="2057"/>
      <c r="N38" s="2057"/>
      <c r="O38" s="2057"/>
      <c r="P38" s="2058"/>
      <c r="Q38" s="2058"/>
      <c r="R38" s="2058"/>
      <c r="S38" s="2059"/>
      <c r="T38" s="2056"/>
      <c r="U38" s="2057"/>
      <c r="V38" s="2057"/>
      <c r="W38" s="2057"/>
      <c r="X38" s="2058"/>
      <c r="Y38" s="2058"/>
      <c r="Z38" s="2058"/>
      <c r="AA38" s="2059"/>
    </row>
    <row r="39" spans="1:27" ht="12" customHeight="1" x14ac:dyDescent="0.2">
      <c r="A39" s="2141" t="s">
        <v>528</v>
      </c>
      <c r="B39" s="2142"/>
      <c r="C39" s="69"/>
      <c r="D39" s="66"/>
      <c r="E39" s="66"/>
      <c r="F39" s="76"/>
      <c r="G39" s="66"/>
      <c r="H39" s="53"/>
      <c r="I39" s="2141" t="s">
        <v>528</v>
      </c>
      <c r="J39" s="2142"/>
      <c r="K39" s="2142"/>
      <c r="L39" s="2142"/>
      <c r="M39" s="2142"/>
      <c r="N39" s="64"/>
      <c r="O39" s="69"/>
      <c r="P39" s="69"/>
      <c r="Q39" s="75"/>
      <c r="R39" s="69"/>
      <c r="S39" s="53"/>
      <c r="T39" s="69" t="s">
        <v>528</v>
      </c>
      <c r="U39" s="48"/>
      <c r="V39" s="69"/>
      <c r="W39" s="47"/>
      <c r="X39" s="75"/>
      <c r="Y39" s="43"/>
      <c r="Z39" s="43"/>
      <c r="AA39" s="44"/>
    </row>
    <row r="40" spans="1:27" ht="13.5" customHeight="1" x14ac:dyDescent="0.2">
      <c r="A40" s="2144"/>
      <c r="B40" s="2145"/>
      <c r="C40" s="2146"/>
      <c r="D40" s="2146"/>
      <c r="E40" s="2146"/>
      <c r="F40" s="2147"/>
      <c r="G40" s="2147"/>
      <c r="H40" s="2148"/>
      <c r="I40" s="2060"/>
      <c r="J40" s="2062"/>
      <c r="K40" s="2062"/>
      <c r="L40" s="2062"/>
      <c r="M40" s="2062"/>
      <c r="N40" s="2062"/>
      <c r="O40" s="2062"/>
      <c r="P40" s="2062"/>
      <c r="Q40" s="2062"/>
      <c r="R40" s="2062"/>
      <c r="S40" s="2063"/>
      <c r="T40" s="2060"/>
      <c r="U40" s="2061"/>
      <c r="V40" s="2062"/>
      <c r="W40" s="2062"/>
      <c r="X40" s="2062"/>
      <c r="Y40" s="2062"/>
      <c r="Z40" s="2062"/>
      <c r="AA40" s="2063"/>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c r="B42" s="2135"/>
      <c r="C42" s="2136"/>
      <c r="D42" s="2149"/>
      <c r="E42" s="2135"/>
      <c r="F42" s="2135"/>
      <c r="G42" s="2135"/>
      <c r="H42" s="2136"/>
      <c r="I42" s="2055"/>
      <c r="J42" s="2051"/>
      <c r="K42" s="2051"/>
      <c r="L42" s="2051"/>
      <c r="M42" s="2051"/>
      <c r="N42" s="2051"/>
      <c r="O42" s="2052"/>
      <c r="P42" s="2050"/>
      <c r="Q42" s="2051"/>
      <c r="R42" s="2051"/>
      <c r="S42" s="2052"/>
      <c r="T42" s="2055"/>
      <c r="U42" s="2051"/>
      <c r="V42" s="2051"/>
      <c r="W42" s="2052"/>
      <c r="X42" s="2050"/>
      <c r="Y42" s="2051"/>
      <c r="Z42" s="2051"/>
      <c r="AA42" s="20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8"/>
      <c r="B44" s="2139"/>
      <c r="C44" s="2139"/>
      <c r="D44" s="2139"/>
      <c r="E44" s="2139"/>
      <c r="F44" s="2139"/>
      <c r="G44" s="2139"/>
      <c r="H44" s="2140"/>
      <c r="I44" s="2130"/>
      <c r="J44" s="2132"/>
      <c r="K44" s="2132"/>
      <c r="L44" s="2132"/>
      <c r="M44" s="2132"/>
      <c r="N44" s="2132"/>
      <c r="O44" s="2132"/>
      <c r="P44" s="2132"/>
      <c r="Q44" s="2132"/>
      <c r="R44" s="2132"/>
      <c r="S44" s="2133"/>
      <c r="T44" s="2130"/>
      <c r="U44" s="2131"/>
      <c r="V44" s="2131"/>
      <c r="W44" s="2131"/>
      <c r="X44" s="2131"/>
      <c r="Y44" s="2131"/>
      <c r="Z44" s="2132"/>
      <c r="AA44" s="2133"/>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7" sqref="C17"/>
    </sheetView>
  </sheetViews>
  <sheetFormatPr defaultColWidth="9.28515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28515625" style="306"/>
  </cols>
  <sheetData>
    <row r="1" spans="1:8" ht="33.75" customHeight="1" x14ac:dyDescent="0.2">
      <c r="A1" s="1511" t="s">
        <v>104</v>
      </c>
      <c r="B1" s="306"/>
      <c r="C1" s="306"/>
      <c r="D1" s="306"/>
      <c r="E1" s="306"/>
    </row>
    <row r="2" spans="1:8" ht="39.75" customHeight="1" x14ac:dyDescent="0.2">
      <c r="A2" s="2292"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93"/>
      <c r="B3" s="1293"/>
      <c r="C3" s="1294"/>
      <c r="D3" s="1295" t="s">
        <v>254</v>
      </c>
      <c r="E3" s="1294"/>
      <c r="F3" s="1295" t="s">
        <v>255</v>
      </c>
    </row>
    <row r="4" spans="1:8" ht="13.9" customHeight="1" x14ac:dyDescent="0.2">
      <c r="A4" s="578" t="s">
        <v>1145</v>
      </c>
      <c r="B4" s="1720">
        <f>'Revenues 9-14'!C5</f>
        <v>3755066</v>
      </c>
      <c r="C4" s="1721">
        <v>2264494</v>
      </c>
      <c r="D4" s="1722">
        <f>B4-C4</f>
        <v>1490572</v>
      </c>
      <c r="E4" s="1721">
        <v>4322671</v>
      </c>
      <c r="F4" s="1722">
        <f>E4-C4</f>
        <v>2058177</v>
      </c>
    </row>
    <row r="5" spans="1:8" ht="13.9" customHeight="1" x14ac:dyDescent="0.2">
      <c r="A5" s="578" t="s">
        <v>865</v>
      </c>
      <c r="B5" s="1723">
        <f>'Revenues 9-14'!D5</f>
        <v>481876</v>
      </c>
      <c r="C5" s="1663">
        <v>290643</v>
      </c>
      <c r="D5" s="1724">
        <f t="shared" ref="D5:D18" si="0">B5-C5</f>
        <v>191233</v>
      </c>
      <c r="E5" s="1663">
        <v>554766</v>
      </c>
      <c r="F5" s="1724">
        <f>E5-C5</f>
        <v>264123</v>
      </c>
    </row>
    <row r="6" spans="1:8" ht="13.9" customHeight="1" x14ac:dyDescent="0.2">
      <c r="A6" s="578" t="s">
        <v>408</v>
      </c>
      <c r="B6" s="1723">
        <f>'Revenues 9-14'!E5</f>
        <v>384251</v>
      </c>
      <c r="C6" s="1663">
        <v>233343</v>
      </c>
      <c r="D6" s="1724">
        <f t="shared" si="0"/>
        <v>150908</v>
      </c>
      <c r="E6" s="1663">
        <v>445469</v>
      </c>
      <c r="F6" s="1724">
        <f t="shared" ref="F6:F18" si="1">E6-C6</f>
        <v>212126</v>
      </c>
    </row>
    <row r="7" spans="1:8" ht="13.9" customHeight="1" x14ac:dyDescent="0.2">
      <c r="A7" s="578" t="s">
        <v>154</v>
      </c>
      <c r="B7" s="1723">
        <f>'Revenues 9-14'!F5</f>
        <v>95038</v>
      </c>
      <c r="C7" s="1663">
        <v>61286</v>
      </c>
      <c r="D7" s="1724">
        <f t="shared" si="0"/>
        <v>33752</v>
      </c>
      <c r="E7" s="1663">
        <v>117000</v>
      </c>
      <c r="F7" s="1724">
        <f t="shared" si="1"/>
        <v>55714</v>
      </c>
    </row>
    <row r="8" spans="1:8" ht="13.9" customHeight="1" x14ac:dyDescent="0.2">
      <c r="A8" s="578" t="s">
        <v>1169</v>
      </c>
      <c r="B8" s="1723">
        <f>'Revenues 9-14'!G5</f>
        <v>36476</v>
      </c>
      <c r="C8" s="1663">
        <v>26950</v>
      </c>
      <c r="D8" s="1724">
        <f t="shared" si="0"/>
        <v>9526</v>
      </c>
      <c r="E8" s="1663">
        <v>51500</v>
      </c>
      <c r="F8" s="1724">
        <f t="shared" si="1"/>
        <v>24550</v>
      </c>
    </row>
    <row r="9" spans="1:8" ht="13.9" customHeight="1" x14ac:dyDescent="0.2">
      <c r="A9" s="578" t="s">
        <v>405</v>
      </c>
      <c r="B9" s="1723">
        <f>'Revenues 9-14'!H5</f>
        <v>0</v>
      </c>
      <c r="C9" s="1663"/>
      <c r="D9" s="1724">
        <f t="shared" si="0"/>
        <v>0</v>
      </c>
      <c r="E9" s="1663"/>
      <c r="F9" s="1724">
        <f t="shared" si="1"/>
        <v>0</v>
      </c>
    </row>
    <row r="10" spans="1:8" ht="13.9" customHeight="1" x14ac:dyDescent="0.2">
      <c r="A10" s="578" t="s">
        <v>404</v>
      </c>
      <c r="B10" s="1723">
        <f>'Revenues 9-14'!I5</f>
        <v>60044</v>
      </c>
      <c r="C10" s="1663">
        <v>26258</v>
      </c>
      <c r="D10" s="1724">
        <f t="shared" si="0"/>
        <v>33786</v>
      </c>
      <c r="E10" s="1663">
        <v>50123</v>
      </c>
      <c r="F10" s="1724">
        <f t="shared" si="1"/>
        <v>23865</v>
      </c>
    </row>
    <row r="11" spans="1:8" x14ac:dyDescent="0.2">
      <c r="A11" s="578" t="s">
        <v>406</v>
      </c>
      <c r="B11" s="1723">
        <f>'Revenues 9-14'!J5</f>
        <v>198299</v>
      </c>
      <c r="C11" s="1663">
        <v>120339</v>
      </c>
      <c r="D11" s="1724">
        <f t="shared" si="0"/>
        <v>77960</v>
      </c>
      <c r="E11" s="1663">
        <v>229690</v>
      </c>
      <c r="F11" s="1724">
        <f t="shared" si="1"/>
        <v>109351</v>
      </c>
    </row>
    <row r="12" spans="1:8" ht="13.9" customHeight="1" x14ac:dyDescent="0.2">
      <c r="A12" s="578" t="s">
        <v>156</v>
      </c>
      <c r="B12" s="1723">
        <f>'Revenues 9-14'!K5</f>
        <v>68813</v>
      </c>
      <c r="C12" s="1663">
        <v>51931</v>
      </c>
      <c r="D12" s="1724">
        <f t="shared" si="0"/>
        <v>16882</v>
      </c>
      <c r="E12" s="1663">
        <v>99131</v>
      </c>
      <c r="F12" s="1724">
        <f t="shared" si="1"/>
        <v>47200</v>
      </c>
    </row>
    <row r="13" spans="1:8" ht="13.9" customHeight="1" x14ac:dyDescent="0.2">
      <c r="A13" s="578" t="s">
        <v>930</v>
      </c>
      <c r="B13" s="1723">
        <f>SUM('Revenues 9-14'!C6:D6)</f>
        <v>325041</v>
      </c>
      <c r="C13" s="1663">
        <v>196933</v>
      </c>
      <c r="D13" s="1724">
        <f t="shared" si="0"/>
        <v>128108</v>
      </c>
      <c r="E13" s="1663">
        <v>375950</v>
      </c>
      <c r="F13" s="1724">
        <f t="shared" si="1"/>
        <v>179017</v>
      </c>
    </row>
    <row r="14" spans="1:8" ht="13.9" customHeight="1" x14ac:dyDescent="0.2">
      <c r="A14" s="578" t="s">
        <v>407</v>
      </c>
      <c r="B14" s="1723">
        <f>SUM('Revenues 9-14'!C7:D7,'Revenues 9-14'!F7:H7)</f>
        <v>0</v>
      </c>
      <c r="C14" s="1663"/>
      <c r="D14" s="1724">
        <f t="shared" si="0"/>
        <v>0</v>
      </c>
      <c r="E14" s="1663"/>
      <c r="F14" s="1724">
        <f t="shared" si="1"/>
        <v>0</v>
      </c>
    </row>
    <row r="15" spans="1:8" ht="13.9" customHeight="1" x14ac:dyDescent="0.2">
      <c r="A15" s="578" t="s">
        <v>1148</v>
      </c>
      <c r="B15" s="1723">
        <f>SUM('Revenues 9-14'!D9:E9,'Revenues 9-14'!H9)</f>
        <v>0</v>
      </c>
      <c r="C15" s="1663"/>
      <c r="D15" s="1724">
        <f t="shared" si="0"/>
        <v>0</v>
      </c>
      <c r="E15" s="1663"/>
      <c r="F15" s="1724">
        <f t="shared" si="1"/>
        <v>0</v>
      </c>
    </row>
    <row r="16" spans="1:8" ht="13.9" customHeight="1" x14ac:dyDescent="0.2">
      <c r="A16" s="578" t="s">
        <v>1149</v>
      </c>
      <c r="B16" s="1723">
        <f>'Revenues 9-14'!G8</f>
        <v>37279</v>
      </c>
      <c r="C16" s="1663">
        <v>27054</v>
      </c>
      <c r="D16" s="1724">
        <f t="shared" si="0"/>
        <v>10225</v>
      </c>
      <c r="E16" s="1663">
        <v>51500</v>
      </c>
      <c r="F16" s="1724">
        <f t="shared" si="1"/>
        <v>24446</v>
      </c>
    </row>
    <row r="17" spans="1:6" ht="13.9" customHeight="1" x14ac:dyDescent="0.2">
      <c r="A17" s="578" t="s">
        <v>1150</v>
      </c>
      <c r="B17" s="1723">
        <f>'Revenues 9-14'!C10</f>
        <v>0</v>
      </c>
      <c r="C17" s="1663"/>
      <c r="D17" s="1724">
        <f t="shared" si="0"/>
        <v>0</v>
      </c>
      <c r="E17" s="1663"/>
      <c r="F17" s="1724">
        <f t="shared" si="1"/>
        <v>0</v>
      </c>
    </row>
    <row r="18" spans="1:6" ht="13.9" customHeight="1" x14ac:dyDescent="0.2">
      <c r="A18" s="578" t="s">
        <v>757</v>
      </c>
      <c r="B18" s="1723">
        <f>SUM('Revenues 9-14'!C11:K11)</f>
        <v>0</v>
      </c>
      <c r="C18" s="1663"/>
      <c r="D18" s="1724">
        <f t="shared" si="0"/>
        <v>0</v>
      </c>
      <c r="E18" s="1663"/>
      <c r="F18" s="1724">
        <f t="shared" si="1"/>
        <v>0</v>
      </c>
    </row>
    <row r="19" spans="1:6" ht="13.9" customHeight="1" thickBot="1" x14ac:dyDescent="0.25">
      <c r="A19" s="1431" t="s">
        <v>1151</v>
      </c>
      <c r="B19" s="1725">
        <f>SUM(B4:B18)</f>
        <v>5442183</v>
      </c>
      <c r="C19" s="1725">
        <f>SUM(C4:C18)</f>
        <v>3299231</v>
      </c>
      <c r="D19" s="1725">
        <f>SUM(D4:D18)</f>
        <v>2142952</v>
      </c>
      <c r="E19" s="1725">
        <f>SUM(E4:E18)</f>
        <v>6297800</v>
      </c>
      <c r="F19" s="1725">
        <f>SUM(F4:F18)</f>
        <v>2998569</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2" sqref="J32"/>
    </sheetView>
  </sheetViews>
  <sheetFormatPr defaultColWidth="9.28515625" defaultRowHeight="12.75" x14ac:dyDescent="0.2"/>
  <cols>
    <col min="1" max="1" width="44" style="376" customWidth="1"/>
    <col min="2" max="2" width="12.28515625" style="585" customWidth="1"/>
    <col min="3" max="3" width="16.7109375" style="585" customWidth="1"/>
    <col min="4" max="5" width="15.7109375" style="585" customWidth="1"/>
    <col min="6" max="10" width="15.7109375" style="360" customWidth="1"/>
    <col min="11" max="16384" width="9.28515625" style="360"/>
  </cols>
  <sheetData>
    <row r="1" spans="1:7" ht="27" customHeight="1" x14ac:dyDescent="0.2">
      <c r="A1" s="2298" t="s">
        <v>625</v>
      </c>
      <c r="B1" s="2299"/>
      <c r="C1" s="584"/>
    </row>
    <row r="2" spans="1:7" ht="33.75" x14ac:dyDescent="0.2">
      <c r="A2" s="2307" t="s">
        <v>1779</v>
      </c>
      <c r="B2" s="2308"/>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1" t="s">
        <v>1104</v>
      </c>
      <c r="B3" s="2312"/>
      <c r="C3" s="2300"/>
      <c r="D3" s="2301"/>
      <c r="E3" s="2301"/>
      <c r="F3" s="2302"/>
    </row>
    <row r="4" spans="1:7" ht="12.75" customHeight="1" thickBot="1" x14ac:dyDescent="0.25">
      <c r="A4" s="2309" t="s">
        <v>626</v>
      </c>
      <c r="B4" s="2310"/>
      <c r="C4" s="1655"/>
      <c r="D4" s="1655"/>
      <c r="E4" s="1655"/>
      <c r="F4" s="1731">
        <f>SUM(C4+D4)-E4</f>
        <v>0</v>
      </c>
    </row>
    <row r="5" spans="1:7" ht="15.75" customHeight="1" thickTop="1" x14ac:dyDescent="0.2">
      <c r="A5" s="2294" t="s">
        <v>1101</v>
      </c>
      <c r="B5" s="2295"/>
      <c r="C5" s="2303"/>
      <c r="D5" s="2304"/>
      <c r="E5" s="2304"/>
      <c r="F5" s="2305"/>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296" t="s">
        <v>627</v>
      </c>
      <c r="B15" s="2297"/>
      <c r="C15" s="1731">
        <f>SUM(C6:C14)</f>
        <v>0</v>
      </c>
      <c r="D15" s="1731">
        <f>SUM(D6:D14)</f>
        <v>0</v>
      </c>
      <c r="E15" s="1731">
        <f>SUM(E6:E14)</f>
        <v>0</v>
      </c>
      <c r="F15" s="1731">
        <f>SUM(F6:F14)</f>
        <v>0</v>
      </c>
      <c r="G15" s="472"/>
    </row>
    <row r="16" spans="1:7" s="196" customFormat="1" ht="15.75" customHeight="1" thickTop="1" x14ac:dyDescent="0.2">
      <c r="A16" s="2306" t="s">
        <v>1102</v>
      </c>
      <c r="B16" s="2295"/>
      <c r="C16" s="2303"/>
      <c r="D16" s="2304"/>
      <c r="E16" s="2304"/>
      <c r="F16" s="2305"/>
    </row>
    <row r="17" spans="1:11" ht="12.75" customHeight="1" thickBot="1" x14ac:dyDescent="0.25">
      <c r="A17" s="2319" t="s">
        <v>64</v>
      </c>
      <c r="B17" s="2320"/>
      <c r="C17" s="1732"/>
      <c r="D17" s="1663"/>
      <c r="E17" s="1732"/>
      <c r="F17" s="1731">
        <f>SUM(C17+D17)-E17</f>
        <v>0</v>
      </c>
    </row>
    <row r="18" spans="1:11" ht="12.75" customHeight="1" thickTop="1" thickBot="1" x14ac:dyDescent="0.25">
      <c r="A18" s="2319" t="s">
        <v>6</v>
      </c>
      <c r="B18" s="2320"/>
      <c r="C18" s="1732"/>
      <c r="D18" s="1663"/>
      <c r="E18" s="1732"/>
      <c r="F18" s="1731">
        <f>SUM(C18+D18)-E18</f>
        <v>0</v>
      </c>
    </row>
    <row r="19" spans="1:11" ht="12.75" customHeight="1" thickTop="1" thickBot="1" x14ac:dyDescent="0.25">
      <c r="A19" s="2319" t="s">
        <v>385</v>
      </c>
      <c r="B19" s="2320"/>
      <c r="C19" s="1732"/>
      <c r="D19" s="1663"/>
      <c r="E19" s="1732"/>
      <c r="F19" s="1731">
        <f>SUM(C19+D19)-E19</f>
        <v>0</v>
      </c>
    </row>
    <row r="20" spans="1:11" ht="12.75" customHeight="1" thickTop="1" thickBot="1" x14ac:dyDescent="0.25">
      <c r="A20" s="2319" t="s">
        <v>445</v>
      </c>
      <c r="B20" s="2320"/>
      <c r="C20" s="1732"/>
      <c r="D20" s="1663"/>
      <c r="E20" s="1732"/>
      <c r="F20" s="1731">
        <f>SUM(C20+D20)-E20</f>
        <v>0</v>
      </c>
    </row>
    <row r="21" spans="1:11" ht="14.25" thickTop="1" thickBot="1" x14ac:dyDescent="0.25">
      <c r="A21" s="2296" t="s">
        <v>628</v>
      </c>
      <c r="B21" s="2297"/>
      <c r="C21" s="1731">
        <f>SUM(C17:C20)</f>
        <v>0</v>
      </c>
      <c r="D21" s="1731">
        <f>SUM(D17:D20)</f>
        <v>0</v>
      </c>
      <c r="E21" s="1731">
        <f>SUM(E17:E20)</f>
        <v>0</v>
      </c>
      <c r="F21" s="1731">
        <f>SUM(F17:F20)</f>
        <v>0</v>
      </c>
      <c r="G21" s="472"/>
    </row>
    <row r="22" spans="1:11" ht="15.75" customHeight="1" thickTop="1" x14ac:dyDescent="0.2">
      <c r="A22" s="2321" t="s">
        <v>1103</v>
      </c>
      <c r="B22" s="2295"/>
      <c r="C22" s="2303"/>
      <c r="D22" s="2304"/>
      <c r="E22" s="2304"/>
      <c r="F22" s="2305"/>
    </row>
    <row r="23" spans="1:11" ht="13.5" thickBot="1" x14ac:dyDescent="0.25">
      <c r="A23" s="2309" t="s">
        <v>629</v>
      </c>
      <c r="B23" s="2310"/>
      <c r="C23" s="1655"/>
      <c r="D23" s="1655"/>
      <c r="E23" s="1655"/>
      <c r="F23" s="1731">
        <f>SUM(C23+D23)-E23</f>
        <v>0</v>
      </c>
      <c r="G23" s="472"/>
    </row>
    <row r="24" spans="1:11" ht="15.75" customHeight="1" thickTop="1" x14ac:dyDescent="0.2">
      <c r="A24" s="2321" t="s">
        <v>2006</v>
      </c>
      <c r="B24" s="2295"/>
      <c r="C24" s="2303"/>
      <c r="D24" s="2304"/>
      <c r="E24" s="2304"/>
      <c r="F24" s="2305"/>
    </row>
    <row r="25" spans="1:11" ht="13.5" thickBot="1" x14ac:dyDescent="0.25">
      <c r="A25" s="2309" t="s">
        <v>2007</v>
      </c>
      <c r="B25" s="2310"/>
      <c r="C25" s="1655"/>
      <c r="D25" s="1655"/>
      <c r="E25" s="1655"/>
      <c r="F25" s="1731">
        <f>SUM(C25+D25)-E25</f>
        <v>0</v>
      </c>
      <c r="G25" s="472"/>
    </row>
    <row r="26" spans="1:11" ht="15.75" customHeight="1" thickTop="1" x14ac:dyDescent="0.2">
      <c r="A26" s="2294" t="s">
        <v>652</v>
      </c>
      <c r="B26" s="2295"/>
      <c r="C26" s="588"/>
      <c r="D26" s="588"/>
      <c r="E26" s="588"/>
      <c r="F26" s="589"/>
    </row>
    <row r="27" spans="1:11" ht="13.5" thickBot="1" x14ac:dyDescent="0.25">
      <c r="A27" s="2296" t="s">
        <v>1061</v>
      </c>
      <c r="B27" s="2297"/>
      <c r="C27" s="1663"/>
      <c r="D27" s="1663"/>
      <c r="E27" s="1663"/>
      <c r="F27" s="1731">
        <f>SUM(C27+D27)-E27</f>
        <v>0</v>
      </c>
      <c r="G27" s="472"/>
    </row>
    <row r="28" spans="1:11" ht="7.5" customHeight="1" thickTop="1" x14ac:dyDescent="0.2">
      <c r="A28" s="488"/>
    </row>
    <row r="29" spans="1:11" ht="23.25" customHeight="1" x14ac:dyDescent="0.2">
      <c r="A29" s="2322" t="s">
        <v>578</v>
      </c>
      <c r="B29" s="2299"/>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t="s">
        <v>2067</v>
      </c>
      <c r="B31" s="594">
        <v>37695</v>
      </c>
      <c r="C31" s="1733">
        <v>5850000</v>
      </c>
      <c r="D31" s="1734">
        <v>2</v>
      </c>
      <c r="E31" s="1733">
        <v>1530000</v>
      </c>
      <c r="F31" s="1733"/>
      <c r="G31" s="1733"/>
      <c r="H31" s="1733">
        <v>360000</v>
      </c>
      <c r="I31" s="1735">
        <f>((E31+F31)-H31)+G31</f>
        <v>1170000</v>
      </c>
      <c r="J31" s="1733">
        <v>779707</v>
      </c>
      <c r="K31" s="595"/>
    </row>
    <row r="32" spans="1:11" ht="12" customHeight="1" x14ac:dyDescent="0.2">
      <c r="A32" s="593" t="s">
        <v>2068</v>
      </c>
      <c r="B32" s="594" t="s">
        <v>2069</v>
      </c>
      <c r="C32" s="1733"/>
      <c r="D32" s="1734">
        <v>7</v>
      </c>
      <c r="E32" s="1733">
        <v>74941</v>
      </c>
      <c r="F32" s="1733"/>
      <c r="G32" s="1733"/>
      <c r="H32" s="1733">
        <v>20147</v>
      </c>
      <c r="I32" s="1735">
        <f>((E32+F32)-H32)+G32</f>
        <v>54794</v>
      </c>
      <c r="J32" s="1733">
        <v>36516</v>
      </c>
      <c r="K32" s="595"/>
    </row>
    <row r="33" spans="1:11" ht="12" customHeight="1" x14ac:dyDescent="0.2">
      <c r="A33" s="593"/>
      <c r="B33" s="594"/>
      <c r="C33" s="1733"/>
      <c r="D33" s="1734"/>
      <c r="E33" s="1733"/>
      <c r="F33" s="1733"/>
      <c r="G33" s="1733"/>
      <c r="H33" s="1733"/>
      <c r="I33" s="1735">
        <f t="shared" ref="I33:I48" si="1">((E33+F33)-H33)+G33</f>
        <v>0</v>
      </c>
      <c r="J33" s="1733"/>
      <c r="K33" s="595"/>
    </row>
    <row r="34" spans="1:11" ht="12" customHeight="1" x14ac:dyDescent="0.2">
      <c r="A34" s="593"/>
      <c r="B34" s="594"/>
      <c r="C34" s="1733"/>
      <c r="D34" s="1734"/>
      <c r="E34" s="1733"/>
      <c r="F34" s="1733"/>
      <c r="G34" s="1733"/>
      <c r="H34" s="1733"/>
      <c r="I34" s="1735">
        <f t="shared" si="1"/>
        <v>0</v>
      </c>
      <c r="J34" s="1733"/>
      <c r="K34" s="596"/>
    </row>
    <row r="35" spans="1:11" ht="12" customHeight="1" x14ac:dyDescent="0.2">
      <c r="A35" s="593"/>
      <c r="B35" s="594"/>
      <c r="C35" s="1736"/>
      <c r="D35" s="1734"/>
      <c r="E35" s="1736"/>
      <c r="F35" s="1736"/>
      <c r="G35" s="1736"/>
      <c r="H35" s="1736"/>
      <c r="I35" s="1735">
        <f t="shared" si="1"/>
        <v>0</v>
      </c>
      <c r="J35" s="1736"/>
      <c r="K35" s="596"/>
    </row>
    <row r="36" spans="1:11" ht="12" customHeight="1" x14ac:dyDescent="0.2">
      <c r="A36" s="593"/>
      <c r="B36" s="594"/>
      <c r="C36" s="1733"/>
      <c r="D36" s="1734"/>
      <c r="E36" s="1733"/>
      <c r="F36" s="1733"/>
      <c r="G36" s="1733"/>
      <c r="H36" s="1733"/>
      <c r="I36" s="1735">
        <f t="shared" si="1"/>
        <v>0</v>
      </c>
      <c r="J36" s="1733"/>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5850000</v>
      </c>
      <c r="D49" s="1741"/>
      <c r="E49" s="1735">
        <f t="shared" ref="E49:J49" si="2">SUM(E31:E48)</f>
        <v>1604941</v>
      </c>
      <c r="F49" s="1735">
        <f t="shared" si="2"/>
        <v>0</v>
      </c>
      <c r="G49" s="1735">
        <f t="shared" si="2"/>
        <v>0</v>
      </c>
      <c r="H49" s="1735">
        <f t="shared" si="2"/>
        <v>380147</v>
      </c>
      <c r="I49" s="1735">
        <f t="shared" si="2"/>
        <v>1224794</v>
      </c>
      <c r="J49" s="1735">
        <f t="shared" si="2"/>
        <v>816223</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313" t="s">
        <v>580</v>
      </c>
      <c r="C52" s="2314"/>
      <c r="D52" s="2314"/>
      <c r="E52" s="602" t="s">
        <v>840</v>
      </c>
      <c r="F52" s="2315"/>
      <c r="G52" s="2316"/>
      <c r="H52" s="595"/>
      <c r="I52" s="595"/>
      <c r="J52" s="599"/>
    </row>
    <row r="53" spans="1:11" ht="11.25" customHeight="1" x14ac:dyDescent="0.2">
      <c r="A53" s="603" t="s">
        <v>907</v>
      </c>
      <c r="B53" s="604" t="s">
        <v>945</v>
      </c>
      <c r="C53" s="599"/>
      <c r="D53" s="596"/>
      <c r="E53" s="602" t="s">
        <v>494</v>
      </c>
      <c r="F53" s="2317"/>
      <c r="G53" s="2318"/>
      <c r="H53" s="595"/>
      <c r="I53" s="595"/>
      <c r="J53" s="599"/>
    </row>
    <row r="54" spans="1:11" ht="11.25" customHeight="1" x14ac:dyDescent="0.2">
      <c r="A54" s="605" t="s">
        <v>908</v>
      </c>
      <c r="B54" s="600" t="s">
        <v>946</v>
      </c>
      <c r="C54" s="599"/>
      <c r="D54" s="596"/>
      <c r="E54" s="602" t="s">
        <v>495</v>
      </c>
      <c r="F54" s="2317"/>
      <c r="G54" s="2318"/>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28515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28515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28515625" style="360"/>
  </cols>
  <sheetData>
    <row r="1" spans="1:11" ht="28.5" customHeight="1" x14ac:dyDescent="0.2">
      <c r="A1" s="2349" t="s">
        <v>851</v>
      </c>
      <c r="B1" s="2350"/>
      <c r="C1" s="2350"/>
      <c r="D1" s="2350"/>
      <c r="E1" s="2350"/>
      <c r="F1" s="2350"/>
      <c r="G1" s="2351"/>
      <c r="H1" s="1297"/>
      <c r="I1" s="613"/>
      <c r="J1" s="399"/>
    </row>
    <row r="2" spans="1:11" ht="26.25" x14ac:dyDescent="0.2">
      <c r="A2" s="2326" t="s">
        <v>1658</v>
      </c>
      <c r="B2" s="2327"/>
      <c r="C2" s="2327"/>
      <c r="D2" s="2327"/>
      <c r="E2" s="2328"/>
      <c r="F2" s="614" t="s">
        <v>898</v>
      </c>
      <c r="G2" s="615" t="s">
        <v>1655</v>
      </c>
      <c r="H2" s="615" t="s">
        <v>407</v>
      </c>
      <c r="I2" s="615" t="s">
        <v>1148</v>
      </c>
      <c r="J2" s="615" t="s">
        <v>1789</v>
      </c>
      <c r="K2" s="615" t="s">
        <v>137</v>
      </c>
    </row>
    <row r="3" spans="1:11" x14ac:dyDescent="0.2">
      <c r="A3" s="2329" t="str">
        <f>"Cash Basis Fund Balance as of July 1, "&amp;'AFR20'!E2-1</f>
        <v>Cash Basis Fund Balance as of July 1, 2019</v>
      </c>
      <c r="B3" s="2330"/>
      <c r="C3" s="2330"/>
      <c r="D3" s="2330"/>
      <c r="E3" s="2331"/>
      <c r="F3" s="616"/>
      <c r="G3" s="1743"/>
      <c r="H3" s="1743"/>
      <c r="I3" s="1743"/>
      <c r="J3" s="1744"/>
      <c r="K3" s="1744"/>
    </row>
    <row r="4" spans="1:11" x14ac:dyDescent="0.2">
      <c r="A4" s="2332" t="s">
        <v>366</v>
      </c>
      <c r="B4" s="2333"/>
      <c r="C4" s="2333"/>
      <c r="D4" s="2333"/>
      <c r="E4" s="2314"/>
      <c r="F4" s="619"/>
      <c r="G4" s="1745"/>
      <c r="H4" s="1746"/>
      <c r="I4" s="1745"/>
      <c r="J4" s="1747"/>
      <c r="K4" s="1747"/>
    </row>
    <row r="5" spans="1:11" x14ac:dyDescent="0.2">
      <c r="A5" s="2352" t="s">
        <v>1060</v>
      </c>
      <c r="B5" s="2323"/>
      <c r="C5" s="2323"/>
      <c r="D5" s="2323"/>
      <c r="E5" s="2353"/>
      <c r="F5" s="621" t="s">
        <v>843</v>
      </c>
      <c r="G5" s="1748"/>
      <c r="H5" s="1743"/>
      <c r="I5" s="1749"/>
      <c r="J5" s="1750"/>
      <c r="K5" s="1750"/>
    </row>
    <row r="6" spans="1:11" x14ac:dyDescent="0.2">
      <c r="A6" s="624" t="s">
        <v>715</v>
      </c>
      <c r="B6" s="625"/>
      <c r="C6" s="625"/>
      <c r="D6" s="625"/>
      <c r="E6" s="626"/>
      <c r="F6" s="627" t="s">
        <v>844</v>
      </c>
      <c r="G6" s="1743"/>
      <c r="H6" s="1743">
        <v>325041</v>
      </c>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c r="K8" s="1747"/>
    </row>
    <row r="9" spans="1:11" x14ac:dyDescent="0.2">
      <c r="A9" s="628" t="s">
        <v>137</v>
      </c>
      <c r="B9" s="629"/>
      <c r="C9" s="629"/>
      <c r="D9" s="629"/>
      <c r="E9" s="630"/>
      <c r="F9" s="627" t="s">
        <v>848</v>
      </c>
      <c r="G9" s="1752"/>
      <c r="H9" s="1748"/>
      <c r="I9" s="1748"/>
      <c r="J9" s="1751"/>
      <c r="K9" s="1744"/>
    </row>
    <row r="10" spans="1:11" x14ac:dyDescent="0.2">
      <c r="A10" s="2352" t="s">
        <v>1790</v>
      </c>
      <c r="B10" s="2323"/>
      <c r="C10" s="2323"/>
      <c r="D10" s="2323"/>
      <c r="E10" s="2354"/>
      <c r="F10" s="632" t="s">
        <v>857</v>
      </c>
      <c r="G10" s="1752"/>
      <c r="H10" s="1753"/>
      <c r="I10" s="1743"/>
      <c r="J10" s="1744"/>
      <c r="K10" s="1744"/>
    </row>
    <row r="11" spans="1:11" x14ac:dyDescent="0.2">
      <c r="A11" s="2352" t="s">
        <v>159</v>
      </c>
      <c r="B11" s="2323"/>
      <c r="C11" s="2323"/>
      <c r="D11" s="2323"/>
      <c r="E11" s="2353"/>
      <c r="F11" s="621" t="s">
        <v>847</v>
      </c>
      <c r="G11" s="1748"/>
      <c r="H11" s="1743"/>
      <c r="I11" s="1743"/>
      <c r="J11" s="1744"/>
      <c r="K11" s="1750"/>
    </row>
    <row r="12" spans="1:11" ht="13.5" thickBot="1" x14ac:dyDescent="0.25">
      <c r="A12" s="2340" t="s">
        <v>899</v>
      </c>
      <c r="B12" s="2341"/>
      <c r="C12" s="2341"/>
      <c r="D12" s="2341"/>
      <c r="E12" s="2342"/>
      <c r="F12" s="1432"/>
      <c r="G12" s="1754">
        <f>SUM(G5:G11)</f>
        <v>0</v>
      </c>
      <c r="H12" s="1754">
        <f>SUM(H5:H11)</f>
        <v>325041</v>
      </c>
      <c r="I12" s="1754">
        <f>SUM(I5:I11)</f>
        <v>0</v>
      </c>
      <c r="J12" s="1754">
        <f>SUM(J5:J11)</f>
        <v>0</v>
      </c>
      <c r="K12" s="1754">
        <f>SUM(K5:K11)</f>
        <v>0</v>
      </c>
    </row>
    <row r="13" spans="1:11" ht="13.5" thickTop="1" x14ac:dyDescent="0.2">
      <c r="A13" s="2334" t="s">
        <v>367</v>
      </c>
      <c r="B13" s="2335"/>
      <c r="C13" s="2335"/>
      <c r="D13" s="2335"/>
      <c r="E13" s="2336"/>
      <c r="F13" s="633"/>
      <c r="G13" s="1755"/>
      <c r="H13" s="1756"/>
      <c r="I13" s="1757"/>
      <c r="J13" s="1757"/>
      <c r="K13" s="1757"/>
    </row>
    <row r="14" spans="1:11" x14ac:dyDescent="0.2">
      <c r="A14" s="2358" t="s">
        <v>453</v>
      </c>
      <c r="B14" s="2358"/>
      <c r="C14" s="2358"/>
      <c r="D14" s="2358"/>
      <c r="E14" s="2359"/>
      <c r="F14" s="634" t="s">
        <v>849</v>
      </c>
      <c r="G14" s="1752"/>
      <c r="H14" s="1743">
        <v>325041</v>
      </c>
      <c r="I14" s="1748"/>
      <c r="J14" s="1750"/>
      <c r="K14" s="1744"/>
    </row>
    <row r="15" spans="1:11" x14ac:dyDescent="0.2">
      <c r="A15" s="2323" t="s">
        <v>4</v>
      </c>
      <c r="B15" s="2323"/>
      <c r="C15" s="2323"/>
      <c r="D15" s="2323"/>
      <c r="E15" s="2353"/>
      <c r="F15" s="634" t="s">
        <v>850</v>
      </c>
      <c r="G15" s="1748"/>
      <c r="H15" s="1743"/>
      <c r="I15" s="1743"/>
      <c r="J15" s="1744"/>
      <c r="K15" s="1744"/>
    </row>
    <row r="16" spans="1:11" x14ac:dyDescent="0.2">
      <c r="A16" s="2323" t="s">
        <v>295</v>
      </c>
      <c r="B16" s="2323"/>
      <c r="C16" s="2323"/>
      <c r="D16" s="2323"/>
      <c r="E16" s="2353"/>
      <c r="F16" s="634" t="s">
        <v>917</v>
      </c>
      <c r="G16" s="1749"/>
      <c r="H16" s="1745"/>
      <c r="I16" s="1745"/>
      <c r="J16" s="1747"/>
      <c r="K16" s="1747"/>
    </row>
    <row r="17" spans="1:15" x14ac:dyDescent="0.2">
      <c r="A17" s="2347" t="s">
        <v>929</v>
      </c>
      <c r="B17" s="2347"/>
      <c r="C17" s="2347"/>
      <c r="D17" s="2347"/>
      <c r="E17" s="2348"/>
      <c r="F17" s="635"/>
      <c r="G17" s="1758"/>
      <c r="H17" s="1759"/>
      <c r="I17" s="1759"/>
      <c r="J17" s="1760"/>
      <c r="K17" s="1761"/>
    </row>
    <row r="18" spans="1:15" x14ac:dyDescent="0.2">
      <c r="A18" s="2337" t="s">
        <v>365</v>
      </c>
      <c r="B18" s="2338"/>
      <c r="C18" s="2338"/>
      <c r="D18" s="2338"/>
      <c r="E18" s="2339"/>
      <c r="F18" s="634" t="s">
        <v>926</v>
      </c>
      <c r="G18" s="1752"/>
      <c r="H18" s="1752"/>
      <c r="I18" s="1752"/>
      <c r="J18" s="1744"/>
      <c r="K18" s="1762"/>
    </row>
    <row r="19" spans="1:15" ht="21.75" customHeight="1" x14ac:dyDescent="0.2">
      <c r="A19" s="2360" t="s">
        <v>1786</v>
      </c>
      <c r="B19" s="2360"/>
      <c r="C19" s="2360"/>
      <c r="D19" s="2360"/>
      <c r="E19" s="2361"/>
      <c r="F19" s="634" t="s">
        <v>927</v>
      </c>
      <c r="G19" s="1752"/>
      <c r="H19" s="1752"/>
      <c r="I19" s="1752"/>
      <c r="J19" s="1744"/>
      <c r="K19" s="1762"/>
    </row>
    <row r="20" spans="1:15" x14ac:dyDescent="0.2">
      <c r="A20" s="2337" t="s">
        <v>1791</v>
      </c>
      <c r="B20" s="2338"/>
      <c r="C20" s="2338"/>
      <c r="D20" s="2338"/>
      <c r="E20" s="2339"/>
      <c r="F20" s="634" t="s">
        <v>928</v>
      </c>
      <c r="G20" s="1752"/>
      <c r="H20" s="1752"/>
      <c r="I20" s="1752"/>
      <c r="J20" s="1744"/>
      <c r="K20" s="1762"/>
    </row>
    <row r="21" spans="1:15" ht="13.5" thickBot="1" x14ac:dyDescent="0.25">
      <c r="A21" s="2343" t="s">
        <v>633</v>
      </c>
      <c r="B21" s="2343"/>
      <c r="C21" s="2343"/>
      <c r="D21" s="2343"/>
      <c r="E21" s="2343"/>
      <c r="F21" s="1433"/>
      <c r="G21" s="1759"/>
      <c r="H21" s="1763"/>
      <c r="I21" s="1763"/>
      <c r="J21" s="1764">
        <f>SUM(J18:J20)</f>
        <v>0</v>
      </c>
      <c r="K21" s="1760"/>
    </row>
    <row r="22" spans="1:15" ht="13.5" thickTop="1" x14ac:dyDescent="0.2">
      <c r="A22" s="2323" t="s">
        <v>1792</v>
      </c>
      <c r="B22" s="2323"/>
      <c r="C22" s="2323"/>
      <c r="D22" s="2323"/>
      <c r="E22" s="2353"/>
      <c r="F22" s="634" t="s">
        <v>857</v>
      </c>
      <c r="G22" s="1752"/>
      <c r="H22" s="1743"/>
      <c r="I22" s="1743"/>
      <c r="J22" s="1765"/>
      <c r="K22" s="1744"/>
    </row>
    <row r="23" spans="1:15" ht="13.5" thickBot="1" x14ac:dyDescent="0.25">
      <c r="A23" s="2344" t="s">
        <v>900</v>
      </c>
      <c r="B23" s="2343"/>
      <c r="C23" s="2343"/>
      <c r="D23" s="2343"/>
      <c r="E23" s="2343"/>
      <c r="F23" s="1435"/>
      <c r="G23" s="1754">
        <f>SUM(G14:G16,G21,G22)</f>
        <v>0</v>
      </c>
      <c r="H23" s="1754">
        <f>SUM(H14:H16,H21,H22)</f>
        <v>325041</v>
      </c>
      <c r="I23" s="1754">
        <f>SUM(I14:I16,I21,I22)</f>
        <v>0</v>
      </c>
      <c r="J23" s="1754">
        <f>SUM(J14:J16,J21,J22)</f>
        <v>0</v>
      </c>
      <c r="K23" s="1754">
        <f>SUM(K14:K16,K21,K22)</f>
        <v>0</v>
      </c>
      <c r="M23" s="1845"/>
      <c r="N23" s="1845"/>
      <c r="O23" s="1845"/>
    </row>
    <row r="24" spans="1:15" ht="14.25" thickTop="1" thickBot="1" x14ac:dyDescent="0.25">
      <c r="A24" s="2345" t="str">
        <f>"Ending Cash Basis Fund Balance as of June 30, "&amp;'AFR20'!E2</f>
        <v>Ending Cash Basis Fund Balance as of June 30, 2020</v>
      </c>
      <c r="B24" s="2346"/>
      <c r="C24" s="2346"/>
      <c r="D24" s="2346"/>
      <c r="E24" s="2346"/>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1876</v>
      </c>
      <c r="B28" s="1509"/>
      <c r="C28" s="1509"/>
      <c r="D28" s="1509"/>
      <c r="E28" s="1510"/>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55"/>
      <c r="I31" s="2356"/>
      <c r="J31" s="2356"/>
      <c r="K31" s="2356"/>
    </row>
    <row r="32" spans="1:15" x14ac:dyDescent="0.2">
      <c r="A32" s="648"/>
      <c r="B32" s="231"/>
      <c r="C32" s="231"/>
      <c r="D32" s="231"/>
      <c r="E32" s="644"/>
      <c r="F32" s="650" t="s">
        <v>537</v>
      </c>
      <c r="G32" s="617"/>
      <c r="H32" s="2357"/>
      <c r="I32" s="2356"/>
      <c r="J32" s="2356"/>
      <c r="K32" s="2356"/>
    </row>
    <row r="33" spans="1:11" ht="1.5" customHeight="1" x14ac:dyDescent="0.2">
      <c r="A33" s="651" t="s">
        <v>1159</v>
      </c>
      <c r="B33" s="340"/>
      <c r="C33" s="340"/>
      <c r="D33" s="340"/>
      <c r="E33" s="340"/>
      <c r="F33" s="340"/>
      <c r="G33" s="652"/>
      <c r="H33" s="2357"/>
      <c r="I33" s="2356"/>
      <c r="J33" s="2356"/>
      <c r="K33" s="2356"/>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3" t="s">
        <v>538</v>
      </c>
      <c r="B41" s="2324"/>
      <c r="C41" s="2324"/>
      <c r="D41" s="2324"/>
      <c r="E41" s="2324"/>
      <c r="F41" s="2325"/>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1" sqref="J11"/>
    </sheetView>
  </sheetViews>
  <sheetFormatPr defaultColWidth="9.28515625" defaultRowHeight="12.75" x14ac:dyDescent="0.2"/>
  <cols>
    <col min="1" max="1" width="28.7109375" style="647" customWidth="1"/>
    <col min="2" max="2" width="5.7109375" style="420" customWidth="1"/>
    <col min="3" max="6" width="12.7109375" style="420" customWidth="1"/>
    <col min="7" max="7" width="6.42578125" style="420" customWidth="1"/>
    <col min="8" max="8" width="14.28515625" style="420" customWidth="1"/>
    <col min="9" max="9" width="12.7109375" style="420" customWidth="1"/>
    <col min="10" max="10" width="16.7109375" style="420" customWidth="1"/>
    <col min="11" max="11" width="15.5703125" style="420" customWidth="1"/>
    <col min="12" max="12" width="13.7109375" style="420" customWidth="1"/>
    <col min="13" max="16384" width="9.28515625" style="420"/>
  </cols>
  <sheetData>
    <row r="1" spans="1:14" ht="33" customHeight="1" x14ac:dyDescent="0.2">
      <c r="A1" s="2364" t="s">
        <v>1875</v>
      </c>
      <c r="B1" s="2365"/>
      <c r="C1" s="2366"/>
      <c r="D1" s="665"/>
      <c r="E1" s="666"/>
      <c r="F1" s="666"/>
      <c r="G1" s="667"/>
      <c r="H1" s="668"/>
      <c r="I1" s="669"/>
      <c r="J1" s="2362"/>
      <c r="K1" s="2363"/>
      <c r="L1" s="2363"/>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v>314014</v>
      </c>
      <c r="D5" s="1769"/>
      <c r="E5" s="1769"/>
      <c r="F5" s="1764">
        <f>(C5+D5)-E5</f>
        <v>314014</v>
      </c>
      <c r="G5" s="675"/>
      <c r="H5" s="679"/>
      <c r="I5" s="679"/>
      <c r="J5" s="679"/>
      <c r="K5" s="636"/>
      <c r="L5" s="1441">
        <f>F5-K5</f>
        <v>314014</v>
      </c>
    </row>
    <row r="6" spans="1:14" ht="14.25" thickTop="1" thickBot="1" x14ac:dyDescent="0.25">
      <c r="A6" s="628" t="s">
        <v>1107</v>
      </c>
      <c r="B6" s="678">
        <v>222</v>
      </c>
      <c r="C6" s="1744"/>
      <c r="D6" s="1744"/>
      <c r="E6" s="1744"/>
      <c r="F6" s="1764">
        <f>(C6+D6)-E6</f>
        <v>0</v>
      </c>
      <c r="G6" s="675">
        <v>50</v>
      </c>
      <c r="H6" s="618"/>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v>12201983</v>
      </c>
      <c r="D8" s="1770">
        <v>526392</v>
      </c>
      <c r="E8" s="1770"/>
      <c r="F8" s="1764">
        <f>(C8+D8)-E8</f>
        <v>12728375</v>
      </c>
      <c r="G8" s="680">
        <v>50</v>
      </c>
      <c r="H8" s="618">
        <v>4756070</v>
      </c>
      <c r="I8" s="618">
        <v>249304</v>
      </c>
      <c r="J8" s="618"/>
      <c r="K8" s="1441">
        <f>(H8+I8)-J8</f>
        <v>5005374</v>
      </c>
      <c r="L8" s="1441">
        <f>F8-K8</f>
        <v>7723001</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v>418363</v>
      </c>
      <c r="D10" s="1771"/>
      <c r="E10" s="1771"/>
      <c r="F10" s="1772">
        <f>(C10+D10)-E10</f>
        <v>418363</v>
      </c>
      <c r="G10" s="680">
        <v>20</v>
      </c>
      <c r="H10" s="682">
        <v>208844</v>
      </c>
      <c r="I10" s="682">
        <v>20918</v>
      </c>
      <c r="J10" s="682"/>
      <c r="K10" s="1441">
        <f>(H10+I10)-J10</f>
        <v>229762</v>
      </c>
      <c r="L10" s="1441">
        <f>F10-K10</f>
        <v>188601</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v>2048040</v>
      </c>
      <c r="D12" s="1770">
        <v>81896</v>
      </c>
      <c r="E12" s="1770"/>
      <c r="F12" s="1764">
        <f>(C12+D12)-E12</f>
        <v>2129936</v>
      </c>
      <c r="G12" s="680">
        <v>10</v>
      </c>
      <c r="H12" s="618">
        <v>1704123</v>
      </c>
      <c r="I12" s="618">
        <v>208899</v>
      </c>
      <c r="J12" s="618"/>
      <c r="K12" s="1441">
        <f>(H12+I12)-J12</f>
        <v>1913022</v>
      </c>
      <c r="L12" s="1441">
        <f>F12-K12</f>
        <v>216914</v>
      </c>
    </row>
    <row r="13" spans="1:14" ht="14.25" thickTop="1" thickBot="1" x14ac:dyDescent="0.25">
      <c r="A13" s="683" t="s">
        <v>1112</v>
      </c>
      <c r="B13" s="678">
        <v>252</v>
      </c>
      <c r="C13" s="1770"/>
      <c r="D13" s="1770"/>
      <c r="E13" s="1770"/>
      <c r="F13" s="1764">
        <f>(C13+D13)-E13</f>
        <v>0</v>
      </c>
      <c r="G13" s="680">
        <v>5</v>
      </c>
      <c r="H13" s="618"/>
      <c r="I13" s="618"/>
      <c r="J13" s="618"/>
      <c r="K13" s="1441">
        <f>(H13+I13)-J13</f>
        <v>0</v>
      </c>
      <c r="L13" s="1441">
        <f>F13-K13</f>
        <v>0</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v>37529</v>
      </c>
      <c r="D15" s="1770"/>
      <c r="E15" s="1770">
        <v>37529</v>
      </c>
      <c r="F15" s="1764">
        <f>(C15+D15)-E15</f>
        <v>0</v>
      </c>
      <c r="G15" s="684" t="s">
        <v>857</v>
      </c>
      <c r="H15" s="631"/>
      <c r="I15" s="631"/>
      <c r="J15" s="631"/>
      <c r="K15" s="631"/>
      <c r="L15" s="1441">
        <f>F15-K15</f>
        <v>0</v>
      </c>
    </row>
    <row r="16" spans="1:14" ht="15" customHeight="1" thickTop="1" thickBot="1" x14ac:dyDescent="0.25">
      <c r="A16" s="1437" t="s">
        <v>638</v>
      </c>
      <c r="B16" s="1438">
        <v>200</v>
      </c>
      <c r="C16" s="1764">
        <f>SUM(C3,C5:C6,C8:C10,C12:C15)</f>
        <v>15019929</v>
      </c>
      <c r="D16" s="1764">
        <f>SUM(D3,D5:D6,D8:D10,D12:D15)</f>
        <v>608288</v>
      </c>
      <c r="E16" s="1764">
        <f>SUM(E3,E5:E6,E8:E10,E12:E15)</f>
        <v>37529</v>
      </c>
      <c r="F16" s="1764">
        <f>SUM(F3,F5:F6,F8:F10,F12:F15)</f>
        <v>15590688</v>
      </c>
      <c r="G16" s="680"/>
      <c r="H16" s="1434">
        <f>SUM(H3,H6,H8:H10,H12:H14,)</f>
        <v>6669037</v>
      </c>
      <c r="I16" s="1434">
        <f>SUM(I3,I6,I8:I10,I12:I14,)</f>
        <v>479121</v>
      </c>
      <c r="J16" s="1434">
        <f>SUM(J3,J6,J8:J10,J12:J14,)</f>
        <v>0</v>
      </c>
      <c r="K16" s="1434">
        <f>(H16+I16)-J16</f>
        <v>7148158</v>
      </c>
      <c r="L16" s="1434">
        <f>F16-K16</f>
        <v>8442530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144810</v>
      </c>
      <c r="G17" s="675">
        <v>10</v>
      </c>
      <c r="H17" s="620"/>
      <c r="I17" s="1441">
        <f>F17/G17</f>
        <v>14481</v>
      </c>
      <c r="J17" s="620"/>
      <c r="K17" s="637"/>
      <c r="L17" s="637"/>
    </row>
    <row r="18" spans="1:12" ht="14.25" thickTop="1" thickBot="1" x14ac:dyDescent="0.25">
      <c r="A18" s="1439" t="s">
        <v>680</v>
      </c>
      <c r="B18" s="1440"/>
      <c r="C18" s="622"/>
      <c r="D18" s="622"/>
      <c r="E18" s="622"/>
      <c r="F18" s="685"/>
      <c r="G18" s="686"/>
      <c r="H18" s="623"/>
      <c r="I18" s="1434">
        <f>SUM(I16,I17)</f>
        <v>493602</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172" sqref="F172"/>
    </sheetView>
  </sheetViews>
  <sheetFormatPr defaultColWidth="8.7109375" defaultRowHeight="11.25" x14ac:dyDescent="0.2"/>
  <cols>
    <col min="1" max="1" width="22.28515625" style="691" customWidth="1"/>
    <col min="2" max="2" width="31.7109375" style="691" customWidth="1"/>
    <col min="3" max="3" width="6.7109375" style="698" customWidth="1"/>
    <col min="4" max="4" width="55.7109375" style="691" customWidth="1"/>
    <col min="5" max="5" width="3.28515625" style="698" customWidth="1"/>
    <col min="6" max="6" width="17.42578125" style="691" customWidth="1"/>
    <col min="7" max="7" width="0.7109375" style="691" customWidth="1"/>
    <col min="8" max="8" width="2.28515625" style="691" customWidth="1"/>
    <col min="9" max="16384" width="8.7109375" style="691"/>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0"/>
      <c r="I1" s="700"/>
    </row>
    <row r="2" spans="1:9" ht="15" customHeight="1" thickBot="1" x14ac:dyDescent="0.25">
      <c r="A2" s="2373" t="s">
        <v>474</v>
      </c>
      <c r="B2" s="2374"/>
      <c r="C2" s="2374"/>
      <c r="D2" s="2374"/>
      <c r="E2" s="2374"/>
      <c r="F2" s="2375"/>
      <c r="G2" s="692"/>
    </row>
    <row r="3" spans="1:9" ht="5.25" customHeight="1" thickTop="1" x14ac:dyDescent="0.2">
      <c r="A3" s="693"/>
      <c r="B3" s="694"/>
      <c r="C3" s="695"/>
      <c r="D3" s="694"/>
      <c r="E3" s="695"/>
      <c r="F3" s="694"/>
      <c r="G3" s="694"/>
    </row>
    <row r="4" spans="1:9" ht="12.4" customHeight="1" x14ac:dyDescent="0.2">
      <c r="A4" s="696" t="s">
        <v>1068</v>
      </c>
      <c r="B4" s="697" t="s">
        <v>115</v>
      </c>
      <c r="D4" s="699" t="s">
        <v>508</v>
      </c>
      <c r="F4" s="697" t="s">
        <v>860</v>
      </c>
    </row>
    <row r="5" spans="1:9" ht="7.5" customHeight="1" x14ac:dyDescent="0.2">
      <c r="A5" s="2376"/>
      <c r="B5" s="2377"/>
      <c r="C5" s="2377"/>
      <c r="D5" s="2377"/>
      <c r="E5" s="2377"/>
      <c r="F5" s="2377"/>
    </row>
    <row r="6" spans="1:9" ht="13.5" customHeight="1" thickBot="1" x14ac:dyDescent="0.25">
      <c r="A6" s="2367" t="s">
        <v>1095</v>
      </c>
      <c r="B6" s="2368"/>
      <c r="C6" s="2368"/>
      <c r="D6" s="2368"/>
      <c r="E6" s="2368"/>
      <c r="F6" s="2369"/>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6715534</v>
      </c>
      <c r="G8" s="700"/>
    </row>
    <row r="9" spans="1:9" x14ac:dyDescent="0.2">
      <c r="A9" s="704" t="s">
        <v>457</v>
      </c>
      <c r="B9" s="705" t="s">
        <v>1848</v>
      </c>
      <c r="C9" s="706"/>
      <c r="D9" s="704" t="s">
        <v>498</v>
      </c>
      <c r="E9" s="703"/>
      <c r="F9" s="1774">
        <f>'Expenditures 15-22'!K151</f>
        <v>604465</v>
      </c>
      <c r="G9" s="707"/>
    </row>
    <row r="10" spans="1:9" x14ac:dyDescent="0.2">
      <c r="A10" s="704" t="s">
        <v>496</v>
      </c>
      <c r="B10" s="705" t="s">
        <v>1849</v>
      </c>
      <c r="C10" s="706"/>
      <c r="D10" s="704" t="s">
        <v>498</v>
      </c>
      <c r="E10" s="703"/>
      <c r="F10" s="1774">
        <f>'Expenditures 15-22'!K174</f>
        <v>440148</v>
      </c>
      <c r="G10" s="707"/>
    </row>
    <row r="11" spans="1:9" x14ac:dyDescent="0.2">
      <c r="A11" s="704" t="s">
        <v>458</v>
      </c>
      <c r="B11" s="705" t="s">
        <v>1850</v>
      </c>
      <c r="C11" s="706"/>
      <c r="D11" s="704" t="s">
        <v>498</v>
      </c>
      <c r="E11" s="703"/>
      <c r="F11" s="1774">
        <f>'Expenditures 15-22'!K210</f>
        <v>216119</v>
      </c>
      <c r="G11" s="707"/>
    </row>
    <row r="12" spans="1:9" x14ac:dyDescent="0.2">
      <c r="A12" s="704" t="s">
        <v>459</v>
      </c>
      <c r="B12" s="705" t="s">
        <v>1851</v>
      </c>
      <c r="C12" s="706"/>
      <c r="D12" s="704" t="s">
        <v>498</v>
      </c>
      <c r="E12" s="703"/>
      <c r="F12" s="1774">
        <f>'Expenditures 15-22'!K295</f>
        <v>191224</v>
      </c>
      <c r="G12" s="707"/>
    </row>
    <row r="13" spans="1:9" x14ac:dyDescent="0.2">
      <c r="A13" s="704" t="s">
        <v>106</v>
      </c>
      <c r="B13" s="705" t="s">
        <v>1852</v>
      </c>
      <c r="C13" s="706"/>
      <c r="D13" s="704" t="s">
        <v>498</v>
      </c>
      <c r="E13" s="703"/>
      <c r="F13" s="1774">
        <f>'Expenditures 15-22'!K342</f>
        <v>234485</v>
      </c>
      <c r="G13" s="708"/>
    </row>
    <row r="14" spans="1:9" ht="12" customHeight="1" thickBot="1" x14ac:dyDescent="0.25">
      <c r="A14" s="1442"/>
      <c r="B14" s="1443"/>
      <c r="C14" s="1444"/>
      <c r="D14" s="1445" t="s">
        <v>498</v>
      </c>
      <c r="E14" s="1446" t="s">
        <v>952</v>
      </c>
      <c r="F14" s="1775">
        <f>SUM(F8:F13)</f>
        <v>8401975</v>
      </c>
      <c r="G14" s="700"/>
    </row>
    <row r="15" spans="1:9" ht="3.75" customHeight="1" thickTop="1" x14ac:dyDescent="0.2">
      <c r="A15" s="700"/>
      <c r="B15" s="700"/>
      <c r="C15" s="706"/>
      <c r="D15" s="700"/>
      <c r="E15" s="703"/>
      <c r="F15" s="1776"/>
      <c r="G15" s="700"/>
    </row>
    <row r="16" spans="1:9" ht="12" customHeight="1" x14ac:dyDescent="0.2">
      <c r="A16" s="709" t="s">
        <v>509</v>
      </c>
      <c r="B16" s="225"/>
      <c r="C16" s="225"/>
      <c r="D16" s="702"/>
      <c r="E16" s="703"/>
      <c r="F16" s="1777"/>
      <c r="G16" s="700"/>
    </row>
    <row r="17" spans="1:7" ht="4.5" customHeight="1" x14ac:dyDescent="0.2">
      <c r="A17" s="709"/>
      <c r="B17" s="225"/>
      <c r="C17" s="225"/>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1255</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294475</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49359</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22269</v>
      </c>
      <c r="G52" s="700"/>
    </row>
    <row r="53" spans="1:7" x14ac:dyDescent="0.2">
      <c r="A53" s="704" t="s">
        <v>456</v>
      </c>
      <c r="B53" s="704" t="s">
        <v>1458</v>
      </c>
      <c r="C53" s="723">
        <f>'Expenditures 15-22'!B102</f>
        <v>4000</v>
      </c>
      <c r="D53" s="722" t="str">
        <f>'Expenditures 15-22'!A102</f>
        <v>Total Payments to Other Govt Units</v>
      </c>
      <c r="E53" s="703"/>
      <c r="F53" s="1781">
        <f>'Expenditures 15-22'!K102</f>
        <v>1086383</v>
      </c>
      <c r="G53" s="700"/>
    </row>
    <row r="54" spans="1:7" x14ac:dyDescent="0.2">
      <c r="A54" s="704" t="s">
        <v>456</v>
      </c>
      <c r="B54" s="704" t="s">
        <v>1459</v>
      </c>
      <c r="C54" s="723" t="s">
        <v>975</v>
      </c>
      <c r="D54" s="719" t="s">
        <v>1086</v>
      </c>
      <c r="E54" s="703"/>
      <c r="F54" s="1781">
        <f>'Expenditures 15-22'!G114</f>
        <v>67307</v>
      </c>
      <c r="G54" s="700"/>
    </row>
    <row r="55" spans="1:7" x14ac:dyDescent="0.2">
      <c r="A55" s="704" t="s">
        <v>456</v>
      </c>
      <c r="B55" s="704" t="s">
        <v>1460</v>
      </c>
      <c r="C55" s="723" t="s">
        <v>975</v>
      </c>
      <c r="D55" s="719" t="s">
        <v>288</v>
      </c>
      <c r="E55" s="703"/>
      <c r="F55" s="1781">
        <f>'Expenditures 15-22'!I114</f>
        <v>136063</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53942</v>
      </c>
      <c r="G57" s="700"/>
    </row>
    <row r="58" spans="1:7" x14ac:dyDescent="0.2">
      <c r="A58" s="704" t="s">
        <v>457</v>
      </c>
      <c r="B58" s="704" t="s">
        <v>1854</v>
      </c>
      <c r="C58" s="720" t="s">
        <v>975</v>
      </c>
      <c r="D58" s="719" t="s">
        <v>1086</v>
      </c>
      <c r="E58" s="703"/>
      <c r="F58" s="1783">
        <f>'Expenditures 15-22'!G151</f>
        <v>14589</v>
      </c>
      <c r="G58" s="700"/>
    </row>
    <row r="59" spans="1:7" x14ac:dyDescent="0.2">
      <c r="A59" s="727" t="s">
        <v>457</v>
      </c>
      <c r="B59" s="691" t="s">
        <v>1855</v>
      </c>
      <c r="C59" s="728" t="s">
        <v>975</v>
      </c>
      <c r="D59" s="691" t="s">
        <v>288</v>
      </c>
      <c r="F59" s="1784">
        <f>'Expenditures 15-22'!I151</f>
        <v>8747</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380147</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13318</v>
      </c>
      <c r="G67" s="700"/>
    </row>
    <row r="68" spans="1:9" x14ac:dyDescent="0.2">
      <c r="A68" s="704" t="s">
        <v>459</v>
      </c>
      <c r="B68" s="704" t="s">
        <v>1462</v>
      </c>
      <c r="C68" s="720" t="str">
        <f>'Expenditures 15-22'!B218</f>
        <v>1225</v>
      </c>
      <c r="D68" s="726" t="str">
        <f>'Expenditures 15-22'!A218</f>
        <v>Special Education Programs - Pre-K</v>
      </c>
      <c r="E68" s="703"/>
      <c r="F68" s="1781">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2101</v>
      </c>
      <c r="G71" s="700"/>
    </row>
    <row r="72" spans="1:9" x14ac:dyDescent="0.2">
      <c r="A72" s="704" t="s">
        <v>459</v>
      </c>
      <c r="B72" s="704" t="s">
        <v>1867</v>
      </c>
      <c r="C72" s="720">
        <f>'Expenditures 15-22'!B280</f>
        <v>3000</v>
      </c>
      <c r="D72" s="711" t="s">
        <v>446</v>
      </c>
      <c r="E72" s="703"/>
      <c r="F72" s="1781">
        <f>'Expenditures 15-22'!K280</f>
        <v>0</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2129955</v>
      </c>
      <c r="G77" s="700"/>
    </row>
    <row r="78" spans="1:9" s="727" customFormat="1" ht="12" customHeight="1" thickTop="1" thickBot="1" x14ac:dyDescent="0.25">
      <c r="A78" s="1449"/>
      <c r="B78" s="1447"/>
      <c r="C78" s="1444"/>
      <c r="D78" s="1448" t="s">
        <v>2012</v>
      </c>
      <c r="E78" s="1446"/>
      <c r="F78" s="1787">
        <f>(F14-F77)</f>
        <v>6272020</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381</v>
      </c>
      <c r="G79" s="732"/>
      <c r="H79" s="704"/>
      <c r="I79" s="704"/>
    </row>
    <row r="80" spans="1:9" s="727" customFormat="1" ht="12" customHeight="1" thickBot="1" x14ac:dyDescent="0.25">
      <c r="A80" s="1451"/>
      <c r="B80" s="1447"/>
      <c r="C80" s="1444"/>
      <c r="D80" s="1448" t="s">
        <v>2013</v>
      </c>
      <c r="E80" s="1446" t="s">
        <v>952</v>
      </c>
      <c r="F80" s="1789">
        <f>IF(F79&gt;0,F78/F79," Complete Line 79")</f>
        <v>16461.994750656169</v>
      </c>
      <c r="G80" s="704"/>
    </row>
    <row r="81" spans="1:7" s="727" customFormat="1" ht="8.25" customHeight="1" thickTop="1" x14ac:dyDescent="0.2">
      <c r="A81" s="733"/>
      <c r="B81" s="704"/>
      <c r="C81" s="706"/>
      <c r="D81" s="734"/>
      <c r="E81" s="703"/>
      <c r="F81" s="1790"/>
      <c r="G81" s="704"/>
    </row>
    <row r="82" spans="1:7" s="727" customFormat="1" ht="12" thickBot="1" x14ac:dyDescent="0.25">
      <c r="A82" s="2367" t="s">
        <v>1096</v>
      </c>
      <c r="B82" s="2368"/>
      <c r="C82" s="2368"/>
      <c r="D82" s="2368"/>
      <c r="E82" s="2368"/>
      <c r="F82" s="2369"/>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0</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0</v>
      </c>
      <c r="G95" s="744"/>
    </row>
    <row r="96" spans="1:7" x14ac:dyDescent="0.2">
      <c r="A96" s="740" t="s">
        <v>139</v>
      </c>
      <c r="B96" s="740" t="s">
        <v>174</v>
      </c>
      <c r="C96" s="742">
        <v>1700</v>
      </c>
      <c r="D96" s="750" t="str">
        <f>'Revenues 9-14'!A82</f>
        <v>Total District/School Activity Income</v>
      </c>
      <c r="E96" s="738"/>
      <c r="F96" s="1792">
        <f>SUM('Revenues 9-14'!C82,'Revenues 9-14'!D82)</f>
        <v>5608</v>
      </c>
      <c r="G96" s="744"/>
    </row>
    <row r="97" spans="1:7" x14ac:dyDescent="0.2">
      <c r="A97" s="740" t="s">
        <v>456</v>
      </c>
      <c r="B97" s="740" t="s">
        <v>175</v>
      </c>
      <c r="C97" s="742">
        <f>'Revenues 9-14'!B84</f>
        <v>1811</v>
      </c>
      <c r="D97" s="743" t="str">
        <f>'Revenues 9-14'!A84</f>
        <v>Rentals - Regular Textbooks</v>
      </c>
      <c r="E97" s="738"/>
      <c r="F97" s="1792">
        <f>'Revenues 9-14'!C84</f>
        <v>0</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0</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0</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0</v>
      </c>
      <c r="G105" s="744"/>
    </row>
    <row r="106" spans="1:7" x14ac:dyDescent="0.2">
      <c r="A106" s="740" t="s">
        <v>500</v>
      </c>
      <c r="B106" s="740" t="s">
        <v>1910</v>
      </c>
      <c r="C106" s="745">
        <v>3100</v>
      </c>
      <c r="D106" s="751" t="str">
        <f>'Revenues 9-14'!A132</f>
        <v>Total Special Education</v>
      </c>
      <c r="E106" s="738"/>
      <c r="F106" s="1792">
        <f>SUM('Revenues 9-14'!C132:D132,'Revenues 9-14'!F132)</f>
        <v>12787</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0</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3269</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183171</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0</v>
      </c>
      <c r="G121" s="762"/>
    </row>
    <row r="122" spans="1:7" x14ac:dyDescent="0.2">
      <c r="A122" s="759" t="s">
        <v>497</v>
      </c>
      <c r="B122" s="759" t="s">
        <v>1926</v>
      </c>
      <c r="C122" s="760">
        <f>'Revenues 9-14'!B168</f>
        <v>3999</v>
      </c>
      <c r="D122" s="761" t="s">
        <v>540</v>
      </c>
      <c r="E122" s="763"/>
      <c r="F122" s="1792">
        <f>SUM('Revenues 9-14'!C168:G168,'Revenues 9-14'!J168)</f>
        <v>0</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258145</v>
      </c>
      <c r="G126" s="762"/>
    </row>
    <row r="127" spans="1:7" x14ac:dyDescent="0.2">
      <c r="A127" s="759" t="s">
        <v>663</v>
      </c>
      <c r="B127" s="759" t="s">
        <v>1931</v>
      </c>
      <c r="C127" s="764">
        <v>4300</v>
      </c>
      <c r="D127" s="765" t="str">
        <f>'Revenues 9-14'!A204</f>
        <v>Total Title I</v>
      </c>
      <c r="E127" s="738"/>
      <c r="F127" s="1792">
        <f>SUM('Revenues 9-14'!C204,'Revenues 9-14'!D204,'Revenues 9-14'!F204,'Revenues 9-14'!G204)</f>
        <v>132917</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14440</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113416</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0</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22397</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77305</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0</v>
      </c>
      <c r="G171" s="759"/>
    </row>
    <row r="172" spans="1:7" x14ac:dyDescent="0.2">
      <c r="A172" s="1528" t="s">
        <v>5</v>
      </c>
      <c r="B172" s="1529" t="s">
        <v>1885</v>
      </c>
      <c r="C172" s="1530">
        <v>3100</v>
      </c>
      <c r="D172" s="1531" t="s">
        <v>1887</v>
      </c>
      <c r="E172" s="738"/>
      <c r="F172" s="1793">
        <v>96457.03</v>
      </c>
      <c r="G172" s="759"/>
    </row>
    <row r="173" spans="1:7" x14ac:dyDescent="0.2">
      <c r="A173" s="1528" t="s">
        <v>659</v>
      </c>
      <c r="B173" s="1529" t="s">
        <v>1885</v>
      </c>
      <c r="C173" s="1530">
        <v>3300</v>
      </c>
      <c r="D173" s="1531" t="s">
        <v>1888</v>
      </c>
      <c r="E173" s="738"/>
      <c r="F173" s="1793">
        <v>11275.07</v>
      </c>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931187.1</v>
      </c>
    </row>
    <row r="176" spans="1:7" ht="12" customHeight="1" x14ac:dyDescent="0.2">
      <c r="A176" s="1442"/>
      <c r="B176" s="1452"/>
      <c r="C176" s="1453"/>
      <c r="D176" s="1454" t="s">
        <v>2014</v>
      </c>
      <c r="E176" s="1455"/>
      <c r="F176" s="1792">
        <f>'PCTC-OEPP 27-28'!F78-F175</f>
        <v>5340832.9000000004</v>
      </c>
    </row>
    <row r="177" spans="1:9" ht="12" customHeight="1" x14ac:dyDescent="0.2">
      <c r="A177" s="1442"/>
      <c r="B177" s="1452"/>
      <c r="C177" s="1453"/>
      <c r="D177" s="1454" t="s">
        <v>1794</v>
      </c>
      <c r="E177" s="1455"/>
      <c r="F177" s="1792">
        <f>'Cap Outlay Deprec 26'!I18</f>
        <v>493602</v>
      </c>
    </row>
    <row r="178" spans="1:9" ht="12" customHeight="1" x14ac:dyDescent="0.2">
      <c r="A178" s="1442"/>
      <c r="B178" s="1452"/>
      <c r="C178" s="1453"/>
      <c r="D178" s="1454" t="s">
        <v>2015</v>
      </c>
      <c r="E178" s="1455"/>
      <c r="F178" s="1792">
        <f>F176+F177</f>
        <v>5834434.9000000004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381</v>
      </c>
      <c r="G179" s="762"/>
      <c r="I179" s="700"/>
    </row>
    <row r="180" spans="1:9" ht="12" customHeight="1" thickBot="1" x14ac:dyDescent="0.25">
      <c r="A180" s="1442"/>
      <c r="B180" s="1456"/>
      <c r="C180" s="1453"/>
      <c r="D180" s="1454" t="s">
        <v>2017</v>
      </c>
      <c r="E180" s="1455" t="s">
        <v>1528</v>
      </c>
      <c r="F180" s="1797">
        <f>F178/F179</f>
        <v>15313.477427821523</v>
      </c>
      <c r="G180" s="691">
        <v>6323</v>
      </c>
    </row>
    <row r="181" spans="1:9" ht="12" thickTop="1" x14ac:dyDescent="0.2">
      <c r="B181" s="762"/>
      <c r="C181" s="781"/>
      <c r="D181" s="762"/>
      <c r="E181" s="781"/>
      <c r="F181" s="762"/>
      <c r="G181" s="782">
        <v>6326</v>
      </c>
    </row>
    <row r="182" spans="1:9" ht="12.4" customHeight="1" x14ac:dyDescent="0.2">
      <c r="A182" s="762" t="s">
        <v>1886</v>
      </c>
      <c r="B182" s="762"/>
      <c r="C182" s="781"/>
      <c r="D182" s="762"/>
      <c r="E182" s="781"/>
      <c r="F182" s="762"/>
      <c r="G182" s="762"/>
    </row>
    <row r="183" spans="1:9" s="1532" customFormat="1" ht="12.4"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4"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34" sqref="C34"/>
    </sheetView>
  </sheetViews>
  <sheetFormatPr defaultColWidth="9.28515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28515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81" t="s">
        <v>1795</v>
      </c>
      <c r="B4" s="2382"/>
      <c r="C4" s="2382"/>
      <c r="D4" s="2382"/>
      <c r="E4" s="2382"/>
      <c r="F4" s="2383"/>
    </row>
    <row r="5" spans="1:6" x14ac:dyDescent="0.25">
      <c r="A5" s="2384"/>
      <c r="B5" s="2385"/>
      <c r="C5" s="2385"/>
      <c r="D5" s="2385"/>
      <c r="E5" s="2385"/>
      <c r="F5" s="2386"/>
    </row>
    <row r="6" spans="1:6" ht="18.75" x14ac:dyDescent="0.25">
      <c r="A6" s="1866" t="s">
        <v>1796</v>
      </c>
      <c r="B6" s="1867"/>
      <c r="C6" s="1868"/>
      <c r="D6" s="1868"/>
      <c r="E6" s="1868"/>
      <c r="F6" s="1869"/>
    </row>
    <row r="7" spans="1:6" ht="47.25" customHeight="1" x14ac:dyDescent="0.25">
      <c r="A7" s="2387" t="s">
        <v>1985</v>
      </c>
      <c r="B7" s="2388"/>
      <c r="C7" s="2388"/>
      <c r="D7" s="2388"/>
      <c r="E7" s="2388"/>
      <c r="F7" s="2389"/>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90" t="s">
        <v>1981</v>
      </c>
      <c r="B10" s="2391"/>
      <c r="C10" s="2391"/>
      <c r="D10" s="2391"/>
      <c r="E10" s="2391"/>
      <c r="F10" s="2392"/>
    </row>
    <row r="11" spans="1:6" ht="33" customHeight="1" x14ac:dyDescent="0.25">
      <c r="A11" s="2387" t="s">
        <v>1986</v>
      </c>
      <c r="B11" s="2388"/>
      <c r="C11" s="2388"/>
      <c r="D11" s="2388"/>
      <c r="E11" s="2388"/>
      <c r="F11" s="2389"/>
    </row>
    <row r="12" spans="1:6" ht="15" customHeight="1" x14ac:dyDescent="0.25">
      <c r="A12" s="1872" t="s">
        <v>1982</v>
      </c>
      <c r="B12" s="1873"/>
      <c r="C12" s="1874"/>
      <c r="D12" s="1874"/>
      <c r="E12" s="1874"/>
      <c r="F12" s="1875"/>
    </row>
    <row r="13" spans="1:6" ht="17.25" customHeight="1" x14ac:dyDescent="0.25">
      <c r="A13" s="2387" t="s">
        <v>1983</v>
      </c>
      <c r="B13" s="2388"/>
      <c r="C13" s="2388"/>
      <c r="D13" s="2388"/>
      <c r="E13" s="2388"/>
      <c r="F13" s="2389"/>
    </row>
    <row r="14" spans="1:6" ht="15" customHeight="1" x14ac:dyDescent="0.25">
      <c r="A14" s="1872" t="s">
        <v>1800</v>
      </c>
      <c r="B14" s="1873"/>
      <c r="C14" s="1874"/>
      <c r="D14" s="1874"/>
      <c r="E14" s="1874"/>
      <c r="F14" s="1875"/>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8" t="s">
        <v>2074</v>
      </c>
      <c r="B18" s="2039" t="s">
        <v>2075</v>
      </c>
      <c r="C18" s="2040" t="s">
        <v>2076</v>
      </c>
      <c r="D18" s="2037">
        <v>21265.95</v>
      </c>
      <c r="E18" s="1905">
        <f t="shared" ref="E18:E81" si="0">IF(D18&lt;25000,D18,"25,000")</f>
        <v>21265.95</v>
      </c>
      <c r="F18" s="1905" t="str">
        <f t="shared" ref="F18:F81" si="1">IF(D18&gt;=25000,(D18-E18),"0")</f>
        <v>0</v>
      </c>
      <c r="G18" s="1886"/>
    </row>
    <row r="19" spans="1:7" x14ac:dyDescent="0.25">
      <c r="A19" s="2038" t="s">
        <v>2077</v>
      </c>
      <c r="B19" s="2039" t="s">
        <v>2078</v>
      </c>
      <c r="C19" s="2040" t="s">
        <v>2079</v>
      </c>
      <c r="D19" s="2037">
        <v>158030.59</v>
      </c>
      <c r="E19" s="1905" t="str">
        <f t="shared" si="0"/>
        <v>25,000</v>
      </c>
      <c r="F19" s="1905">
        <f t="shared" si="1"/>
        <v>133030.59</v>
      </c>
    </row>
    <row r="20" spans="1:7" x14ac:dyDescent="0.25">
      <c r="A20" s="2038" t="s">
        <v>2080</v>
      </c>
      <c r="B20" s="2039" t="s">
        <v>2081</v>
      </c>
      <c r="C20" s="2040" t="s">
        <v>2082</v>
      </c>
      <c r="D20" s="2037">
        <v>21700</v>
      </c>
      <c r="E20" s="1905">
        <f t="shared" si="0"/>
        <v>21700</v>
      </c>
      <c r="F20" s="1905" t="str">
        <f t="shared" si="1"/>
        <v>0</v>
      </c>
    </row>
    <row r="21" spans="1:7" x14ac:dyDescent="0.25">
      <c r="A21" s="2038" t="s">
        <v>2083</v>
      </c>
      <c r="B21" s="2039" t="s">
        <v>2084</v>
      </c>
      <c r="C21" s="2040" t="s">
        <v>2085</v>
      </c>
      <c r="D21" s="2037">
        <v>9310</v>
      </c>
      <c r="E21" s="1905">
        <f t="shared" si="0"/>
        <v>9310</v>
      </c>
      <c r="F21" s="1905" t="str">
        <f t="shared" si="1"/>
        <v>0</v>
      </c>
    </row>
    <row r="22" spans="1:7" x14ac:dyDescent="0.25">
      <c r="A22" s="2038" t="s">
        <v>2083</v>
      </c>
      <c r="B22" s="2039" t="s">
        <v>2084</v>
      </c>
      <c r="C22" s="2040" t="s">
        <v>2086</v>
      </c>
      <c r="D22" s="2037">
        <v>35035</v>
      </c>
      <c r="E22" s="1905" t="str">
        <f t="shared" si="0"/>
        <v>25,000</v>
      </c>
      <c r="F22" s="1905">
        <f t="shared" si="1"/>
        <v>10035</v>
      </c>
    </row>
    <row r="23" spans="1:7" x14ac:dyDescent="0.25">
      <c r="A23" s="2038" t="s">
        <v>2087</v>
      </c>
      <c r="B23" s="2039" t="s">
        <v>2088</v>
      </c>
      <c r="C23" s="2040" t="s">
        <v>2089</v>
      </c>
      <c r="D23" s="2037">
        <v>15673.41</v>
      </c>
      <c r="E23" s="1905">
        <f t="shared" si="0"/>
        <v>15673.41</v>
      </c>
      <c r="F23" s="1905" t="str">
        <f t="shared" si="1"/>
        <v>0</v>
      </c>
    </row>
    <row r="24" spans="1:7" x14ac:dyDescent="0.25">
      <c r="A24" s="2038" t="s">
        <v>2090</v>
      </c>
      <c r="B24" s="2039" t="s">
        <v>2091</v>
      </c>
      <c r="C24" s="2040" t="s">
        <v>2066</v>
      </c>
      <c r="D24" s="2037">
        <v>10950</v>
      </c>
      <c r="E24" s="1905">
        <f t="shared" si="0"/>
        <v>10950</v>
      </c>
      <c r="F24" s="1905" t="str">
        <f t="shared" si="1"/>
        <v>0</v>
      </c>
    </row>
    <row r="25" spans="1:7" x14ac:dyDescent="0.25">
      <c r="A25" s="2038" t="s">
        <v>2087</v>
      </c>
      <c r="B25" s="2039" t="s">
        <v>2092</v>
      </c>
      <c r="C25" s="2040" t="s">
        <v>2093</v>
      </c>
      <c r="D25" s="2037">
        <v>16791.97</v>
      </c>
      <c r="E25" s="1905">
        <f t="shared" si="0"/>
        <v>16791.97</v>
      </c>
      <c r="F25" s="1905" t="str">
        <f t="shared" si="1"/>
        <v>0</v>
      </c>
    </row>
    <row r="26" spans="1:7" x14ac:dyDescent="0.25">
      <c r="A26" s="2038" t="s">
        <v>2083</v>
      </c>
      <c r="B26" s="2039" t="s">
        <v>2084</v>
      </c>
      <c r="C26" s="2040" t="s">
        <v>2094</v>
      </c>
      <c r="D26" s="2037">
        <v>24900</v>
      </c>
      <c r="E26" s="1905">
        <f t="shared" si="0"/>
        <v>24900</v>
      </c>
      <c r="F26" s="1905" t="str">
        <f t="shared" si="1"/>
        <v>0</v>
      </c>
    </row>
    <row r="27" spans="1:7" x14ac:dyDescent="0.25">
      <c r="A27" s="2038" t="s">
        <v>2080</v>
      </c>
      <c r="B27" s="2039" t="s">
        <v>2081</v>
      </c>
      <c r="C27" s="2040" t="s">
        <v>2095</v>
      </c>
      <c r="D27" s="2037">
        <v>9002.75</v>
      </c>
      <c r="E27" s="1905">
        <f t="shared" si="0"/>
        <v>9002.75</v>
      </c>
      <c r="F27" s="1905" t="str">
        <f t="shared" si="1"/>
        <v>0</v>
      </c>
    </row>
    <row r="28" spans="1:7" x14ac:dyDescent="0.25">
      <c r="A28" s="2038" t="s">
        <v>2077</v>
      </c>
      <c r="B28" s="2039" t="s">
        <v>2078</v>
      </c>
      <c r="C28" s="2040" t="s">
        <v>2096</v>
      </c>
      <c r="D28" s="2037">
        <v>18963</v>
      </c>
      <c r="E28" s="1905">
        <f t="shared" si="0"/>
        <v>18963</v>
      </c>
      <c r="F28" s="1905" t="str">
        <f t="shared" si="1"/>
        <v>0</v>
      </c>
    </row>
    <row r="29" spans="1:7" x14ac:dyDescent="0.25">
      <c r="A29" s="2038" t="s">
        <v>2080</v>
      </c>
      <c r="B29" s="2039" t="s">
        <v>2081</v>
      </c>
      <c r="C29" s="2040" t="s">
        <v>2097</v>
      </c>
      <c r="D29" s="2037">
        <v>74631</v>
      </c>
      <c r="E29" s="1905" t="str">
        <f t="shared" si="0"/>
        <v>25,000</v>
      </c>
      <c r="F29" s="1905">
        <f t="shared" si="1"/>
        <v>49631</v>
      </c>
    </row>
    <row r="30" spans="1:7" x14ac:dyDescent="0.25">
      <c r="A30" s="2038" t="s">
        <v>2098</v>
      </c>
      <c r="B30" s="2039" t="s">
        <v>2092</v>
      </c>
      <c r="C30" s="2040" t="s">
        <v>2099</v>
      </c>
      <c r="D30" s="2037">
        <v>14327.05</v>
      </c>
      <c r="E30" s="1905">
        <f t="shared" si="0"/>
        <v>14327.05</v>
      </c>
      <c r="F30" s="1905" t="str">
        <f t="shared" si="1"/>
        <v>0</v>
      </c>
    </row>
    <row r="31" spans="1:7" x14ac:dyDescent="0.25">
      <c r="A31" s="2034"/>
      <c r="B31" s="2035"/>
      <c r="C31" s="2036"/>
      <c r="D31" s="2037"/>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430580.72000000003</v>
      </c>
      <c r="E142" s="1892">
        <f>SUM(E18:E141)</f>
        <v>162884.13</v>
      </c>
      <c r="F142" s="1893">
        <f>SUM(F18:F141)</f>
        <v>192696.59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485775</xdr:colOff>
                <xdr:row>9</xdr:row>
                <xdr:rowOff>133350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28515625" defaultRowHeight="12.75" x14ac:dyDescent="0.2"/>
  <cols>
    <col min="1" max="1" width="8.28515625" style="306" customWidth="1"/>
    <col min="2" max="2" width="46.7109375" style="306" customWidth="1"/>
    <col min="3" max="3" width="8" style="306" customWidth="1"/>
    <col min="4" max="6" width="16.7109375" style="306" customWidth="1"/>
    <col min="7" max="7" width="17.28515625" style="306" customWidth="1"/>
    <col min="8" max="8" width="3.7109375" style="306" customWidth="1"/>
    <col min="9" max="9" width="3.28515625" style="174" customWidth="1"/>
    <col min="10" max="10" width="5.42578125" style="306" customWidth="1"/>
    <col min="11" max="14" width="4.5703125" style="306" customWidth="1"/>
    <col min="15" max="16384" width="9.28515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93" t="s">
        <v>1660</v>
      </c>
      <c r="B5" s="2394"/>
      <c r="C5" s="2394"/>
      <c r="D5" s="2394"/>
      <c r="E5" s="2394"/>
      <c r="F5" s="2394"/>
      <c r="G5" s="2395"/>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9"/>
      <c r="F7" s="804"/>
      <c r="G7" s="805"/>
      <c r="H7" s="156"/>
      <c r="I7" s="156"/>
    </row>
    <row r="8" spans="1:13" s="541" customFormat="1" ht="12" customHeight="1" x14ac:dyDescent="0.2">
      <c r="A8" s="801" t="s">
        <v>129</v>
      </c>
      <c r="B8" s="802"/>
      <c r="C8" s="802"/>
      <c r="D8" s="803"/>
      <c r="E8" s="1799"/>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1894</v>
      </c>
      <c r="B10" s="802"/>
      <c r="C10" s="806"/>
      <c r="D10" s="803"/>
      <c r="E10" s="1799"/>
      <c r="F10" s="804"/>
      <c r="G10" s="805"/>
      <c r="H10" s="156"/>
      <c r="I10" s="156"/>
    </row>
    <row r="11" spans="1:13" s="541"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0"/>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1"/>
      <c r="E19" s="1802">
        <f>'Expenditures 15-22'!K33-SUM('Expenditures 15-22'!G33,'Expenditures 15-22'!I33)+'Expenditures 15-22'!D229</f>
        <v>3296675</v>
      </c>
      <c r="F19" s="1801"/>
      <c r="G19" s="1803">
        <f>'Expenditures 15-22'!K33-SUM('Expenditures 15-22'!G33,'Expenditures 15-22'!I33)+'Expenditures 15-22'!D229</f>
        <v>3296675</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314552</v>
      </c>
      <c r="F21" s="1804"/>
      <c r="G21" s="1807">
        <f>'Expenditures 15-22'!K42-SUM('Expenditures 15-22'!G42,'Expenditures 15-22'!I42)+'Expenditures 15-22'!K120-SUM('Expenditures 15-22'!G120,'Expenditures 15-22'!I120)+'Expenditures 15-22'!K180-SUM('Expenditures 15-22'!G180,'Expenditures 15-22'!I180)+'Expenditures 15-22'!D238</f>
        <v>314552</v>
      </c>
      <c r="H21" s="816"/>
      <c r="I21" s="156"/>
    </row>
    <row r="22" spans="1:9" s="541" customFormat="1" ht="12" customHeight="1" x14ac:dyDescent="0.2">
      <c r="A22" s="823" t="s">
        <v>560</v>
      </c>
      <c r="B22" s="824"/>
      <c r="C22" s="822">
        <v>2200</v>
      </c>
      <c r="D22" s="1804"/>
      <c r="E22" s="1806">
        <f>'Expenditures 15-22'!K47-SUM('Expenditures 15-22'!G47,'Expenditures 15-22'!I47)+'Expenditures 15-22'!D243</f>
        <v>405327</v>
      </c>
      <c r="F22" s="1804"/>
      <c r="G22" s="1807">
        <f>'Expenditures 15-22'!K47-SUM('Expenditures 15-22'!G47,'Expenditures 15-22'!I47)+'Expenditures 15-22'!D243</f>
        <v>405327</v>
      </c>
      <c r="H22" s="816"/>
      <c r="I22" s="156"/>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617997</v>
      </c>
      <c r="F23" s="1804"/>
      <c r="G23" s="1806">
        <f>'Expenditures 15-22'!K53-SUM('Expenditures 15-22'!G53,'Expenditures 15-22'!I53)+'Expenditures 15-22'!D257+'Expenditures 15-22'!K330-SUM('Expenditures 15-22'!G330,'Expenditures 15-22'!I330)</f>
        <v>617997</v>
      </c>
      <c r="H23" s="816"/>
      <c r="I23" s="156"/>
    </row>
    <row r="24" spans="1:9" s="541" customFormat="1" ht="12" customHeight="1" x14ac:dyDescent="0.2">
      <c r="A24" s="823" t="s">
        <v>562</v>
      </c>
      <c r="B24" s="824"/>
      <c r="C24" s="822">
        <v>2400</v>
      </c>
      <c r="D24" s="1804"/>
      <c r="E24" s="1806">
        <f>'Expenditures 15-22'!K57-SUM('Expenditures 15-22'!G57,'Expenditures 15-22'!I57)+'Expenditures 15-22'!D261</f>
        <v>404844</v>
      </c>
      <c r="F24" s="1804"/>
      <c r="G24" s="1807">
        <f>'Expenditures 15-22'!K57-SUM('Expenditures 15-22'!G57,'Expenditures 15-22'!I57)+'Expenditures 15-22'!D261</f>
        <v>404844</v>
      </c>
      <c r="H24" s="816"/>
      <c r="I24" s="156"/>
    </row>
    <row r="25" spans="1:9" s="541" customFormat="1" ht="12" customHeight="1" x14ac:dyDescent="0.2">
      <c r="A25" s="819" t="s">
        <v>563</v>
      </c>
      <c r="B25" s="825"/>
      <c r="C25" s="822"/>
      <c r="D25" s="1804"/>
      <c r="E25" s="1806"/>
      <c r="F25" s="1804"/>
      <c r="G25" s="1807"/>
      <c r="H25" s="816"/>
      <c r="I25" s="156"/>
    </row>
    <row r="26" spans="1:9" s="541" customFormat="1" ht="12" customHeight="1" x14ac:dyDescent="0.2">
      <c r="A26" s="823" t="s">
        <v>512</v>
      </c>
      <c r="B26" s="826"/>
      <c r="C26" s="822">
        <v>2510</v>
      </c>
      <c r="D26" s="1806">
        <f>'Expenditures 15-22'!K59-SUM('Expenditures 15-22'!G59,'Expenditures 15-22'!I59)+'Expenditures 15-22'!D263-E7</f>
        <v>129287</v>
      </c>
      <c r="E26" s="1806">
        <f>'Expenditures 15-22'!K122-SUM('Expenditures 15-22'!G122,'Expenditures 15-22'!I122)+E7</f>
        <v>0</v>
      </c>
      <c r="F26" s="1806">
        <f>'Expenditures 15-22'!K59-SUM('Expenditures 15-22'!G59,'Expenditures 15-22'!I59)+'Expenditures 15-22'!D263-E7</f>
        <v>129287</v>
      </c>
      <c r="G26" s="1807">
        <f>'Expenditures 15-22'!K122-SUM('Expenditures 15-22'!G122,'Expenditures 15-22'!I122)+E7</f>
        <v>0</v>
      </c>
      <c r="H26" s="816"/>
      <c r="I26" s="156"/>
    </row>
    <row r="27" spans="1:9" s="541" customFormat="1" ht="12" customHeight="1" x14ac:dyDescent="0.2">
      <c r="A27" s="823" t="s">
        <v>460</v>
      </c>
      <c r="B27" s="826"/>
      <c r="C27" s="822">
        <v>2520</v>
      </c>
      <c r="D27" s="1806">
        <f>'Expenditures 15-22'!K60-SUM('Expenditures 15-22'!G60,'Expenditures 15-22'!I60)+'Expenditures 15-22'!D264-E8</f>
        <v>25336</v>
      </c>
      <c r="E27" s="1806">
        <f>E8</f>
        <v>0</v>
      </c>
      <c r="F27" s="1806">
        <f>'Expenditures 15-22'!K60-SUM('Expenditures 15-22'!G60,'Expenditures 15-22'!I60)+'Expenditures 15-22'!D264-E8</f>
        <v>25336</v>
      </c>
      <c r="G27" s="1807">
        <f>E8</f>
        <v>0</v>
      </c>
      <c r="H27" s="816"/>
      <c r="I27" s="156"/>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563933</v>
      </c>
      <c r="F28" s="1808">
        <f>'Expenditures 15-22'!K61-SUM('Expenditures 15-22'!G61,'Expenditures 15-22'!I61)+'Expenditures 15-22'!K124-SUM('Expenditures 15-22'!G124,'Expenditures 15-22'!I124)+'Expenditures 15-22'!D266-E9</f>
        <v>563933</v>
      </c>
      <c r="G28" s="1807">
        <f>E9</f>
        <v>0</v>
      </c>
      <c r="H28" s="816"/>
      <c r="I28" s="156"/>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104316</v>
      </c>
      <c r="F29" s="1804"/>
      <c r="G29" s="1807">
        <f>'Expenditures 15-22'!K62-SUM('Expenditures 15-22'!G62,'Expenditures 15-22'!I62)+'Expenditures 15-22'!K125-SUM('Expenditures 15-22'!G125,'Expenditures 15-22'!I125)+'Expenditures 15-22'!K182-SUM('Expenditures 15-22'!G182,'Expenditures 15-22'!I182)+'Expenditures 15-22'!D267</f>
        <v>104316</v>
      </c>
      <c r="H29" s="814"/>
    </row>
    <row r="30" spans="1:9" ht="12" customHeight="1" x14ac:dyDescent="0.2">
      <c r="A30" s="823" t="s">
        <v>100</v>
      </c>
      <c r="B30" s="826"/>
      <c r="C30" s="822">
        <v>2560</v>
      </c>
      <c r="D30" s="1804"/>
      <c r="E30" s="1806">
        <f>'Expenditures 15-22'!K63-SUM('Expenditures 15-22'!G63,'Expenditures 15-22'!I63)+'Expenditures 15-22'!D268-E10</f>
        <v>294331</v>
      </c>
      <c r="F30" s="1804"/>
      <c r="G30" s="1806">
        <f>'Expenditures 15-22'!K63-SUM('Expenditures 15-22'!G63,'Expenditures 15-22'!I63)+'Expenditures 15-22'!D268-E10</f>
        <v>294331</v>
      </c>
    </row>
    <row r="31" spans="1:9" ht="12" customHeight="1" x14ac:dyDescent="0.2">
      <c r="A31" s="823" t="s">
        <v>101</v>
      </c>
      <c r="B31" s="826"/>
      <c r="C31" s="822">
        <v>2570</v>
      </c>
      <c r="D31" s="1806">
        <f>'Expenditures 15-22'!K64-SUM('Expenditures 15-22'!G64,'Expenditures 15-22'!I64)+'Expenditures 15-22'!D269-E12</f>
        <v>9166</v>
      </c>
      <c r="E31" s="1806">
        <f>E12</f>
        <v>0</v>
      </c>
      <c r="F31" s="1806">
        <f>'Expenditures 15-22'!K64-SUM('Expenditures 15-22'!G64,'Expenditures 15-22'!I64)+'Expenditures 15-22'!D269-E12</f>
        <v>9166</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5821</v>
      </c>
      <c r="F35" s="1804"/>
      <c r="G35" s="1806">
        <f>'Expenditures 15-22'!K69-SUM('Expenditures 15-22'!G69,'Expenditures 15-22'!I69)+'Expenditures 15-22'!D274</f>
        <v>5821</v>
      </c>
    </row>
    <row r="36" spans="1:7" ht="12" customHeight="1" x14ac:dyDescent="0.2">
      <c r="A36" s="823" t="s">
        <v>400</v>
      </c>
      <c r="B36" s="826"/>
      <c r="C36" s="822">
        <v>2640</v>
      </c>
      <c r="D36" s="1806">
        <f>'Expenditures 15-22'!K70-SUM('Expenditures 15-22'!G70,'Expenditures 15-22'!I70)+'Expenditures 15-22'!D275-E13</f>
        <v>25922</v>
      </c>
      <c r="E36" s="1806">
        <f>E13</f>
        <v>0</v>
      </c>
      <c r="F36" s="1806">
        <f>'Expenditures 15-22'!K70-SUM('Expenditures 15-22'!G70,'Expenditures 15-22'!I70)+'Expenditures 15-22'!D275-E13</f>
        <v>25922</v>
      </c>
      <c r="G36" s="1806">
        <f>E13</f>
        <v>0</v>
      </c>
    </row>
    <row r="37" spans="1:7" ht="12" customHeight="1" x14ac:dyDescent="0.2">
      <c r="A37" s="823" t="s">
        <v>401</v>
      </c>
      <c r="B37" s="826"/>
      <c r="C37" s="822">
        <v>2660</v>
      </c>
      <c r="D37" s="1806">
        <f>'Expenditures 15-22'!K71-SUM('Expenditures 15-22'!G71,'Expenditures 15-22'!I71)+'Expenditures 15-22'!D276-E14</f>
        <v>261150</v>
      </c>
      <c r="E37" s="1806">
        <f>E14</f>
        <v>0</v>
      </c>
      <c r="F37" s="1806">
        <f>'Expenditures 15-22'!K71-SUM('Expenditures 15-22'!G71,'Expenditures 15-22'!I71)+'Expenditures 15-22'!D276-E14</f>
        <v>261150</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113870</v>
      </c>
      <c r="F38" s="1804"/>
      <c r="G38" s="1806">
        <f>'Expenditures 15-22'!K73-SUM('Expenditures 15-22'!G73,'Expenditures 15-22'!I73)+'Expenditures 15-22'!K128-SUM('Expenditures 15-22'!G128,'Expenditures 15-22'!I128)+'Expenditures 15-22'!K183-SUM('Expenditures 15-22'!G183,'Expenditures 15-22'!I183)+'Expenditures 15-22'!D278</f>
        <v>113870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22269</v>
      </c>
      <c r="F39" s="1804"/>
      <c r="G39" s="1806">
        <f>'Expenditures 15-22'!K75-SUM('Expenditures 15-22'!G75,'Expenditures 15-22'!I75)+'Expenditures 15-22'!K130-SUM('Expenditures 15-22'!G130,'Expenditures 15-22'!I130)+'Expenditures 15-22'!K185-SUM('Expenditures 15-22'!G185,'Expenditures 15-22'!I185)+'Expenditures 15-22'!D280</f>
        <v>22269</v>
      </c>
    </row>
    <row r="40" spans="1:7" ht="12" customHeight="1" x14ac:dyDescent="0.2">
      <c r="A40" s="819" t="s">
        <v>1798</v>
      </c>
      <c r="B40" s="820"/>
      <c r="C40" s="822"/>
      <c r="D40" s="1804"/>
      <c r="E40" s="1808">
        <f>-'Contracts Paid in CY 29'!F142</f>
        <v>-192696.59</v>
      </c>
      <c r="F40" s="1804"/>
      <c r="G40" s="1808">
        <f>-'Contracts Paid in CY 29'!F142</f>
        <v>-192696.59</v>
      </c>
    </row>
    <row r="41" spans="1:7" ht="12" customHeight="1" x14ac:dyDescent="0.2">
      <c r="A41" s="827" t="s">
        <v>155</v>
      </c>
      <c r="B41" s="828"/>
      <c r="C41" s="829"/>
      <c r="D41" s="1808">
        <f>SUM(D19:D39)</f>
        <v>450861</v>
      </c>
      <c r="E41" s="1808">
        <f>SUM(E19:E40)</f>
        <v>5951238.4100000001</v>
      </c>
      <c r="F41" s="1808">
        <f>SUM(F19:F39)</f>
        <v>1014794</v>
      </c>
      <c r="G41" s="1808">
        <f>SUM(G19:G40)</f>
        <v>5387305.4100000001</v>
      </c>
    </row>
    <row r="42" spans="1:7" x14ac:dyDescent="0.2">
      <c r="A42" s="816"/>
      <c r="B42" s="156"/>
      <c r="C42" s="830"/>
      <c r="D42" s="2396" t="s">
        <v>519</v>
      </c>
      <c r="E42" s="2397"/>
      <c r="F42" s="831" t="s">
        <v>520</v>
      </c>
      <c r="G42" s="832"/>
    </row>
    <row r="43" spans="1:7" ht="12" customHeight="1" x14ac:dyDescent="0.2">
      <c r="A43" s="816"/>
      <c r="B43" s="156"/>
      <c r="C43" s="830"/>
      <c r="D43" s="1457" t="s">
        <v>470</v>
      </c>
      <c r="E43" s="1809">
        <f>D41</f>
        <v>450861</v>
      </c>
      <c r="F43" s="1457" t="s">
        <v>470</v>
      </c>
      <c r="G43" s="1809">
        <f>F41</f>
        <v>1014794</v>
      </c>
    </row>
    <row r="44" spans="1:7" ht="12" customHeight="1" x14ac:dyDescent="0.2">
      <c r="A44" s="816"/>
      <c r="B44" s="156"/>
      <c r="C44" s="830"/>
      <c r="D44" s="1457" t="s">
        <v>471</v>
      </c>
      <c r="E44" s="1809">
        <f>E41</f>
        <v>5951238.4100000001</v>
      </c>
      <c r="F44" s="1457" t="s">
        <v>471</v>
      </c>
      <c r="G44" s="1809">
        <f>G41</f>
        <v>5387305.4100000001</v>
      </c>
    </row>
    <row r="45" spans="1:7" ht="12" customHeight="1" x14ac:dyDescent="0.2">
      <c r="A45" s="816"/>
      <c r="B45" s="156"/>
      <c r="C45" s="156"/>
      <c r="D45" s="1458" t="s">
        <v>999</v>
      </c>
      <c r="E45" s="1810">
        <f>(E43/E44)</f>
        <v>7.5759189758287632E-2</v>
      </c>
      <c r="F45" s="1458" t="s">
        <v>999</v>
      </c>
      <c r="G45" s="1810">
        <f>(G43/G44)</f>
        <v>0.18836763887867275</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F15" sqref="F15"/>
    </sheetView>
  </sheetViews>
  <sheetFormatPr defaultColWidth="9.28515625" defaultRowHeight="12.75" x14ac:dyDescent="0.2"/>
  <cols>
    <col min="1" max="1" width="54.5703125" style="1504" customWidth="1"/>
    <col min="2" max="2" width="4.28515625" style="1504" customWidth="1"/>
    <col min="3" max="4" width="9.7109375" style="1476" customWidth="1"/>
    <col min="5" max="5" width="12.5703125" style="1505" customWidth="1"/>
    <col min="6" max="6" width="67.5703125" style="1476" customWidth="1"/>
    <col min="7" max="7" width="9.28515625" style="1476" customWidth="1"/>
    <col min="8" max="8" width="5.5703125" style="1506" bestFit="1" customWidth="1"/>
    <col min="9" max="10" width="2" style="1506" bestFit="1" customWidth="1"/>
    <col min="11" max="11" width="9" style="1506" customWidth="1"/>
    <col min="12" max="16384" width="9.28515625" style="1476"/>
  </cols>
  <sheetData>
    <row r="1" spans="1:15" x14ac:dyDescent="0.2">
      <c r="A1" s="2404" t="s">
        <v>1363</v>
      </c>
      <c r="B1" s="2404"/>
      <c r="C1" s="2404"/>
      <c r="D1" s="2404"/>
      <c r="E1" s="2404"/>
      <c r="F1" s="2404"/>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5" t="s">
        <v>1529</v>
      </c>
      <c r="B5" s="2406"/>
      <c r="C5" s="2407"/>
      <c r="D5" s="2407"/>
      <c r="E5" s="2407"/>
      <c r="F5" s="2407"/>
      <c r="G5" s="1506"/>
      <c r="L5" s="1506"/>
      <c r="M5" s="1854"/>
      <c r="N5" s="1854"/>
      <c r="O5" s="1854"/>
    </row>
    <row r="6" spans="1:15" ht="12" customHeight="1" x14ac:dyDescent="0.25">
      <c r="A6" s="1479"/>
      <c r="B6" s="1480"/>
      <c r="C6" s="2408" t="str">
        <f>COVER!A17</f>
        <v xml:space="preserve"> Lindop SD 92</v>
      </c>
      <c r="D6" s="2408"/>
      <c r="E6" s="2408"/>
      <c r="F6" s="1481"/>
      <c r="G6" s="1506"/>
      <c r="L6" s="1506"/>
      <c r="M6" s="1854"/>
      <c r="N6" s="1854"/>
      <c r="O6" s="1854"/>
    </row>
    <row r="7" spans="1:15" ht="11.25" customHeight="1" thickBot="1" x14ac:dyDescent="0.3">
      <c r="A7" s="1479"/>
      <c r="B7" s="1480"/>
      <c r="C7" s="2409">
        <f>COVER!A13</f>
        <v>6016092002</v>
      </c>
      <c r="D7" s="2409"/>
      <c r="E7" s="2409"/>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2070</v>
      </c>
      <c r="D14" s="1494" t="s">
        <v>2070</v>
      </c>
      <c r="E14" s="1497"/>
      <c r="F14" s="1496" t="s">
        <v>2073</v>
      </c>
      <c r="G14" s="1506"/>
      <c r="H14" s="1506">
        <f t="shared" si="0"/>
        <v>5</v>
      </c>
      <c r="I14" s="1506">
        <f t="shared" si="1"/>
        <v>5</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2070</v>
      </c>
      <c r="D19" s="1494" t="s">
        <v>2070</v>
      </c>
      <c r="E19" s="1497"/>
      <c r="F19" s="1496" t="s">
        <v>2072</v>
      </c>
      <c r="G19" s="1506"/>
      <c r="H19" s="1506">
        <f t="shared" si="0"/>
        <v>5</v>
      </c>
      <c r="I19" s="1506">
        <f t="shared" si="1"/>
        <v>5</v>
      </c>
      <c r="J19" s="1506">
        <f t="shared" si="2"/>
        <v>0</v>
      </c>
      <c r="L19" s="1506"/>
      <c r="M19" s="1854"/>
      <c r="N19" s="1854"/>
      <c r="O19" s="1854"/>
    </row>
    <row r="20" spans="1:15" ht="12" customHeight="1" x14ac:dyDescent="0.2">
      <c r="A20" s="1492" t="s">
        <v>1511</v>
      </c>
      <c r="B20" s="1493"/>
      <c r="C20" s="1494" t="s">
        <v>2070</v>
      </c>
      <c r="D20" s="1494" t="s">
        <v>2070</v>
      </c>
      <c r="E20" s="1497"/>
      <c r="F20" s="1496" t="s">
        <v>2071</v>
      </c>
      <c r="G20" s="1506"/>
      <c r="H20" s="1506">
        <f t="shared" si="0"/>
        <v>5</v>
      </c>
      <c r="I20" s="1506">
        <f t="shared" si="1"/>
        <v>5</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t="s">
        <v>2070</v>
      </c>
      <c r="D25" s="1494" t="s">
        <v>2070</v>
      </c>
      <c r="E25" s="1497"/>
      <c r="F25" s="1496" t="s">
        <v>2071</v>
      </c>
      <c r="G25" s="1506"/>
      <c r="H25" s="1506">
        <f t="shared" si="0"/>
        <v>5</v>
      </c>
      <c r="I25" s="1506">
        <f t="shared" si="1"/>
        <v>5</v>
      </c>
      <c r="J25" s="1506">
        <f t="shared" si="2"/>
        <v>0</v>
      </c>
      <c r="L25" s="1506"/>
      <c r="M25" s="1854"/>
      <c r="N25" s="1854"/>
      <c r="O25" s="1854"/>
    </row>
    <row r="26" spans="1:15" ht="12" customHeight="1" x14ac:dyDescent="0.2">
      <c r="A26" s="1492" t="s">
        <v>1517</v>
      </c>
      <c r="B26" s="1493"/>
      <c r="C26" s="1494" t="s">
        <v>2070</v>
      </c>
      <c r="D26" s="1494" t="s">
        <v>2070</v>
      </c>
      <c r="E26" s="1497"/>
      <c r="F26" s="1496" t="s">
        <v>2071</v>
      </c>
      <c r="G26" s="1506"/>
      <c r="H26" s="1506">
        <f t="shared" si="0"/>
        <v>5</v>
      </c>
      <c r="I26" s="1506">
        <f t="shared" si="1"/>
        <v>5</v>
      </c>
      <c r="J26" s="1506">
        <f t="shared" si="2"/>
        <v>0</v>
      </c>
      <c r="L26" s="1506"/>
      <c r="M26" s="1854"/>
      <c r="N26" s="1854"/>
      <c r="O26" s="1854"/>
    </row>
    <row r="27" spans="1:15" ht="18.75" x14ac:dyDescent="0.2">
      <c r="A27" s="1492" t="s">
        <v>1518</v>
      </c>
      <c r="B27" s="1493"/>
      <c r="C27" s="1494" t="s">
        <v>2070</v>
      </c>
      <c r="D27" s="1494" t="s">
        <v>2070</v>
      </c>
      <c r="E27" s="1497"/>
      <c r="F27" s="1496" t="s">
        <v>2071</v>
      </c>
      <c r="G27" s="1506"/>
      <c r="H27" s="1506">
        <f t="shared" si="0"/>
        <v>5</v>
      </c>
      <c r="I27" s="1506">
        <f t="shared" si="1"/>
        <v>5</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t="s">
        <v>2070</v>
      </c>
      <c r="D30" s="1494" t="s">
        <v>2070</v>
      </c>
      <c r="E30" s="1497"/>
      <c r="F30" s="1496" t="s">
        <v>2071</v>
      </c>
      <c r="G30" s="1506"/>
      <c r="H30" s="1506">
        <f t="shared" si="0"/>
        <v>5</v>
      </c>
      <c r="I30" s="1506">
        <f t="shared" si="1"/>
        <v>5</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35</v>
      </c>
      <c r="I34" s="1506">
        <f>SUM(I11:I32)</f>
        <v>35</v>
      </c>
      <c r="J34" s="1506">
        <f>SUM(J11:J32)</f>
        <v>0</v>
      </c>
      <c r="K34" s="1506">
        <f>SUM(H34:J34)</f>
        <v>70</v>
      </c>
      <c r="L34" s="1506"/>
      <c r="M34" s="1854"/>
      <c r="N34" s="1854"/>
      <c r="O34" s="1854"/>
    </row>
    <row r="35" spans="1:15" ht="12" customHeight="1" x14ac:dyDescent="0.2">
      <c r="A35" s="1499" t="s">
        <v>1376</v>
      </c>
      <c r="B35" s="1500"/>
      <c r="C35" s="2410"/>
      <c r="D35" s="2410"/>
      <c r="E35" s="2410"/>
      <c r="F35" s="2411"/>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15"/>
      <c r="B38" s="2416"/>
      <c r="C38" s="2416"/>
      <c r="D38" s="2416"/>
      <c r="E38" s="2416"/>
      <c r="F38" s="2417"/>
    </row>
    <row r="39" spans="1:15" ht="4.5" hidden="1" customHeight="1" x14ac:dyDescent="0.2">
      <c r="A39" s="1501"/>
      <c r="B39" s="1501"/>
      <c r="C39" s="1501"/>
      <c r="D39" s="1501"/>
      <c r="E39" s="1501"/>
      <c r="F39" s="1501"/>
    </row>
    <row r="40" spans="1:15" s="1498" customFormat="1" ht="12" customHeight="1" x14ac:dyDescent="0.25">
      <c r="A40" s="1502" t="s">
        <v>1375</v>
      </c>
      <c r="B40" s="1503"/>
      <c r="C40" s="2418"/>
      <c r="D40" s="2418"/>
      <c r="E40" s="2418"/>
      <c r="F40" s="2419"/>
      <c r="H40" s="1507"/>
      <c r="I40" s="1507"/>
      <c r="J40" s="1507"/>
      <c r="K40" s="1507"/>
    </row>
    <row r="41" spans="1:15" s="1498" customFormat="1" ht="12" customHeight="1" x14ac:dyDescent="0.25">
      <c r="A41" s="2420"/>
      <c r="B41" s="2421"/>
      <c r="C41" s="2421"/>
      <c r="D41" s="2421"/>
      <c r="E41" s="2421"/>
      <c r="F41" s="2422"/>
      <c r="H41" s="1507"/>
      <c r="I41" s="1507"/>
      <c r="J41" s="1507"/>
      <c r="K41" s="1507"/>
    </row>
    <row r="42" spans="1:15" s="1498" customFormat="1" ht="12" customHeight="1" x14ac:dyDescent="0.25">
      <c r="A42" s="2420"/>
      <c r="B42" s="2421"/>
      <c r="C42" s="2421"/>
      <c r="D42" s="2421"/>
      <c r="E42" s="2421"/>
      <c r="F42" s="2422"/>
      <c r="H42" s="1507"/>
      <c r="I42" s="1507"/>
      <c r="J42" s="1507"/>
      <c r="K42" s="1507"/>
    </row>
    <row r="43" spans="1:15" s="1498" customFormat="1" ht="15" x14ac:dyDescent="0.25">
      <c r="A43" s="2412"/>
      <c r="B43" s="2413"/>
      <c r="C43" s="2413"/>
      <c r="D43" s="2413"/>
      <c r="E43" s="2413"/>
      <c r="F43" s="2414"/>
      <c r="H43" s="1507"/>
      <c r="I43" s="1507"/>
      <c r="J43" s="1507"/>
      <c r="K43" s="1507"/>
    </row>
    <row r="44" spans="1:15" s="1498" customFormat="1" ht="12" hidden="1" customHeight="1" x14ac:dyDescent="0.25">
      <c r="A44" s="2412"/>
      <c r="B44" s="2413"/>
      <c r="C44" s="2413"/>
      <c r="D44" s="2413"/>
      <c r="E44" s="2413"/>
      <c r="F44" s="241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3" zoomScaleNormal="100" workbookViewId="0">
      <selection activeCell="C16" sqref="C16"/>
    </sheetView>
  </sheetViews>
  <sheetFormatPr defaultColWidth="9.28515625" defaultRowHeight="12.75" x14ac:dyDescent="0.2"/>
  <cols>
    <col min="1" max="1" width="2.7109375" style="1920" customWidth="1"/>
    <col min="2" max="2" width="3" style="1920" customWidth="1"/>
    <col min="3" max="3" width="48.5703125" style="1920" customWidth="1"/>
    <col min="4" max="4" width="7.42578125" style="1920" customWidth="1"/>
    <col min="5" max="5" width="11.28515625" style="1920" customWidth="1"/>
    <col min="6" max="6" width="10.7109375" style="1920" customWidth="1"/>
    <col min="7" max="8" width="9.28515625" style="1920"/>
    <col min="9" max="9" width="11.28515625" style="1920" customWidth="1"/>
    <col min="10" max="10" width="10.7109375" style="1920" customWidth="1"/>
    <col min="11" max="11" width="9.28515625" style="1920"/>
    <col min="12" max="12" width="14.28515625" style="1920" customWidth="1"/>
    <col min="13" max="13" width="9.28515625" style="1920"/>
    <col min="14" max="14" width="18.7109375" style="1920" customWidth="1"/>
    <col min="15" max="16384" width="9.28515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7"/>
      <c r="C2" s="837"/>
      <c r="D2" s="837"/>
      <c r="E2" s="837"/>
      <c r="F2" s="837"/>
      <c r="G2" s="1922" t="s">
        <v>2002</v>
      </c>
      <c r="H2" s="1919"/>
      <c r="I2" s="837"/>
      <c r="J2" s="837"/>
      <c r="K2" s="837"/>
      <c r="L2" s="837"/>
      <c r="M2" s="837"/>
      <c r="N2" s="1997"/>
    </row>
    <row r="3" spans="1:14" x14ac:dyDescent="0.2">
      <c r="A3" s="1996"/>
      <c r="B3" s="837"/>
      <c r="C3" s="837"/>
      <c r="D3" s="837"/>
      <c r="E3" s="837"/>
      <c r="F3" s="837"/>
      <c r="G3" s="1922" t="s">
        <v>403</v>
      </c>
      <c r="H3" s="837"/>
      <c r="I3" s="837"/>
      <c r="J3" s="837"/>
      <c r="K3" s="837"/>
      <c r="L3" s="837"/>
      <c r="M3" s="837"/>
      <c r="N3" s="1997"/>
    </row>
    <row r="4" spans="1:14" x14ac:dyDescent="0.2">
      <c r="A4" s="1996"/>
      <c r="B4" s="837"/>
      <c r="C4" s="837"/>
      <c r="D4" s="837"/>
      <c r="E4" s="837"/>
      <c r="F4" s="837"/>
      <c r="G4" s="1922" t="s">
        <v>863</v>
      </c>
      <c r="H4" s="837"/>
      <c r="I4" s="837"/>
      <c r="J4" s="837"/>
      <c r="K4" s="837"/>
      <c r="L4" s="837"/>
      <c r="M4" s="837"/>
      <c r="N4" s="1997"/>
    </row>
    <row r="5" spans="1:14" x14ac:dyDescent="0.2">
      <c r="A5" s="1996"/>
      <c r="B5" s="837"/>
      <c r="C5" s="837"/>
      <c r="D5" s="837"/>
      <c r="E5" s="837"/>
      <c r="F5" s="1922"/>
      <c r="G5" s="1922"/>
      <c r="H5" s="837"/>
      <c r="I5" s="837"/>
      <c r="J5" s="837"/>
      <c r="K5" s="837"/>
      <c r="L5" s="837"/>
      <c r="M5" s="837"/>
      <c r="N5" s="1997"/>
    </row>
    <row r="6" spans="1:14" x14ac:dyDescent="0.2">
      <c r="A6" s="1998" t="s">
        <v>667</v>
      </c>
      <c r="B6" s="1376"/>
      <c r="C6" s="1376"/>
      <c r="D6" s="1376"/>
      <c r="E6" s="1377"/>
      <c r="F6" s="1921"/>
      <c r="G6" s="1922"/>
      <c r="H6" s="837"/>
      <c r="I6" s="1923" t="s">
        <v>1021</v>
      </c>
      <c r="J6" s="2424" t="str">
        <f>COVER!A17</f>
        <v xml:space="preserve"> Lindop SD 92</v>
      </c>
      <c r="K6" s="2424"/>
      <c r="L6" s="2425"/>
      <c r="M6" s="837"/>
      <c r="N6" s="1997"/>
    </row>
    <row r="7" spans="1:14" x14ac:dyDescent="0.2">
      <c r="A7" s="2426" t="s">
        <v>864</v>
      </c>
      <c r="B7" s="2427"/>
      <c r="C7" s="2427"/>
      <c r="D7" s="2427"/>
      <c r="E7" s="2428"/>
      <c r="F7" s="838"/>
      <c r="G7" s="837"/>
      <c r="H7" s="837"/>
      <c r="I7" s="1923" t="s">
        <v>369</v>
      </c>
      <c r="J7" s="2429">
        <f>COVER!A13</f>
        <v>6016092002</v>
      </c>
      <c r="K7" s="2429"/>
      <c r="L7" s="2429"/>
      <c r="M7" s="837"/>
      <c r="N7" s="1997"/>
    </row>
    <row r="8" spans="1:14" x14ac:dyDescent="0.2">
      <c r="A8" s="1999"/>
      <c r="B8" s="1924"/>
      <c r="C8" s="1924"/>
      <c r="D8" s="1924"/>
      <c r="E8" s="1925"/>
      <c r="F8" s="1926"/>
      <c r="G8" s="1911"/>
      <c r="H8" s="1911"/>
      <c r="I8" s="1911"/>
      <c r="J8" s="1911"/>
      <c r="K8" s="1911"/>
      <c r="L8" s="1911"/>
      <c r="M8" s="837"/>
      <c r="N8" s="1997"/>
    </row>
    <row r="9" spans="1:14" x14ac:dyDescent="0.2">
      <c r="A9" s="2000"/>
      <c r="B9" s="839"/>
      <c r="C9" s="839"/>
      <c r="D9" s="840"/>
      <c r="E9" s="1927" t="s">
        <v>2018</v>
      </c>
      <c r="F9" s="1856"/>
      <c r="G9" s="1856"/>
      <c r="H9" s="1856"/>
      <c r="I9" s="1928" t="s">
        <v>2019</v>
      </c>
      <c r="J9" s="1856"/>
      <c r="K9" s="1856"/>
      <c r="L9" s="1857"/>
      <c r="M9" s="837"/>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7"/>
      <c r="N10" s="1997"/>
    </row>
    <row r="11" spans="1:14" ht="51" x14ac:dyDescent="0.2">
      <c r="A11" s="2430" t="s">
        <v>478</v>
      </c>
      <c r="B11" s="2431"/>
      <c r="C11" s="2432"/>
      <c r="D11" s="1936" t="s">
        <v>866</v>
      </c>
      <c r="E11" s="1936" t="s">
        <v>64</v>
      </c>
      <c r="F11" s="1936" t="s">
        <v>6</v>
      </c>
      <c r="G11" s="1937" t="s">
        <v>2020</v>
      </c>
      <c r="H11" s="1938" t="s">
        <v>155</v>
      </c>
      <c r="I11" s="1936" t="s">
        <v>64</v>
      </c>
      <c r="J11" s="1936" t="s">
        <v>6</v>
      </c>
      <c r="K11" s="1937" t="s">
        <v>2001</v>
      </c>
      <c r="L11" s="1938" t="s">
        <v>155</v>
      </c>
      <c r="M11" s="837"/>
      <c r="N11" s="1997"/>
    </row>
    <row r="12" spans="1:14" x14ac:dyDescent="0.2">
      <c r="A12" s="2002">
        <v>1</v>
      </c>
      <c r="B12" s="1939" t="s">
        <v>813</v>
      </c>
      <c r="C12" s="841"/>
      <c r="D12" s="1940">
        <v>2320</v>
      </c>
      <c r="E12" s="1943">
        <f>'Expenditures 15-22'!K50</f>
        <v>248962</v>
      </c>
      <c r="F12" s="1941"/>
      <c r="G12" s="1967">
        <f>G68</f>
        <v>169959</v>
      </c>
      <c r="H12" s="1943">
        <f t="shared" ref="H12:H18" si="0">SUM(E12:G12)</f>
        <v>418921</v>
      </c>
      <c r="I12" s="1942">
        <v>249902</v>
      </c>
      <c r="J12" s="1941"/>
      <c r="K12" s="1942">
        <v>135326</v>
      </c>
      <c r="L12" s="1943">
        <f t="shared" ref="L12:L18" si="1">SUM(I12:K12)</f>
        <v>385228</v>
      </c>
      <c r="M12" s="837"/>
      <c r="N12" s="1997"/>
    </row>
    <row r="13" spans="1:14" x14ac:dyDescent="0.2">
      <c r="A13" s="2002">
        <v>2</v>
      </c>
      <c r="B13" s="1939" t="s">
        <v>42</v>
      </c>
      <c r="C13" s="841"/>
      <c r="D13" s="1940">
        <v>2330</v>
      </c>
      <c r="E13" s="1943">
        <f>'Expenditures 15-22'!K51</f>
        <v>129</v>
      </c>
      <c r="F13" s="1941"/>
      <c r="G13" s="1967">
        <f>H68</f>
        <v>0</v>
      </c>
      <c r="H13" s="1943">
        <f t="shared" si="0"/>
        <v>129</v>
      </c>
      <c r="I13" s="1942"/>
      <c r="J13" s="1941"/>
      <c r="K13" s="1942"/>
      <c r="L13" s="1943">
        <f t="shared" si="1"/>
        <v>0</v>
      </c>
      <c r="M13" s="837"/>
      <c r="N13" s="1997"/>
    </row>
    <row r="14" spans="1:14" x14ac:dyDescent="0.2">
      <c r="A14" s="2002">
        <v>3</v>
      </c>
      <c r="B14" s="1939" t="s">
        <v>43</v>
      </c>
      <c r="C14" s="841"/>
      <c r="D14" s="1944">
        <v>2490</v>
      </c>
      <c r="E14" s="1943">
        <f>'Expenditures 15-22'!K56</f>
        <v>0</v>
      </c>
      <c r="F14" s="1941"/>
      <c r="G14" s="1967">
        <f>I68</f>
        <v>0</v>
      </c>
      <c r="H14" s="1943">
        <f t="shared" si="0"/>
        <v>0</v>
      </c>
      <c r="I14" s="1942"/>
      <c r="J14" s="1941"/>
      <c r="K14" s="1942"/>
      <c r="L14" s="1943">
        <f t="shared" si="1"/>
        <v>0</v>
      </c>
      <c r="M14" s="837"/>
      <c r="N14" s="1997"/>
    </row>
    <row r="15" spans="1:14" x14ac:dyDescent="0.2">
      <c r="A15" s="2002">
        <v>4</v>
      </c>
      <c r="B15" s="1939" t="s">
        <v>1059</v>
      </c>
      <c r="C15" s="841"/>
      <c r="D15" s="1940">
        <v>2510</v>
      </c>
      <c r="E15" s="1943">
        <f>'Expenditures 15-22'!K59</f>
        <v>127664</v>
      </c>
      <c r="F15" s="1943">
        <f>'Expenditures 15-22'!K122</f>
        <v>0</v>
      </c>
      <c r="G15" s="1967">
        <f>J68</f>
        <v>64526</v>
      </c>
      <c r="H15" s="1943">
        <f t="shared" si="0"/>
        <v>192190</v>
      </c>
      <c r="I15" s="1942">
        <v>132477</v>
      </c>
      <c r="J15" s="1942"/>
      <c r="K15" s="1942">
        <v>35327</v>
      </c>
      <c r="L15" s="1943">
        <f t="shared" si="1"/>
        <v>167804</v>
      </c>
      <c r="M15" s="837"/>
      <c r="N15" s="1997"/>
    </row>
    <row r="16" spans="1:14" x14ac:dyDescent="0.2">
      <c r="A16" s="2002">
        <v>5</v>
      </c>
      <c r="B16" s="1939" t="s">
        <v>101</v>
      </c>
      <c r="C16" s="841"/>
      <c r="D16" s="1940">
        <v>2570</v>
      </c>
      <c r="E16" s="1943">
        <f>'Expenditures 15-22'!K64</f>
        <v>9166</v>
      </c>
      <c r="F16" s="1941"/>
      <c r="G16" s="1967">
        <f>K68</f>
        <v>0</v>
      </c>
      <c r="H16" s="1943">
        <f t="shared" si="0"/>
        <v>9166</v>
      </c>
      <c r="I16" s="1942">
        <v>29000</v>
      </c>
      <c r="J16" s="1941"/>
      <c r="K16" s="1942"/>
      <c r="L16" s="1943">
        <f t="shared" si="1"/>
        <v>29000</v>
      </c>
      <c r="M16" s="837"/>
      <c r="N16" s="1997"/>
    </row>
    <row r="17" spans="1:14" x14ac:dyDescent="0.2">
      <c r="A17" s="2002">
        <v>6</v>
      </c>
      <c r="B17" s="1939" t="s">
        <v>1051</v>
      </c>
      <c r="C17" s="841"/>
      <c r="D17" s="1940">
        <v>2610</v>
      </c>
      <c r="E17" s="1943">
        <f>'Expenditures 15-22'!K67</f>
        <v>0</v>
      </c>
      <c r="F17" s="1941"/>
      <c r="G17" s="1967">
        <f>L68</f>
        <v>0</v>
      </c>
      <c r="H17" s="1943">
        <f t="shared" si="0"/>
        <v>0</v>
      </c>
      <c r="I17" s="1942"/>
      <c r="J17" s="1941"/>
      <c r="K17" s="1942"/>
      <c r="L17" s="1943">
        <f t="shared" si="1"/>
        <v>0</v>
      </c>
      <c r="M17" s="837"/>
      <c r="N17" s="1997"/>
    </row>
    <row r="18" spans="1:14" ht="26.25" customHeight="1" x14ac:dyDescent="0.2">
      <c r="A18" s="2003">
        <v>7</v>
      </c>
      <c r="B18" s="2433" t="s">
        <v>7</v>
      </c>
      <c r="C18" s="2434"/>
      <c r="D18" s="2435"/>
      <c r="E18" s="1945"/>
      <c r="F18" s="1945"/>
      <c r="G18" s="1942"/>
      <c r="H18" s="1946">
        <f t="shared" si="0"/>
        <v>0</v>
      </c>
      <c r="I18" s="1942"/>
      <c r="J18" s="1942"/>
      <c r="K18" s="1942"/>
      <c r="L18" s="1943">
        <f t="shared" si="1"/>
        <v>0</v>
      </c>
      <c r="M18" s="837"/>
      <c r="N18" s="1997"/>
    </row>
    <row r="19" spans="1:14" ht="13.5" thickBot="1" x14ac:dyDescent="0.25">
      <c r="A19" s="2002">
        <v>8</v>
      </c>
      <c r="B19" s="1947" t="s">
        <v>1151</v>
      </c>
      <c r="C19" s="837"/>
      <c r="D19" s="1948"/>
      <c r="E19" s="1949">
        <f t="shared" ref="E19:L19" si="2">SUM(E12:E17)-E18</f>
        <v>385921</v>
      </c>
      <c r="F19" s="1949">
        <f t="shared" si="2"/>
        <v>0</v>
      </c>
      <c r="G19" s="1949">
        <f t="shared" ref="G19" si="3">SUM(G12:G17)-G18</f>
        <v>234485</v>
      </c>
      <c r="H19" s="1949">
        <f t="shared" si="2"/>
        <v>620406</v>
      </c>
      <c r="I19" s="1949">
        <f t="shared" si="2"/>
        <v>411379</v>
      </c>
      <c r="J19" s="1949">
        <f t="shared" si="2"/>
        <v>0</v>
      </c>
      <c r="K19" s="1949">
        <f t="shared" si="2"/>
        <v>170653</v>
      </c>
      <c r="L19" s="1949">
        <f t="shared" si="2"/>
        <v>582032</v>
      </c>
      <c r="M19" s="837"/>
      <c r="N19" s="1997"/>
    </row>
    <row r="20" spans="1:14" ht="13.5" thickTop="1" x14ac:dyDescent="0.2">
      <c r="A20" s="2002">
        <v>9</v>
      </c>
      <c r="B20" s="2436" t="s">
        <v>2021</v>
      </c>
      <c r="C20" s="2436"/>
      <c r="D20" s="2437"/>
      <c r="E20" s="1950"/>
      <c r="F20" s="1950"/>
      <c r="G20" s="1950"/>
      <c r="H20" s="1950"/>
      <c r="I20" s="1950"/>
      <c r="J20" s="1950"/>
      <c r="K20" s="1950"/>
      <c r="L20" s="1951">
        <f>IF(AND(H19&gt;0,L19&gt;0),(((L19-H19)/H19)),"Enter Budget Data")</f>
        <v>-6.185304461916874E-2</v>
      </c>
      <c r="M20" s="837"/>
      <c r="N20" s="1997"/>
    </row>
    <row r="21" spans="1:14" x14ac:dyDescent="0.2">
      <c r="A21" s="2004" t="s">
        <v>194</v>
      </c>
      <c r="B21" s="2005" t="s">
        <v>2046</v>
      </c>
      <c r="C21" s="837"/>
      <c r="D21" s="1952"/>
      <c r="E21" s="1953"/>
      <c r="F21" s="1954"/>
      <c r="G21" s="1954"/>
      <c r="H21" s="1954"/>
      <c r="I21" s="1954"/>
      <c r="J21" s="1954"/>
      <c r="K21" s="1954"/>
      <c r="L21" s="1955"/>
      <c r="M21" s="837"/>
      <c r="N21" s="1997"/>
    </row>
    <row r="22" spans="1:14" x14ac:dyDescent="0.2">
      <c r="A22" s="1996"/>
      <c r="B22" s="2006"/>
      <c r="C22" s="837"/>
      <c r="D22" s="837"/>
      <c r="E22" s="837"/>
      <c r="F22" s="837"/>
      <c r="G22" s="837"/>
      <c r="H22" s="837"/>
      <c r="I22" s="837"/>
      <c r="J22" s="837"/>
      <c r="K22" s="837"/>
      <c r="L22" s="837"/>
      <c r="M22" s="837"/>
      <c r="N22" s="1997"/>
    </row>
    <row r="23" spans="1:14" x14ac:dyDescent="0.2">
      <c r="A23" s="2007" t="s">
        <v>132</v>
      </c>
      <c r="B23" s="2006"/>
      <c r="C23" s="837"/>
      <c r="D23" s="837"/>
      <c r="E23" s="837"/>
      <c r="F23" s="837"/>
      <c r="G23" s="837"/>
      <c r="H23" s="837"/>
      <c r="I23" s="837"/>
      <c r="J23" s="837"/>
      <c r="K23" s="837"/>
      <c r="L23" s="837"/>
      <c r="M23" s="837"/>
      <c r="N23" s="1997"/>
    </row>
    <row r="24" spans="1:14" x14ac:dyDescent="0.2">
      <c r="A24" s="2008" t="s">
        <v>2022</v>
      </c>
      <c r="B24" s="2009"/>
      <c r="C24" s="2010"/>
      <c r="D24" s="2010"/>
      <c r="E24" s="2010"/>
      <c r="F24" s="2010"/>
      <c r="G24" s="2010"/>
      <c r="H24" s="2010"/>
      <c r="I24" s="2010"/>
      <c r="J24" s="2010"/>
      <c r="K24" s="2010"/>
      <c r="L24" s="837"/>
      <c r="M24" s="837"/>
      <c r="N24" s="1997"/>
    </row>
    <row r="25" spans="1:14" x14ac:dyDescent="0.2">
      <c r="A25" s="2008" t="s">
        <v>2023</v>
      </c>
      <c r="B25" s="2009"/>
      <c r="C25" s="2010"/>
      <c r="D25" s="2010"/>
      <c r="E25" s="2010"/>
      <c r="F25" s="2010"/>
      <c r="G25" s="2010"/>
      <c r="H25" s="2010"/>
      <c r="I25" s="2010"/>
      <c r="J25" s="2010"/>
      <c r="K25" s="2010"/>
      <c r="L25" s="837"/>
      <c r="M25" s="837"/>
      <c r="N25" s="1997"/>
    </row>
    <row r="26" spans="1:14" x14ac:dyDescent="0.2">
      <c r="A26" s="2011"/>
      <c r="B26" s="2006"/>
      <c r="C26" s="837"/>
      <c r="D26" s="837"/>
      <c r="E26" s="837"/>
      <c r="F26" s="837"/>
      <c r="G26" s="837"/>
      <c r="H26" s="837"/>
      <c r="I26" s="837"/>
      <c r="J26" s="837"/>
      <c r="K26" s="837"/>
      <c r="L26" s="837"/>
      <c r="M26" s="837"/>
      <c r="N26" s="1997"/>
    </row>
    <row r="27" spans="1:14" x14ac:dyDescent="0.2">
      <c r="A27" s="1996"/>
      <c r="B27" s="2006"/>
      <c r="C27" s="2438"/>
      <c r="D27" s="2438"/>
      <c r="E27" s="842"/>
      <c r="F27" s="2439"/>
      <c r="G27" s="2439"/>
      <c r="H27" s="2439"/>
      <c r="I27" s="837"/>
      <c r="J27" s="837"/>
      <c r="K27" s="837"/>
      <c r="L27" s="837"/>
      <c r="M27" s="837"/>
      <c r="N27" s="1997"/>
    </row>
    <row r="28" spans="1:14" x14ac:dyDescent="0.2">
      <c r="A28" s="1996"/>
      <c r="B28" s="2006"/>
      <c r="C28" s="1956" t="s">
        <v>1026</v>
      </c>
      <c r="D28" s="843"/>
      <c r="E28" s="1957"/>
      <c r="F28" s="2440" t="s">
        <v>1492</v>
      </c>
      <c r="G28" s="2440"/>
      <c r="H28" s="2440"/>
      <c r="I28" s="837"/>
      <c r="J28" s="837"/>
      <c r="K28" s="837"/>
      <c r="L28" s="837"/>
      <c r="M28" s="837"/>
      <c r="N28" s="1997"/>
    </row>
    <row r="29" spans="1:14" x14ac:dyDescent="0.2">
      <c r="A29" s="1996"/>
      <c r="B29" s="2006"/>
      <c r="C29" s="2441"/>
      <c r="D29" s="2441"/>
      <c r="E29" s="844"/>
      <c r="F29" s="2441"/>
      <c r="G29" s="2441"/>
      <c r="H29" s="2441"/>
      <c r="I29" s="837"/>
      <c r="J29" s="837"/>
      <c r="K29" s="837"/>
      <c r="L29" s="837"/>
      <c r="M29" s="837"/>
      <c r="N29" s="1997"/>
    </row>
    <row r="30" spans="1:14" x14ac:dyDescent="0.2">
      <c r="A30" s="1996"/>
      <c r="B30" s="2006"/>
      <c r="C30" s="1959" t="s">
        <v>1544</v>
      </c>
      <c r="D30" s="837"/>
      <c r="E30" s="1958"/>
      <c r="F30" s="2423" t="s">
        <v>1493</v>
      </c>
      <c r="G30" s="2423"/>
      <c r="H30" s="2423"/>
      <c r="I30" s="837"/>
      <c r="J30" s="837"/>
      <c r="K30" s="837"/>
      <c r="L30" s="837"/>
      <c r="M30" s="837"/>
      <c r="N30" s="1997"/>
    </row>
    <row r="31" spans="1:14" x14ac:dyDescent="0.2">
      <c r="A31" s="1996"/>
      <c r="B31" s="2006"/>
      <c r="C31" s="2012"/>
      <c r="D31" s="837"/>
      <c r="E31" s="1952"/>
      <c r="F31" s="1953"/>
      <c r="G31" s="1953"/>
      <c r="H31" s="1953"/>
      <c r="I31" s="837"/>
      <c r="J31" s="837"/>
      <c r="K31" s="837"/>
      <c r="L31" s="837"/>
      <c r="M31" s="837"/>
      <c r="N31" s="1997"/>
    </row>
    <row r="32" spans="1:14" x14ac:dyDescent="0.2">
      <c r="A32" s="1996"/>
      <c r="B32" s="2013" t="s">
        <v>1027</v>
      </c>
      <c r="C32" s="837"/>
      <c r="D32" s="837"/>
      <c r="E32" s="837"/>
      <c r="F32" s="837"/>
      <c r="G32" s="837"/>
      <c r="H32" s="837"/>
      <c r="I32" s="837"/>
      <c r="J32" s="837"/>
      <c r="K32" s="837"/>
      <c r="L32" s="837"/>
      <c r="M32" s="837"/>
      <c r="N32" s="1997"/>
    </row>
    <row r="33" spans="1:14" x14ac:dyDescent="0.2">
      <c r="A33" s="1996"/>
      <c r="B33" s="2014"/>
      <c r="C33" s="837"/>
      <c r="D33" s="837"/>
      <c r="E33" s="837"/>
      <c r="F33" s="837"/>
      <c r="G33" s="837"/>
      <c r="H33" s="837"/>
      <c r="I33" s="837"/>
      <c r="J33" s="837"/>
      <c r="K33" s="837"/>
      <c r="L33" s="837"/>
      <c r="M33" s="837"/>
      <c r="N33" s="1997"/>
    </row>
    <row r="34" spans="1:14" x14ac:dyDescent="0.2">
      <c r="A34" s="1996"/>
      <c r="B34" s="845"/>
      <c r="C34" s="2444" t="s">
        <v>2024</v>
      </c>
      <c r="D34" s="2445"/>
      <c r="E34" s="2445"/>
      <c r="F34" s="2445"/>
      <c r="G34" s="2445"/>
      <c r="H34" s="2445"/>
      <c r="I34" s="2445"/>
      <c r="J34" s="2445"/>
      <c r="K34" s="2015"/>
      <c r="L34" s="837"/>
      <c r="M34" s="837"/>
      <c r="N34" s="1997"/>
    </row>
    <row r="35" spans="1:14" x14ac:dyDescent="0.2">
      <c r="A35" s="1996"/>
      <c r="B35" s="837"/>
      <c r="C35" s="2445"/>
      <c r="D35" s="2445"/>
      <c r="E35" s="2445"/>
      <c r="F35" s="2445"/>
      <c r="G35" s="2445"/>
      <c r="H35" s="2445"/>
      <c r="I35" s="2445"/>
      <c r="J35" s="2445"/>
      <c r="K35" s="2015"/>
      <c r="L35" s="837"/>
      <c r="M35" s="837"/>
      <c r="N35" s="1997"/>
    </row>
    <row r="36" spans="1:14" x14ac:dyDescent="0.2">
      <c r="A36" s="1996"/>
      <c r="B36" s="837"/>
      <c r="C36" s="2016"/>
      <c r="D36" s="837"/>
      <c r="E36" s="837"/>
      <c r="F36" s="837"/>
      <c r="G36" s="837"/>
      <c r="H36" s="837"/>
      <c r="I36" s="837"/>
      <c r="J36" s="837"/>
      <c r="K36" s="837"/>
      <c r="L36" s="837"/>
      <c r="M36" s="837"/>
      <c r="N36" s="1997"/>
    </row>
    <row r="37" spans="1:14" x14ac:dyDescent="0.2">
      <c r="A37" s="1996"/>
      <c r="B37" s="845"/>
      <c r="C37" s="2444" t="s">
        <v>2025</v>
      </c>
      <c r="D37" s="2445"/>
      <c r="E37" s="2445"/>
      <c r="F37" s="2445"/>
      <c r="G37" s="2445"/>
      <c r="H37" s="2445"/>
      <c r="I37" s="2445"/>
      <c r="J37" s="2445"/>
      <c r="K37" s="2015"/>
      <c r="L37" s="2017"/>
      <c r="M37" s="837"/>
      <c r="N37" s="1997"/>
    </row>
    <row r="38" spans="1:14" x14ac:dyDescent="0.2">
      <c r="A38" s="1996"/>
      <c r="B38" s="837"/>
      <c r="C38" s="2445"/>
      <c r="D38" s="2445"/>
      <c r="E38" s="2445"/>
      <c r="F38" s="2445"/>
      <c r="G38" s="2445"/>
      <c r="H38" s="2445"/>
      <c r="I38" s="2445"/>
      <c r="J38" s="2445"/>
      <c r="K38" s="2015"/>
      <c r="L38" s="2017"/>
      <c r="M38" s="837"/>
      <c r="N38" s="1997"/>
    </row>
    <row r="39" spans="1:14" x14ac:dyDescent="0.2">
      <c r="A39" s="1996"/>
      <c r="B39" s="837"/>
      <c r="C39" s="2016"/>
      <c r="D39" s="837"/>
      <c r="E39" s="1960"/>
      <c r="F39" s="1961"/>
      <c r="G39" s="1961"/>
      <c r="H39" s="1960"/>
      <c r="I39" s="837"/>
      <c r="J39" s="837"/>
      <c r="K39" s="837"/>
      <c r="L39" s="837"/>
      <c r="M39" s="837"/>
      <c r="N39" s="1997"/>
    </row>
    <row r="40" spans="1:14" x14ac:dyDescent="0.2">
      <c r="A40" s="1996"/>
      <c r="B40" s="845"/>
      <c r="C40" s="2446" t="s">
        <v>2026</v>
      </c>
      <c r="D40" s="2447"/>
      <c r="E40" s="2447"/>
      <c r="F40" s="2447"/>
      <c r="G40" s="2447"/>
      <c r="H40" s="2447"/>
      <c r="I40" s="2447"/>
      <c r="J40" s="2447"/>
      <c r="K40" s="1962"/>
      <c r="L40" s="837"/>
      <c r="M40" s="837"/>
      <c r="N40" s="1997"/>
    </row>
    <row r="41" spans="1:14" x14ac:dyDescent="0.2">
      <c r="A41" s="1996"/>
      <c r="B41" s="837"/>
      <c r="C41" s="2018"/>
      <c r="D41" s="2018"/>
      <c r="E41" s="2018"/>
      <c r="F41" s="2018"/>
      <c r="G41" s="2018"/>
      <c r="H41" s="2018"/>
      <c r="I41" s="2018"/>
      <c r="J41" s="2018"/>
      <c r="K41" s="2018"/>
      <c r="L41" s="837"/>
      <c r="M41" s="837"/>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8" t="s">
        <v>2027</v>
      </c>
      <c r="B43" s="2449"/>
      <c r="C43" s="2449"/>
      <c r="D43" s="2449"/>
      <c r="E43" s="2449"/>
      <c r="F43" s="2449"/>
      <c r="G43" s="2449"/>
      <c r="H43" s="2449"/>
      <c r="I43" s="2449"/>
      <c r="J43" s="2449"/>
      <c r="K43" s="2449"/>
      <c r="L43" s="2449"/>
      <c r="M43" s="2449"/>
      <c r="N43" s="2450"/>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51" t="s">
        <v>2029</v>
      </c>
      <c r="B46" s="2452"/>
      <c r="C46" s="2452"/>
      <c r="D46" s="2452"/>
      <c r="E46" s="2452"/>
      <c r="F46" s="2452"/>
      <c r="G46" s="2452"/>
      <c r="H46" s="2452"/>
      <c r="I46" s="2452"/>
      <c r="J46" s="2452"/>
      <c r="K46" s="2452"/>
      <c r="L46" s="2452"/>
      <c r="M46" s="2452"/>
      <c r="N46" s="2453"/>
    </row>
    <row r="47" spans="1:14" x14ac:dyDescent="0.2">
      <c r="A47" s="2451"/>
      <c r="B47" s="2452"/>
      <c r="C47" s="2452"/>
      <c r="D47" s="2452"/>
      <c r="E47" s="2452"/>
      <c r="F47" s="2452"/>
      <c r="G47" s="2452"/>
      <c r="H47" s="2452"/>
      <c r="I47" s="2452"/>
      <c r="J47" s="2452"/>
      <c r="K47" s="2452"/>
      <c r="L47" s="2452"/>
      <c r="M47" s="2452"/>
      <c r="N47" s="2453"/>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24" t="str">
        <f>J6</f>
        <v xml:space="preserve"> Lindop SD 92</v>
      </c>
      <c r="M52" s="2424"/>
      <c r="N52" s="2454"/>
    </row>
    <row r="53" spans="1:14" x14ac:dyDescent="0.2">
      <c r="A53" s="1981"/>
      <c r="B53" s="1982"/>
      <c r="C53" s="1982"/>
      <c r="D53" s="1982"/>
      <c r="E53" s="1982"/>
      <c r="F53" s="1982"/>
      <c r="G53" s="1982"/>
      <c r="H53" s="1982"/>
      <c r="I53" s="1982"/>
      <c r="J53" s="1982"/>
      <c r="K53" s="1923" t="s">
        <v>369</v>
      </c>
      <c r="L53" s="2429">
        <f>J7</f>
        <v>6016092002</v>
      </c>
      <c r="M53" s="2429"/>
      <c r="N53" s="2455"/>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6"/>
      <c r="B55" s="2457"/>
      <c r="C55" s="2457"/>
      <c r="D55" s="1969"/>
      <c r="E55" s="1969"/>
      <c r="F55" s="1969"/>
      <c r="G55" s="2458" t="s">
        <v>2030</v>
      </c>
      <c r="H55" s="2458"/>
      <c r="I55" s="2458"/>
      <c r="J55" s="2458"/>
      <c r="K55" s="2458"/>
      <c r="L55" s="2458"/>
      <c r="M55" s="2458"/>
      <c r="N55" s="2459"/>
    </row>
    <row r="56" spans="1:14" ht="63.75" x14ac:dyDescent="0.2">
      <c r="A56" s="2460" t="s">
        <v>2031</v>
      </c>
      <c r="B56" s="2461"/>
      <c r="C56" s="2462"/>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63" t="s">
        <v>296</v>
      </c>
      <c r="B57" s="2464"/>
      <c r="C57" s="2464"/>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42" t="s">
        <v>2041</v>
      </c>
      <c r="B58" s="2443"/>
      <c r="C58" s="2443"/>
      <c r="D58" s="1966">
        <v>2362</v>
      </c>
      <c r="E58" s="1976">
        <f>'Expenditures 15-22'!K320</f>
        <v>35053</v>
      </c>
      <c r="F58" s="1971"/>
      <c r="G58" s="2030">
        <v>17526</v>
      </c>
      <c r="H58" s="2031"/>
      <c r="I58" s="2031"/>
      <c r="J58" s="2031">
        <v>17527</v>
      </c>
      <c r="K58" s="2031"/>
      <c r="L58" s="2031"/>
      <c r="M58" s="2031"/>
      <c r="N58" s="1974">
        <f>IF((SUM(G58:M58))=E58,SUM(G58:M58),"Column N does not agree with Column E")</f>
        <v>35053</v>
      </c>
    </row>
    <row r="59" spans="1:14" ht="24.75" customHeight="1" x14ac:dyDescent="0.2">
      <c r="A59" s="2465" t="s">
        <v>297</v>
      </c>
      <c r="B59" s="2466"/>
      <c r="C59" s="2466"/>
      <c r="D59" s="1966">
        <v>2363</v>
      </c>
      <c r="E59" s="1976">
        <f>'Expenditures 15-22'!K321</f>
        <v>35747</v>
      </c>
      <c r="F59" s="1971"/>
      <c r="G59" s="2030">
        <v>17873</v>
      </c>
      <c r="H59" s="2031"/>
      <c r="I59" s="2031"/>
      <c r="J59" s="2031">
        <v>17874</v>
      </c>
      <c r="K59" s="2031"/>
      <c r="L59" s="2031"/>
      <c r="M59" s="2031"/>
      <c r="N59" s="1974">
        <f>IF((SUM(G59:M59))=E59,SUM(G59:M59),"Column N does not agree with Column E")</f>
        <v>35747</v>
      </c>
    </row>
    <row r="60" spans="1:14" ht="24" customHeight="1" x14ac:dyDescent="0.2">
      <c r="A60" s="2465" t="s">
        <v>236</v>
      </c>
      <c r="B60" s="2466"/>
      <c r="C60" s="2466"/>
      <c r="D60" s="1966">
        <v>2364</v>
      </c>
      <c r="E60" s="1976">
        <f>'Expenditures 15-22'!K322</f>
        <v>-2934</v>
      </c>
      <c r="F60" s="1971"/>
      <c r="G60" s="2030">
        <v>-1467</v>
      </c>
      <c r="H60" s="2031"/>
      <c r="I60" s="2031"/>
      <c r="J60" s="2031">
        <v>-1467</v>
      </c>
      <c r="K60" s="2031"/>
      <c r="L60" s="2031"/>
      <c r="M60" s="2031"/>
      <c r="N60" s="1974">
        <f t="shared" ref="N60:N67" si="4">IF((SUM(G60:M60))=E60,SUM(G60:M60),"Column N does not agree with Column E")</f>
        <v>-2934</v>
      </c>
    </row>
    <row r="61" spans="1:14" ht="24.75" customHeight="1" x14ac:dyDescent="0.2">
      <c r="A61" s="2465" t="s">
        <v>697</v>
      </c>
      <c r="B61" s="2466"/>
      <c r="C61" s="2466"/>
      <c r="D61" s="1966">
        <v>2365</v>
      </c>
      <c r="E61" s="1976">
        <f>'Expenditures 15-22'!K323</f>
        <v>61183</v>
      </c>
      <c r="F61" s="1971"/>
      <c r="G61" s="2030">
        <v>30591</v>
      </c>
      <c r="H61" s="2031"/>
      <c r="I61" s="2031"/>
      <c r="J61" s="2031">
        <v>30592</v>
      </c>
      <c r="K61" s="2031"/>
      <c r="L61" s="2031"/>
      <c r="M61" s="2031"/>
      <c r="N61" s="1974">
        <f t="shared" si="4"/>
        <v>61183</v>
      </c>
    </row>
    <row r="62" spans="1:14" ht="24" customHeight="1" x14ac:dyDescent="0.2">
      <c r="A62" s="2465" t="s">
        <v>237</v>
      </c>
      <c r="B62" s="2466"/>
      <c r="C62" s="2466"/>
      <c r="D62" s="1966">
        <v>2366</v>
      </c>
      <c r="E62" s="1976">
        <f>'Expenditures 15-22'!K324</f>
        <v>0</v>
      </c>
      <c r="F62" s="1971"/>
      <c r="G62" s="2030"/>
      <c r="H62" s="2031"/>
      <c r="I62" s="2031"/>
      <c r="J62" s="2031"/>
      <c r="K62" s="2031"/>
      <c r="L62" s="2031"/>
      <c r="M62" s="2031"/>
      <c r="N62" s="1974">
        <f t="shared" si="4"/>
        <v>0</v>
      </c>
    </row>
    <row r="63" spans="1:14" ht="24" customHeight="1" x14ac:dyDescent="0.2">
      <c r="A63" s="2442" t="s">
        <v>1022</v>
      </c>
      <c r="B63" s="2443"/>
      <c r="C63" s="2443"/>
      <c r="D63" s="1966">
        <v>2367</v>
      </c>
      <c r="E63" s="1976">
        <f>'Expenditures 15-22'!K325</f>
        <v>0</v>
      </c>
      <c r="F63" s="1971"/>
      <c r="G63" s="2030"/>
      <c r="H63" s="2031"/>
      <c r="I63" s="2031"/>
      <c r="J63" s="2031"/>
      <c r="K63" s="2031"/>
      <c r="L63" s="2031"/>
      <c r="M63" s="2031"/>
      <c r="N63" s="1974">
        <f t="shared" si="4"/>
        <v>0</v>
      </c>
    </row>
    <row r="64" spans="1:14" ht="24" customHeight="1" x14ac:dyDescent="0.2">
      <c r="A64" s="2465" t="s">
        <v>1023</v>
      </c>
      <c r="B64" s="2466"/>
      <c r="C64" s="2466"/>
      <c r="D64" s="1966">
        <v>2368</v>
      </c>
      <c r="E64" s="1976">
        <f>'Expenditures 15-22'!K326</f>
        <v>0</v>
      </c>
      <c r="F64" s="1971"/>
      <c r="G64" s="2030"/>
      <c r="H64" s="2031"/>
      <c r="I64" s="2031"/>
      <c r="J64" s="2031"/>
      <c r="K64" s="2031"/>
      <c r="L64" s="2031"/>
      <c r="M64" s="2031"/>
      <c r="N64" s="1974">
        <f t="shared" si="4"/>
        <v>0</v>
      </c>
    </row>
    <row r="65" spans="1:14" ht="24" customHeight="1" x14ac:dyDescent="0.2">
      <c r="A65" s="2465" t="s">
        <v>965</v>
      </c>
      <c r="B65" s="2466"/>
      <c r="C65" s="2466"/>
      <c r="D65" s="1966">
        <v>2369</v>
      </c>
      <c r="E65" s="1976">
        <f>'Expenditures 15-22'!K327</f>
        <v>105436</v>
      </c>
      <c r="F65" s="1971"/>
      <c r="G65" s="2030">
        <v>105436</v>
      </c>
      <c r="H65" s="2031"/>
      <c r="I65" s="2031"/>
      <c r="J65" s="2031"/>
      <c r="K65" s="2031"/>
      <c r="L65" s="2031"/>
      <c r="M65" s="2031"/>
      <c r="N65" s="1974">
        <f t="shared" si="4"/>
        <v>105436</v>
      </c>
    </row>
    <row r="66" spans="1:14" ht="24" customHeight="1" x14ac:dyDescent="0.2">
      <c r="A66" s="2465" t="s">
        <v>469</v>
      </c>
      <c r="B66" s="2466"/>
      <c r="C66" s="2466"/>
      <c r="D66" s="1966">
        <v>2371</v>
      </c>
      <c r="E66" s="1976">
        <f>'Expenditures 15-22'!K328</f>
        <v>0</v>
      </c>
      <c r="F66" s="1971"/>
      <c r="G66" s="2030"/>
      <c r="H66" s="2031"/>
      <c r="I66" s="2031"/>
      <c r="J66" s="2031"/>
      <c r="K66" s="2031"/>
      <c r="L66" s="2031"/>
      <c r="M66" s="2031"/>
      <c r="N66" s="1974">
        <f t="shared" si="4"/>
        <v>0</v>
      </c>
    </row>
    <row r="67" spans="1:14" ht="24.75" customHeight="1" x14ac:dyDescent="0.2">
      <c r="A67" s="2467" t="s">
        <v>2042</v>
      </c>
      <c r="B67" s="2468"/>
      <c r="C67" s="2468"/>
      <c r="D67" s="1968">
        <v>2372</v>
      </c>
      <c r="E67" s="1977">
        <f>'Expenditures 15-22'!K329</f>
        <v>0</v>
      </c>
      <c r="F67" s="1971"/>
      <c r="G67" s="2032"/>
      <c r="H67" s="2033"/>
      <c r="I67" s="2033"/>
      <c r="J67" s="2033"/>
      <c r="K67" s="2033"/>
      <c r="L67" s="2033"/>
      <c r="M67" s="2033"/>
      <c r="N67" s="1974">
        <f t="shared" si="4"/>
        <v>0</v>
      </c>
    </row>
    <row r="68" spans="1:14" x14ac:dyDescent="0.2">
      <c r="A68" s="2469" t="s">
        <v>1151</v>
      </c>
      <c r="B68" s="2470"/>
      <c r="C68" s="2470"/>
      <c r="D68" s="1969"/>
      <c r="E68" s="1973">
        <f>SUM(E57:E67)</f>
        <v>234485</v>
      </c>
      <c r="F68" s="1972"/>
      <c r="G68" s="1973">
        <f t="shared" ref="G68:N68" si="5">SUM(G57:G67)</f>
        <v>169959</v>
      </c>
      <c r="H68" s="1973">
        <f t="shared" si="5"/>
        <v>0</v>
      </c>
      <c r="I68" s="1973">
        <f t="shared" si="5"/>
        <v>0</v>
      </c>
      <c r="J68" s="1973">
        <f t="shared" si="5"/>
        <v>64526</v>
      </c>
      <c r="K68" s="1973">
        <f t="shared" si="5"/>
        <v>0</v>
      </c>
      <c r="L68" s="1973">
        <f t="shared" si="5"/>
        <v>0</v>
      </c>
      <c r="M68" s="1973">
        <f t="shared" si="5"/>
        <v>0</v>
      </c>
      <c r="N68" s="1987">
        <f t="shared" si="5"/>
        <v>234485</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28515625" defaultRowHeight="12.75" x14ac:dyDescent="0.2"/>
  <cols>
    <col min="1" max="1" width="3" style="306" customWidth="1"/>
    <col min="2" max="2" width="109.28515625" style="306" customWidth="1"/>
    <col min="3" max="3" width="3.28515625" style="306" customWidth="1"/>
    <col min="4" max="16384" width="9.28515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Lindop SD 92</v>
      </c>
    </row>
    <row r="65" spans="2:2" x14ac:dyDescent="0.2">
      <c r="B65" s="848">
        <f>COVER!A13</f>
        <v>6016092002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28515625" defaultRowHeight="12" x14ac:dyDescent="0.2"/>
  <cols>
    <col min="1" max="1" width="2.28515625" style="156" customWidth="1"/>
    <col min="2" max="2" width="88.28515625" style="156" customWidth="1"/>
    <col min="3" max="3" width="1" style="156" customWidth="1"/>
    <col min="4" max="4" width="23.42578125" style="156" customWidth="1"/>
    <col min="5" max="5" width="11" style="156" customWidth="1"/>
    <col min="6" max="6" width="5.28515625" style="156" customWidth="1"/>
    <col min="7" max="7" width="2.5703125" style="156" customWidth="1"/>
    <col min="8" max="8" width="5.42578125" style="156" customWidth="1"/>
    <col min="9" max="16384" width="9.28515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57" t="s">
        <v>1056</v>
      </c>
      <c r="B35" s="2157"/>
      <c r="C35" s="2157"/>
      <c r="D35" s="2157"/>
      <c r="E35" s="2157"/>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4" t="s">
        <v>686</v>
      </c>
      <c r="B40" s="2154"/>
      <c r="C40" s="2154"/>
      <c r="D40" s="2154"/>
      <c r="E40" s="2154"/>
    </row>
    <row r="41" spans="1:5" x14ac:dyDescent="0.2">
      <c r="A41" s="2155" t="s">
        <v>1591</v>
      </c>
      <c r="B41" s="2155"/>
      <c r="C41" s="2155"/>
      <c r="D41" s="2155"/>
      <c r="E41" s="2155"/>
    </row>
    <row r="42" spans="1:5" ht="12.75" customHeight="1" x14ac:dyDescent="0.2">
      <c r="A42" s="2156" t="s">
        <v>1015</v>
      </c>
      <c r="B42" s="2156"/>
      <c r="C42" s="2156"/>
      <c r="D42" s="2156"/>
      <c r="E42" s="2156"/>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4" customHeight="1" x14ac:dyDescent="0.2">
      <c r="A76" s="183" t="s">
        <v>1604</v>
      </c>
      <c r="B76" s="192" t="s">
        <v>1762</v>
      </c>
    </row>
    <row r="77" spans="1:9" ht="12.4"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4"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4" customHeight="1" x14ac:dyDescent="0.2">
      <c r="A81" s="166"/>
    </row>
    <row r="82" spans="1:2" ht="12.4" customHeight="1" x14ac:dyDescent="0.2">
      <c r="A82" s="166"/>
    </row>
    <row r="83" spans="1:2" ht="3.75" customHeight="1" x14ac:dyDescent="0.2">
      <c r="A83" s="166"/>
    </row>
    <row r="84" spans="1:2" ht="12.4"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ColWidth="9.28515625" defaultRowHeight="12.75" x14ac:dyDescent="0.2"/>
  <cols>
    <col min="1" max="1" width="1.7109375" style="306" customWidth="1"/>
    <col min="2" max="2" width="59.7109375" style="306" customWidth="1"/>
    <col min="3" max="16384" width="9.28515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71" t="s">
        <v>1665</v>
      </c>
      <c r="B18" s="247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2</xdr:col>
                <xdr:colOff>0</xdr:colOff>
                <xdr:row>7</xdr:row>
                <xdr:rowOff>0</xdr:rowOff>
              </from>
              <to>
                <xdr:col>3</xdr:col>
                <xdr:colOff>295275</xdr:colOff>
                <xdr:row>11</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6</xdr:col>
                <xdr:colOff>0</xdr:colOff>
                <xdr:row>8</xdr:row>
                <xdr:rowOff>0</xdr:rowOff>
              </from>
              <to>
                <xdr:col>7</xdr:col>
                <xdr:colOff>295275</xdr:colOff>
                <xdr:row>12</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28515625" defaultRowHeight="12.75" x14ac:dyDescent="0.2"/>
  <cols>
    <col min="1" max="1" width="33.7109375" style="293" customWidth="1"/>
    <col min="2" max="6" width="16.7109375" style="293" customWidth="1"/>
    <col min="7" max="16384" width="9.28515625" style="293"/>
  </cols>
  <sheetData>
    <row r="1" spans="1:8" ht="48.75" customHeight="1" x14ac:dyDescent="0.2">
      <c r="A1" s="2472" t="s">
        <v>1669</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2"/>
      <c r="H2" s="852"/>
    </row>
    <row r="3" spans="1:8" ht="57" customHeight="1" x14ac:dyDescent="0.2">
      <c r="A3" s="2485" t="s">
        <v>1972</v>
      </c>
      <c r="B3" s="2486"/>
      <c r="C3" s="2486"/>
      <c r="D3" s="2486"/>
      <c r="E3" s="2486"/>
      <c r="F3" s="2487"/>
      <c r="G3" s="852"/>
      <c r="H3" s="852"/>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2"/>
      <c r="H4" s="852"/>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2"/>
      <c r="H5" s="852"/>
    </row>
    <row r="6" spans="1:8" s="853" customFormat="1" ht="41.25" customHeight="1" x14ac:dyDescent="0.2">
      <c r="A6" s="2488" t="s">
        <v>1670</v>
      </c>
      <c r="B6" s="2489"/>
      <c r="C6" s="2489"/>
      <c r="D6" s="2489"/>
      <c r="E6" s="2489"/>
      <c r="F6" s="2490"/>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6646612</v>
      </c>
      <c r="C8" s="1812">
        <f>'Acct Summary 7-8'!D8</f>
        <v>593696</v>
      </c>
      <c r="D8" s="1812">
        <f>'Acct Summary 7-8'!F8</f>
        <v>283657</v>
      </c>
      <c r="E8" s="1812">
        <f>'Acct Summary 7-8'!I8</f>
        <v>85568</v>
      </c>
      <c r="F8" s="1812">
        <f>SUM(B8:E8)</f>
        <v>7609533</v>
      </c>
    </row>
    <row r="9" spans="1:8" s="857" customFormat="1" ht="14.25" customHeight="1" thickBot="1" x14ac:dyDescent="0.25">
      <c r="A9" s="856" t="s">
        <v>1353</v>
      </c>
      <c r="B9" s="1813">
        <f>'Acct Summary 7-8'!C17</f>
        <v>6715534</v>
      </c>
      <c r="C9" s="1813">
        <f>'Acct Summary 7-8'!D17</f>
        <v>604465</v>
      </c>
      <c r="D9" s="1813">
        <f>'Acct Summary 7-8'!F17</f>
        <v>216119</v>
      </c>
      <c r="E9" s="1812"/>
      <c r="F9" s="1812">
        <f>SUM(B9:E9)</f>
        <v>7536118</v>
      </c>
    </row>
    <row r="10" spans="1:8" s="857" customFormat="1" ht="14.25" thickTop="1" thickBot="1" x14ac:dyDescent="0.25">
      <c r="A10" s="858" t="s">
        <v>1354</v>
      </c>
      <c r="B10" s="1814">
        <f>(B8-B9)</f>
        <v>-68922</v>
      </c>
      <c r="C10" s="1814">
        <f>(C8-C9)</f>
        <v>-10769</v>
      </c>
      <c r="D10" s="1814">
        <f>(D8-D9)</f>
        <v>67538</v>
      </c>
      <c r="E10" s="1813">
        <f>(E8-E9)</f>
        <v>85568</v>
      </c>
      <c r="F10" s="1815">
        <f>SUM(F8-F9)</f>
        <v>73415</v>
      </c>
    </row>
    <row r="11" spans="1:8" s="857" customFormat="1" ht="14.25" thickTop="1" thickBot="1" x14ac:dyDescent="0.25">
      <c r="A11" s="859" t="s">
        <v>1903</v>
      </c>
      <c r="B11" s="1816">
        <f>'Acct Summary 7-8'!C81</f>
        <v>8151710</v>
      </c>
      <c r="C11" s="1816">
        <f>'Acct Summary 7-8'!D81</f>
        <v>315655</v>
      </c>
      <c r="D11" s="1816">
        <f>'Acct Summary 7-8'!F81</f>
        <v>298139</v>
      </c>
      <c r="E11" s="1816">
        <f>'Acct Summary 7-8'!I81</f>
        <v>1038200</v>
      </c>
      <c r="F11" s="1817">
        <f>SUM(B11:E11)</f>
        <v>9803704</v>
      </c>
    </row>
    <row r="12" spans="1:8" ht="16.5" customHeight="1" thickTop="1" x14ac:dyDescent="0.2">
      <c r="A12" s="860"/>
      <c r="B12" s="861"/>
      <c r="C12" s="2476" t="str">
        <f>IF(AND(F10&lt;0,F11&gt;=0,ABS(F10*3)&gt;ABS(F11)),A16,IF(AND(F10&lt;0,F11&gt;0,ABS(F10*3)&lt;=ABS(F11)),A17,IF(AND(F10&lt;0,F11&lt;0),A16,IF(F11=0,A19,A18))))</f>
        <v>Balanced - no deficit reduction plan is required.</v>
      </c>
      <c r="D12" s="2477"/>
      <c r="E12" s="2477"/>
      <c r="F12" s="2478"/>
    </row>
    <row r="13" spans="1:8" ht="19.5" customHeight="1" x14ac:dyDescent="0.2">
      <c r="A13" s="862"/>
      <c r="B13" s="863"/>
      <c r="C13" s="2476"/>
      <c r="D13" s="2477"/>
      <c r="E13" s="2477"/>
      <c r="F13" s="2478"/>
      <c r="H13" s="852"/>
    </row>
    <row r="14" spans="1:8" ht="19.5" customHeight="1" x14ac:dyDescent="0.2">
      <c r="A14" s="862"/>
      <c r="B14" s="863"/>
      <c r="C14" s="2476"/>
      <c r="D14" s="2477"/>
      <c r="E14" s="2477"/>
      <c r="F14" s="2478"/>
      <c r="H14" s="852"/>
    </row>
    <row r="15" spans="1:8" ht="17.25" customHeight="1" x14ac:dyDescent="0.2">
      <c r="A15" s="862"/>
      <c r="B15" s="863"/>
      <c r="C15" s="2479"/>
      <c r="D15" s="2480"/>
      <c r="E15" s="2480"/>
      <c r="F15" s="2481"/>
      <c r="H15" s="852"/>
    </row>
    <row r="16" spans="1:8" s="287" customFormat="1" ht="51.75" hidden="1" customHeight="1" x14ac:dyDescent="0.2">
      <c r="A16" s="2475" t="s">
        <v>1666</v>
      </c>
      <c r="B16" s="2475"/>
      <c r="C16" s="2475"/>
      <c r="D16" s="2475"/>
      <c r="E16" s="2475"/>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23" sqref="D23"/>
    </sheetView>
  </sheetViews>
  <sheetFormatPr defaultColWidth="9.28515625" defaultRowHeight="12" x14ac:dyDescent="0.2"/>
  <cols>
    <col min="1" max="1" width="2.7109375" style="911" customWidth="1"/>
    <col min="2" max="2" width="3.28515625" style="911" customWidth="1"/>
    <col min="3" max="3" width="96.28515625" style="851" customWidth="1"/>
    <col min="4" max="4" width="42.28515625" style="236" customWidth="1"/>
    <col min="5" max="5" width="2.7109375" style="870" customWidth="1"/>
    <col min="6" max="6" width="1" style="870" customWidth="1"/>
    <col min="7" max="16384" width="9.28515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7" t="s">
        <v>660</v>
      </c>
      <c r="B3" s="2498"/>
      <c r="C3" s="2498"/>
      <c r="D3" s="2499"/>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08" t="s">
        <v>1487</v>
      </c>
      <c r="D7" s="2509"/>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500" t="s">
        <v>1001</v>
      </c>
      <c r="B15" s="2501"/>
      <c r="C15" s="2501"/>
      <c r="D15" s="2502"/>
    </row>
    <row r="16" spans="1:4" s="541" customFormat="1" ht="24" customHeight="1" x14ac:dyDescent="0.2">
      <c r="A16" s="2503" t="s">
        <v>658</v>
      </c>
      <c r="B16" s="2504"/>
      <c r="C16" s="2504"/>
      <c r="D16" s="2505"/>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2" t="s">
        <v>311</v>
      </c>
      <c r="D21" s="2513"/>
    </row>
    <row r="22" spans="1:10" ht="12.75" x14ac:dyDescent="0.2">
      <c r="A22" s="917"/>
      <c r="B22" s="918">
        <v>2</v>
      </c>
      <c r="C22" s="2510" t="s">
        <v>1507</v>
      </c>
      <c r="D22" s="2511"/>
    </row>
    <row r="23" spans="1:10" ht="12.4" customHeight="1" x14ac:dyDescent="0.2">
      <c r="A23" s="917"/>
      <c r="B23" s="918"/>
      <c r="C23" s="919" t="s">
        <v>948</v>
      </c>
      <c r="D23" s="920" t="str">
        <f>IF(COVER!O11="X","CASH",IF(COVER!O12="X","ACCRUAL ","PLEASE CHECK AN ACCOUNTING BASIS."))</f>
        <v xml:space="preserve">ACCRUAL </v>
      </c>
    </row>
    <row r="24" spans="1:10" ht="12.4"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4" t="s">
        <v>533</v>
      </c>
      <c r="D43" s="2515"/>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6" t="s">
        <v>779</v>
      </c>
      <c r="D56" s="2507"/>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6" t="s">
        <v>1674</v>
      </c>
      <c r="D70" s="2507"/>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4"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4" t="s">
        <v>259</v>
      </c>
      <c r="E1" s="1542" t="s">
        <v>1967</v>
      </c>
      <c r="F1" s="1542" t="s">
        <v>1968</v>
      </c>
      <c r="G1" s="1899" t="s">
        <v>1978</v>
      </c>
    </row>
    <row r="2" spans="1:7" ht="15.75" x14ac:dyDescent="0.25">
      <c r="A2" t="s">
        <v>260</v>
      </c>
      <c r="B2" s="134">
        <f>COVER!A13</f>
        <v>6016092002</v>
      </c>
      <c r="E2" s="1541">
        <v>2020</v>
      </c>
      <c r="F2" s="1541">
        <v>1</v>
      </c>
      <c r="G2" s="1898">
        <v>101000300</v>
      </c>
    </row>
    <row r="3" spans="1:7" ht="15" x14ac:dyDescent="0.25">
      <c r="A3" t="s">
        <v>950</v>
      </c>
      <c r="B3" s="134" t="str">
        <f>COVER!A15</f>
        <v>COOK</v>
      </c>
      <c r="E3" s="1829" t="s">
        <v>1971</v>
      </c>
      <c r="F3" s="1829" t="s">
        <v>1970</v>
      </c>
      <c r="G3" s="1898">
        <v>101000400</v>
      </c>
    </row>
    <row r="4" spans="1:7" ht="15" x14ac:dyDescent="0.25">
      <c r="A4" t="s">
        <v>1000</v>
      </c>
      <c r="B4" s="134" t="str">
        <f>COVER!A17</f>
        <v xml:space="preserve"> Lindop SD 92</v>
      </c>
      <c r="E4" s="1827">
        <v>44119</v>
      </c>
      <c r="F4" s="1828">
        <v>44151</v>
      </c>
      <c r="G4" s="1898">
        <v>101000600</v>
      </c>
    </row>
    <row r="5" spans="1:7" ht="15" x14ac:dyDescent="0.25">
      <c r="A5" t="s">
        <v>699</v>
      </c>
      <c r="B5" s="134">
        <f>COVER!A38</f>
        <v>0</v>
      </c>
      <c r="G5" s="1898">
        <v>101000800</v>
      </c>
    </row>
    <row r="6" spans="1:7" ht="15" x14ac:dyDescent="0.25">
      <c r="A6" t="s">
        <v>704</v>
      </c>
      <c r="B6" s="134" t="str">
        <f>COVER!P35</f>
        <v>PROVISO</v>
      </c>
      <c r="G6" s="1898">
        <v>102100300</v>
      </c>
    </row>
    <row r="7" spans="1:7" ht="15" x14ac:dyDescent="0.25">
      <c r="A7" t="s">
        <v>700</v>
      </c>
      <c r="B7" s="134">
        <f>COVER!I38</f>
        <v>0</v>
      </c>
      <c r="G7" s="1898">
        <v>102100400</v>
      </c>
    </row>
    <row r="8" spans="1:7" ht="15" x14ac:dyDescent="0.25">
      <c r="A8" t="s">
        <v>701</v>
      </c>
      <c r="B8" s="134">
        <f>COVER!T38</f>
        <v>0</v>
      </c>
      <c r="G8" s="1898">
        <v>102100600</v>
      </c>
    </row>
    <row r="9" spans="1:7" ht="15" x14ac:dyDescent="0.25">
      <c r="A9" s="3" t="s">
        <v>951</v>
      </c>
      <c r="B9" s="152" t="str">
        <f>AUDITCHECK!D23</f>
        <v xml:space="preserve">ACCRUAL </v>
      </c>
      <c r="G9" s="1898">
        <v>102100800</v>
      </c>
    </row>
    <row r="10" spans="1:7" ht="15" x14ac:dyDescent="0.25">
      <c r="A10" t="s">
        <v>970</v>
      </c>
      <c r="B10" s="134" t="str">
        <f>COVER!B5</f>
        <v>X</v>
      </c>
      <c r="G10" s="1898">
        <v>202100300</v>
      </c>
    </row>
    <row r="11" spans="1:7" ht="15" x14ac:dyDescent="0.25">
      <c r="A11" t="s">
        <v>971</v>
      </c>
      <c r="B11" s="134">
        <f>COVER!B6</f>
        <v>0</v>
      </c>
      <c r="G11" s="1898">
        <v>202100400</v>
      </c>
    </row>
    <row r="12" spans="1:7" ht="15" x14ac:dyDescent="0.25">
      <c r="A12" s="1" t="s">
        <v>1526</v>
      </c>
      <c r="B12" s="134" t="str">
        <f>IF(COVER!J29="x","Yes",IF(COVER!L29="X","No",0))</f>
        <v>No</v>
      </c>
      <c r="G12" s="1898">
        <v>202100600</v>
      </c>
    </row>
    <row r="13" spans="1:7" ht="15" x14ac:dyDescent="0.25">
      <c r="A13" s="1" t="s">
        <v>1527</v>
      </c>
      <c r="B13" s="134" t="str">
        <f>IF(COVER!J30="x","Yes",IF(COVER!L30="x","No",0))</f>
        <v>No</v>
      </c>
      <c r="G13" s="1898">
        <v>202100800</v>
      </c>
    </row>
    <row r="14" spans="1:7" ht="15" x14ac:dyDescent="0.25">
      <c r="A14" t="s">
        <v>473</v>
      </c>
      <c r="B14" s="134" t="str">
        <f>IF(COVER!J31="x","Yes",IF(COVER!L31="x","No",0))</f>
        <v>No</v>
      </c>
      <c r="G14" s="1898">
        <v>402100300</v>
      </c>
    </row>
    <row r="15" spans="1:7" ht="15" x14ac:dyDescent="0.25">
      <c r="A15" t="s">
        <v>573</v>
      </c>
      <c r="B15" s="134" t="str">
        <f>COVER!T23</f>
        <v>066-005340</v>
      </c>
      <c r="G15" s="1898">
        <v>402100400</v>
      </c>
    </row>
    <row r="16" spans="1:7" ht="15" x14ac:dyDescent="0.25">
      <c r="A16" t="s">
        <v>419</v>
      </c>
      <c r="B16" s="134" t="str">
        <f>COVER!T13</f>
        <v>EVANS, MARSHALL &amp; PEASE, P.C.</v>
      </c>
      <c r="G16" s="1898">
        <v>402100600</v>
      </c>
    </row>
    <row r="17" spans="1:7" ht="15" x14ac:dyDescent="0.25">
      <c r="A17" t="s">
        <v>878</v>
      </c>
      <c r="B17" s="134" t="str">
        <f>COVER!T15</f>
        <v>CHRISTOPHER M. SCALET, CPA</v>
      </c>
      <c r="G17" s="1898">
        <v>402100800</v>
      </c>
    </row>
    <row r="18" spans="1:7" ht="15" x14ac:dyDescent="0.25">
      <c r="A18" t="s">
        <v>1140</v>
      </c>
      <c r="B18" s="134" t="str">
        <f>COVER!T17</f>
        <v>1875 HICKS ROAD</v>
      </c>
      <c r="G18" s="1898">
        <v>102200300</v>
      </c>
    </row>
    <row r="19" spans="1:7" ht="15" x14ac:dyDescent="0.25">
      <c r="A19" t="s">
        <v>880</v>
      </c>
      <c r="B19" s="134" t="str">
        <f>COVER!T25</f>
        <v>CHRIS@EMPCPA.COM</v>
      </c>
      <c r="G19" s="1898">
        <v>102200400</v>
      </c>
    </row>
    <row r="20" spans="1:7" ht="15" x14ac:dyDescent="0.25">
      <c r="A20" t="s">
        <v>881</v>
      </c>
      <c r="B20" s="134" t="str">
        <f>COVER!T19</f>
        <v>ROLLING MEADOWS</v>
      </c>
      <c r="G20" s="1898">
        <v>102200600</v>
      </c>
    </row>
    <row r="21" spans="1:7" ht="15" x14ac:dyDescent="0.25">
      <c r="A21" t="s">
        <v>476</v>
      </c>
      <c r="B21" s="134" t="str">
        <f>COVER!X19</f>
        <v>IL</v>
      </c>
      <c r="G21" s="1898">
        <v>102200800</v>
      </c>
    </row>
    <row r="22" spans="1:7" ht="15" x14ac:dyDescent="0.25">
      <c r="A22" t="s">
        <v>882</v>
      </c>
      <c r="B22" s="134">
        <f>COVER!Z19</f>
        <v>60008</v>
      </c>
      <c r="G22" s="1898">
        <v>102300300</v>
      </c>
    </row>
    <row r="23" spans="1:7" ht="15" x14ac:dyDescent="0.25">
      <c r="A23" t="s">
        <v>1142</v>
      </c>
      <c r="B23" s="134" t="str">
        <f>COVER!T21</f>
        <v>847-221-5700</v>
      </c>
      <c r="G23" s="1898">
        <v>102300400</v>
      </c>
    </row>
    <row r="24" spans="1:7" ht="15" x14ac:dyDescent="0.25">
      <c r="A24" t="s">
        <v>1141</v>
      </c>
      <c r="B24" s="134">
        <f>COVER!Y21</f>
        <v>0</v>
      </c>
      <c r="G24" s="1898">
        <v>102300600</v>
      </c>
    </row>
    <row r="25" spans="1:7" ht="15" x14ac:dyDescent="0.25">
      <c r="A25" t="s">
        <v>756</v>
      </c>
      <c r="B25" s="134">
        <f>COVER!B34</f>
        <v>0</v>
      </c>
      <c r="G25" s="1898">
        <v>102300800</v>
      </c>
    </row>
    <row r="26" spans="1:7" ht="15" x14ac:dyDescent="0.25">
      <c r="A26" t="s">
        <v>1143</v>
      </c>
      <c r="B26" s="134" t="str">
        <f>COVER!L34</f>
        <v>X</v>
      </c>
      <c r="G26" s="1898">
        <v>802300300</v>
      </c>
    </row>
    <row r="27" spans="1:7" ht="15" x14ac:dyDescent="0.25">
      <c r="A27" t="s">
        <v>266</v>
      </c>
      <c r="B27" s="134">
        <f>COVER!U34</f>
        <v>0</v>
      </c>
      <c r="G27" s="1898">
        <v>802300400</v>
      </c>
    </row>
    <row r="28" spans="1:7" ht="15" x14ac:dyDescent="0.25">
      <c r="A28" t="s">
        <v>313</v>
      </c>
      <c r="B28" s="134" t="str">
        <f>IF('Aud Quest 2'!B9="x","Yes",IF('Aud Quest 2'!B9&lt;&gt;"x","0"))</f>
        <v>0</v>
      </c>
      <c r="G28" s="1898">
        <v>802300600</v>
      </c>
    </row>
    <row r="29" spans="1:7" ht="15" x14ac:dyDescent="0.25">
      <c r="A29" t="s">
        <v>314</v>
      </c>
      <c r="B29" s="134" t="str">
        <f>IF('Aud Quest 2'!B11="x","Yes",IF('Aud Quest 2'!B11&lt;&gt;"x","0"))</f>
        <v>0</v>
      </c>
      <c r="G29" s="1898">
        <v>802300800</v>
      </c>
    </row>
    <row r="30" spans="1:7" ht="15" x14ac:dyDescent="0.25">
      <c r="A30" t="s">
        <v>315</v>
      </c>
      <c r="B30" s="134" t="str">
        <f>IF('Aud Quest 2'!B13="x","Yes",IF('Aud Quest 2'!B13&lt;&gt;"x","0"))</f>
        <v>0</v>
      </c>
      <c r="G30" s="1898">
        <v>102400300</v>
      </c>
    </row>
    <row r="31" spans="1:7" ht="15" x14ac:dyDescent="0.25">
      <c r="A31" t="s">
        <v>654</v>
      </c>
      <c r="B31" s="134" t="str">
        <f>IF('Aud Quest 2'!B14="x","Yes",IF('Aud Quest 2'!B14&lt;&gt;"x","0"))</f>
        <v>0</v>
      </c>
      <c r="G31" s="1898">
        <v>102400400</v>
      </c>
    </row>
    <row r="32" spans="1:7" ht="15" x14ac:dyDescent="0.25">
      <c r="A32" t="s">
        <v>653</v>
      </c>
      <c r="B32" s="134" t="str">
        <f>IF('Aud Quest 2'!B15="x","Yes",IF('Aud Quest 2'!B15&lt;&gt;"x","0"))</f>
        <v>0</v>
      </c>
      <c r="G32" s="1898">
        <v>102400600</v>
      </c>
    </row>
    <row r="33" spans="1:7" ht="15" x14ac:dyDescent="0.25">
      <c r="A33" t="s">
        <v>655</v>
      </c>
      <c r="B33" s="134" t="str">
        <f>IF('Aud Quest 2'!B16="x","Yes",IF('Aud Quest 2'!B16&lt;&gt;"x","0"))</f>
        <v>0</v>
      </c>
      <c r="G33" s="1898">
        <v>102400800</v>
      </c>
    </row>
    <row r="34" spans="1:7" ht="15" x14ac:dyDescent="0.25">
      <c r="A34" t="s">
        <v>656</v>
      </c>
      <c r="B34" s="134" t="str">
        <f>IF('Aud Quest 2'!B18="x","Yes",IF('Aud Quest 2'!B18&lt;&gt;"x","0"))</f>
        <v>0</v>
      </c>
      <c r="G34" s="1898">
        <v>102510300</v>
      </c>
    </row>
    <row r="35" spans="1:7" ht="15" x14ac:dyDescent="0.25">
      <c r="A35" t="s">
        <v>657</v>
      </c>
      <c r="B35" s="134" t="str">
        <f>IF('Aud Quest 2'!B20="x","Yes",IF('Aud Quest 2'!B20&lt;&gt;"x","0"))</f>
        <v>0</v>
      </c>
      <c r="G35" s="1898">
        <v>102510400</v>
      </c>
    </row>
    <row r="36" spans="1:7" ht="15" x14ac:dyDescent="0.25">
      <c r="A36" t="s">
        <v>651</v>
      </c>
      <c r="B36" s="134" t="str">
        <f>IF('Aud Quest 2'!B22="x","Yes",IF('Aud Quest 2'!B22&lt;&gt;"x","0"))</f>
        <v>0</v>
      </c>
      <c r="G36" s="1898">
        <v>102510600</v>
      </c>
    </row>
    <row r="37" spans="1:7" ht="15" x14ac:dyDescent="0.25">
      <c r="A37" t="s">
        <v>755</v>
      </c>
      <c r="B37" s="134" t="str">
        <f>IF('Aud Quest 2'!B24="x","Yes",IF('Aud Quest 2'!B24&lt;&gt;"x","0"))</f>
        <v>0</v>
      </c>
      <c r="G37" s="1898">
        <v>102510800</v>
      </c>
    </row>
    <row r="38" spans="1:7" ht="15" x14ac:dyDescent="0.25">
      <c r="A38" t="s">
        <v>324</v>
      </c>
      <c r="B38" s="134" t="str">
        <f>IF('Aud Quest 2'!B25="x","Yes",IF('Aud Quest 2'!B25&lt;&gt;"x","0"))</f>
        <v>0</v>
      </c>
      <c r="G38" s="1898">
        <v>202510300</v>
      </c>
    </row>
    <row r="39" spans="1:7" ht="15" x14ac:dyDescent="0.25">
      <c r="A39" t="s">
        <v>325</v>
      </c>
      <c r="B39" s="134" t="str">
        <f>IF('Aud Quest 2'!B27="x","Yes",IF('Aud Quest 2'!B27&lt;&gt;"x","0"))</f>
        <v>0</v>
      </c>
      <c r="G39" s="1898">
        <v>202510400</v>
      </c>
    </row>
    <row r="40" spans="1:7" ht="15" x14ac:dyDescent="0.25">
      <c r="A40" t="s">
        <v>316</v>
      </c>
      <c r="B40" s="134" t="str">
        <f>IF('Aud Quest 2'!B29="x","Yes",IF('Aud Quest 2'!B29&lt;&gt;"x","0"))</f>
        <v>0</v>
      </c>
      <c r="G40" s="1898">
        <v>202510600</v>
      </c>
    </row>
    <row r="41" spans="1:7" ht="15" x14ac:dyDescent="0.25">
      <c r="A41" t="s">
        <v>317</v>
      </c>
      <c r="B41" s="134" t="str">
        <f>IF('Aud Quest 2'!B31="x","Yes",IF('Aud Quest 2'!B31&lt;&gt;"x","0"))</f>
        <v>0</v>
      </c>
      <c r="G41" s="1898">
        <v>202510800</v>
      </c>
    </row>
    <row r="42" spans="1:7" ht="15" x14ac:dyDescent="0.25">
      <c r="A42" t="s">
        <v>318</v>
      </c>
      <c r="B42" s="134" t="str">
        <f>IF('Aud Quest 2'!B37="x","Yes",IF('Aud Quest 2'!B37&lt;&gt;"x","0"))</f>
        <v>0</v>
      </c>
      <c r="G42" s="1898">
        <v>102520300</v>
      </c>
    </row>
    <row r="43" spans="1:7" ht="15" x14ac:dyDescent="0.25">
      <c r="A43" t="s">
        <v>319</v>
      </c>
      <c r="B43" s="134" t="str">
        <f>IF('Aud Quest 2'!B40="x","Yes",IF('Aud Quest 2'!B40&lt;&gt;"x","0"))</f>
        <v>0</v>
      </c>
      <c r="G43" s="1898">
        <v>102520400</v>
      </c>
    </row>
    <row r="44" spans="1:7" ht="15" x14ac:dyDescent="0.25">
      <c r="A44" s="1" t="s">
        <v>320</v>
      </c>
      <c r="B44" s="134" t="str">
        <f>IF('Aud Quest 2'!B42="x","Yes",IF('Aud Quest 2'!B42&lt;&gt;"x","0"))</f>
        <v>0</v>
      </c>
      <c r="G44" s="1898">
        <v>102520600</v>
      </c>
    </row>
    <row r="45" spans="1:7" ht="15" x14ac:dyDescent="0.25">
      <c r="A45" t="s">
        <v>321</v>
      </c>
      <c r="B45" s="134" t="str">
        <f>IF('Aud Quest 2'!B44="x","Yes",IF('Aud Quest 2'!B44&lt;&gt;"x","0"))</f>
        <v>0</v>
      </c>
      <c r="G45" s="1898">
        <v>102520800</v>
      </c>
    </row>
    <row r="46" spans="1:7" ht="15" x14ac:dyDescent="0.25">
      <c r="A46" t="s">
        <v>322</v>
      </c>
      <c r="B46" s="134" t="str">
        <f>IF('Aud Quest 2'!B49="x","Yes",IF('Aud Quest 2'!B49&lt;&gt;"x","0"))</f>
        <v>0</v>
      </c>
      <c r="G46" s="1898">
        <v>102540300</v>
      </c>
    </row>
    <row r="47" spans="1:7" ht="15" x14ac:dyDescent="0.25">
      <c r="A47" t="s">
        <v>323</v>
      </c>
      <c r="B47" s="134" t="str">
        <f>IF('Aud Quest 2'!B50="x","Yes",IF('Aud Quest 2'!B50&lt;&gt;"x","0"))</f>
        <v>0</v>
      </c>
      <c r="G47" s="1898">
        <v>102540400</v>
      </c>
    </row>
    <row r="48" spans="1:7" ht="15" x14ac:dyDescent="0.25">
      <c r="A48" t="s">
        <v>480</v>
      </c>
      <c r="B48" s="134" t="str">
        <f>IF('Aud Quest 2'!B51="x","Yes",IF('Aud Quest 2'!B51&lt;&gt;"x","0"))</f>
        <v>0</v>
      </c>
      <c r="G48" s="1898">
        <v>102540600</v>
      </c>
    </row>
    <row r="49" spans="1:7" ht="15" x14ac:dyDescent="0.25">
      <c r="A49" s="1" t="s">
        <v>1464</v>
      </c>
      <c r="B49" s="134" t="str">
        <f>IF('Aud Quest 2'!B53="x","Yes",IF('Aud Quest 2'!B53&lt;&gt;"x","0"))</f>
        <v>Yes</v>
      </c>
      <c r="G49" s="1898">
        <v>102540800</v>
      </c>
    </row>
    <row r="50" spans="1:7" ht="15" x14ac:dyDescent="0.25">
      <c r="A50" s="1" t="s">
        <v>1463</v>
      </c>
      <c r="B50" s="145">
        <f>'Aud Quest 2'!H53</f>
        <v>33512</v>
      </c>
      <c r="G50" s="1898">
        <v>202540300</v>
      </c>
    </row>
    <row r="51" spans="1:7" ht="15" x14ac:dyDescent="0.25">
      <c r="A51" s="1" t="s">
        <v>1465</v>
      </c>
      <c r="B51" s="134" t="str">
        <f>IF('Aud Quest 2'!B54="x","Yes",IF('Aud Quest 2'!B54&lt;&gt;"x","0"))</f>
        <v>0</v>
      </c>
      <c r="G51" s="1898">
        <v>202540400</v>
      </c>
    </row>
    <row r="52" spans="1:7" ht="15" x14ac:dyDescent="0.25">
      <c r="A52" t="s">
        <v>326</v>
      </c>
      <c r="B52" s="134">
        <f>('Aud Quest 2'!D56)</f>
        <v>0</v>
      </c>
      <c r="G52" s="1898">
        <v>202540600</v>
      </c>
    </row>
    <row r="53" spans="1:7" ht="15" x14ac:dyDescent="0.25">
      <c r="A53" s="1" t="s">
        <v>327</v>
      </c>
      <c r="B53" s="134">
        <f>IF('FP Info 3'!B44="X","Yes",0)</f>
        <v>0</v>
      </c>
      <c r="G53" s="1898">
        <v>202540800</v>
      </c>
    </row>
    <row r="54" spans="1:7" ht="15" x14ac:dyDescent="0.25">
      <c r="A54" t="s">
        <v>328</v>
      </c>
      <c r="B54" s="134">
        <f>IF('FP Info 3'!B45="X","Yes",0)</f>
        <v>0</v>
      </c>
      <c r="G54" s="1898">
        <v>902540300</v>
      </c>
    </row>
    <row r="55" spans="1:7" ht="15" x14ac:dyDescent="0.25">
      <c r="A55" t="s">
        <v>329</v>
      </c>
      <c r="B55" s="134">
        <f>IF('FP Info 3'!B46="X","Yes",0)</f>
        <v>0</v>
      </c>
      <c r="G55" s="1898">
        <v>902540400</v>
      </c>
    </row>
    <row r="56" spans="1:7" ht="15" x14ac:dyDescent="0.25">
      <c r="A56" t="s">
        <v>330</v>
      </c>
      <c r="B56" s="134">
        <f>IF('FP Info 3'!B47="X","Yes",0)</f>
        <v>0</v>
      </c>
      <c r="G56" s="1898">
        <v>902540600</v>
      </c>
    </row>
    <row r="57" spans="1:7" ht="15" x14ac:dyDescent="0.25">
      <c r="A57" t="s">
        <v>331</v>
      </c>
      <c r="B57" s="134">
        <f>IF('FP Info 3'!B48="X","Yes",0)</f>
        <v>0</v>
      </c>
      <c r="G57" s="1898">
        <v>902540800</v>
      </c>
    </row>
    <row r="58" spans="1:7" ht="15" x14ac:dyDescent="0.25">
      <c r="A58" t="s">
        <v>332</v>
      </c>
      <c r="B58" s="134">
        <f>IF('FP Info 3'!B49="X","Yes",0)</f>
        <v>0</v>
      </c>
      <c r="G58" s="1898">
        <v>102550300</v>
      </c>
    </row>
    <row r="59" spans="1:7" ht="15" x14ac:dyDescent="0.25">
      <c r="A59" t="s">
        <v>333</v>
      </c>
      <c r="B59" s="134">
        <f>IF('FP Info 3'!B50="X","Yes",0)</f>
        <v>0</v>
      </c>
      <c r="G59" s="1898">
        <v>102550400</v>
      </c>
    </row>
    <row r="60" spans="1:7" ht="15" x14ac:dyDescent="0.25">
      <c r="A60" t="s">
        <v>334</v>
      </c>
      <c r="B60" s="134">
        <f>IF('FP Info 3'!B51="X","Yes",0)</f>
        <v>0</v>
      </c>
      <c r="G60" s="1898">
        <v>102550600</v>
      </c>
    </row>
    <row r="61" spans="1:7" ht="15" x14ac:dyDescent="0.25">
      <c r="A61" t="s">
        <v>335</v>
      </c>
      <c r="B61" s="134">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2240642</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8864923</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581660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713213</v>
      </c>
      <c r="C91" s="2" t="s">
        <v>569</v>
      </c>
      <c r="D91" s="2" t="str">
        <f t="shared" si="0"/>
        <v>Error?</v>
      </c>
      <c r="G91" s="1898">
        <v>102640400</v>
      </c>
    </row>
    <row r="92" spans="1:7" ht="15" x14ac:dyDescent="0.25">
      <c r="A92" s="5">
        <v>31</v>
      </c>
      <c r="B92" s="1831">
        <f>'Assets-Liab 5-6'!C39</f>
        <v>8151710</v>
      </c>
      <c r="D92" s="2" t="str">
        <f t="shared" si="0"/>
        <v>Error?</v>
      </c>
      <c r="G92" s="1898">
        <v>102640600</v>
      </c>
    </row>
    <row r="93" spans="1:7" ht="15" x14ac:dyDescent="0.25">
      <c r="A93" s="5">
        <v>32</v>
      </c>
      <c r="B93" s="1831">
        <f>'Assets-Liab 5-6'!C41</f>
        <v>8864923</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259694</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440314</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68637</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124659</v>
      </c>
      <c r="C122" s="2" t="s">
        <v>569</v>
      </c>
      <c r="D122" s="2" t="str">
        <f t="shared" si="0"/>
        <v>Error?</v>
      </c>
      <c r="G122" s="1898">
        <v>203000300</v>
      </c>
    </row>
    <row r="123" spans="1:7" ht="15" x14ac:dyDescent="0.25">
      <c r="A123" s="5">
        <v>62</v>
      </c>
      <c r="B123" s="1831">
        <f>'Assets-Liab 5-6'!D39</f>
        <v>315655</v>
      </c>
      <c r="D123" s="2" t="str">
        <f t="shared" si="0"/>
        <v>Error?</v>
      </c>
      <c r="G123" s="1898">
        <v>203000400</v>
      </c>
    </row>
    <row r="124" spans="1:7" ht="15" x14ac:dyDescent="0.25">
      <c r="A124" s="5">
        <v>63</v>
      </c>
      <c r="B124" s="1831">
        <f>'Assets-Liab 5-6'!D41</f>
        <v>440314</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209204</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463817</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55246</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55246</v>
      </c>
      <c r="C139" s="2" t="s">
        <v>569</v>
      </c>
      <c r="D139" s="2" t="str">
        <f t="shared" si="1"/>
        <v>Error?</v>
      </c>
    </row>
    <row r="140" spans="1:7" x14ac:dyDescent="0.2">
      <c r="A140" s="5">
        <v>79</v>
      </c>
      <c r="B140" s="1831">
        <f>'Assets-Liab 5-6'!E39</f>
        <v>408571</v>
      </c>
      <c r="D140" s="2" t="str">
        <f t="shared" si="1"/>
        <v>Error?</v>
      </c>
    </row>
    <row r="141" spans="1:7" x14ac:dyDescent="0.2">
      <c r="A141" s="5">
        <v>80</v>
      </c>
      <c r="B141" s="1831">
        <f>'Assets-Liab 5-6'!E41</f>
        <v>463817</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56065</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325576</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14444</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27437</v>
      </c>
      <c r="C169" s="2" t="s">
        <v>569</v>
      </c>
      <c r="D169" s="2" t="str">
        <f t="shared" si="1"/>
        <v>Error?</v>
      </c>
    </row>
    <row r="170" spans="1:4" x14ac:dyDescent="0.2">
      <c r="A170" s="5">
        <v>109</v>
      </c>
      <c r="B170" s="1831">
        <f>'Assets-Liab 5-6'!F39</f>
        <v>298139</v>
      </c>
      <c r="D170" s="2" t="str">
        <f t="shared" si="1"/>
        <v>Error?</v>
      </c>
    </row>
    <row r="171" spans="1:4" x14ac:dyDescent="0.2">
      <c r="A171" s="5">
        <v>110</v>
      </c>
      <c r="B171" s="1831">
        <f>'Assets-Liab 5-6'!F41</f>
        <v>325576</v>
      </c>
      <c r="C171" s="2" t="s">
        <v>569</v>
      </c>
      <c r="D171" s="2" t="str">
        <f t="shared" si="1"/>
        <v>Error?</v>
      </c>
    </row>
    <row r="172" spans="1:4" x14ac:dyDescent="0.2">
      <c r="A172" s="10">
        <v>111</v>
      </c>
      <c r="B172" s="1831"/>
      <c r="D172" s="2" t="str">
        <f t="shared" si="1"/>
        <v>OK</v>
      </c>
    </row>
    <row r="173" spans="1:4" x14ac:dyDescent="0.2">
      <c r="A173" s="5">
        <v>112</v>
      </c>
      <c r="B173" s="1831">
        <f>'Assets-Liab 5-6'!G6</f>
        <v>47966</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1049516</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12608</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12260</v>
      </c>
      <c r="C188" s="2" t="s">
        <v>569</v>
      </c>
      <c r="D188" s="2" t="str">
        <f t="shared" si="1"/>
        <v>Error?</v>
      </c>
    </row>
    <row r="189" spans="1:4" x14ac:dyDescent="0.2">
      <c r="A189" s="5">
        <v>128</v>
      </c>
      <c r="B189" s="1831">
        <f>'Assets-Liab 5-6'!G39</f>
        <v>1037256</v>
      </c>
      <c r="D189" s="2" t="str">
        <f t="shared" si="1"/>
        <v>Error?</v>
      </c>
    </row>
    <row r="190" spans="1:4" x14ac:dyDescent="0.2">
      <c r="A190" s="5">
        <v>129</v>
      </c>
      <c r="B190" s="1831">
        <f>'Assets-Liab 5-6'!G41</f>
        <v>1049516</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137204</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137204</v>
      </c>
      <c r="D212" s="2" t="str">
        <f t="shared" si="2"/>
        <v>Error?</v>
      </c>
    </row>
    <row r="213" spans="1:4" x14ac:dyDescent="0.2">
      <c r="A213" s="12">
        <v>152</v>
      </c>
      <c r="B213" s="1831">
        <f>'Assets-Liab 5-6'!H41</f>
        <v>137204</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314014</v>
      </c>
      <c r="D273" s="2" t="str">
        <f t="shared" si="3"/>
        <v>Error?</v>
      </c>
    </row>
    <row r="274" spans="1:4" x14ac:dyDescent="0.2">
      <c r="A274" s="5">
        <v>213</v>
      </c>
      <c r="B274" s="1831">
        <f>'Assets-Liab 5-6'!M17</f>
        <v>12728375</v>
      </c>
      <c r="D274" s="2" t="str">
        <f t="shared" si="3"/>
        <v>Error?</v>
      </c>
    </row>
    <row r="275" spans="1:4" x14ac:dyDescent="0.2">
      <c r="A275" s="5">
        <v>214</v>
      </c>
      <c r="B275" s="1831">
        <f>'Assets-Liab 5-6'!M18</f>
        <v>418363</v>
      </c>
      <c r="D275" s="2" t="str">
        <f t="shared" si="3"/>
        <v>Error?</v>
      </c>
    </row>
    <row r="276" spans="1:4" x14ac:dyDescent="0.2">
      <c r="A276" s="5">
        <v>215</v>
      </c>
      <c r="B276" s="1831">
        <f>'Assets-Liab 5-6'!M19</f>
        <v>2129936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15590688</v>
      </c>
      <c r="C279" s="2" t="s">
        <v>569</v>
      </c>
      <c r="D279" s="2" t="str">
        <f t="shared" si="3"/>
        <v>Error?</v>
      </c>
    </row>
    <row r="280" spans="1:4" x14ac:dyDescent="0.2">
      <c r="A280" s="5">
        <v>219</v>
      </c>
      <c r="B280" s="1831">
        <f>'Assets-Liab 5-6'!M40</f>
        <v>15590688</v>
      </c>
      <c r="D280" s="2" t="str">
        <f t="shared" si="3"/>
        <v>Error?</v>
      </c>
    </row>
    <row r="281" spans="1:4" x14ac:dyDescent="0.2">
      <c r="A281" s="5">
        <v>220</v>
      </c>
      <c r="B281" s="1831">
        <f>'Assets-Liab 5-6'!M41</f>
        <v>15590688</v>
      </c>
      <c r="C281" s="2" t="s">
        <v>569</v>
      </c>
      <c r="D281" s="2" t="str">
        <f t="shared" si="3"/>
        <v>Error?</v>
      </c>
    </row>
    <row r="282" spans="1:4" x14ac:dyDescent="0.2">
      <c r="A282" s="5">
        <v>221</v>
      </c>
      <c r="B282" s="1831">
        <f>'Assets-Liab 5-6'!N21</f>
        <v>408571</v>
      </c>
      <c r="D282" s="2" t="str">
        <f t="shared" si="3"/>
        <v>Error?</v>
      </c>
    </row>
    <row r="283" spans="1:4" x14ac:dyDescent="0.2">
      <c r="A283" s="5">
        <v>222</v>
      </c>
      <c r="B283" s="1831">
        <f>'Assets-Liab 5-6'!N22</f>
        <v>816223</v>
      </c>
      <c r="D283" s="2" t="str">
        <f t="shared" si="3"/>
        <v>Error?</v>
      </c>
    </row>
    <row r="284" spans="1:4" x14ac:dyDescent="0.2">
      <c r="A284" s="5">
        <v>223</v>
      </c>
      <c r="B284" s="1831">
        <f>'Assets-Liab 5-6'!N23</f>
        <v>1224794</v>
      </c>
      <c r="C284" s="2" t="s">
        <v>569</v>
      </c>
      <c r="D284" s="2" t="str">
        <f t="shared" si="3"/>
        <v>Error?</v>
      </c>
    </row>
    <row r="285" spans="1:4" x14ac:dyDescent="0.2">
      <c r="A285" s="5">
        <v>224</v>
      </c>
      <c r="B285" s="1831">
        <f>'Assets-Liab 5-6'!N36</f>
        <v>1224794</v>
      </c>
      <c r="D285" s="2" t="str">
        <f t="shared" si="3"/>
        <v>Error?</v>
      </c>
    </row>
    <row r="286" spans="1:4" x14ac:dyDescent="0.2">
      <c r="A286" s="10">
        <v>225</v>
      </c>
      <c r="B286" s="1831"/>
      <c r="D286" s="2" t="str">
        <f t="shared" si="3"/>
        <v>OK</v>
      </c>
    </row>
    <row r="287" spans="1:4" x14ac:dyDescent="0.2">
      <c r="A287" s="5">
        <v>226</v>
      </c>
      <c r="B287" s="1831">
        <f>'Assets-Liab 5-6'!N37</f>
        <v>1224794</v>
      </c>
      <c r="C287" s="2" t="s">
        <v>569</v>
      </c>
      <c r="D287" s="2" t="str">
        <f t="shared" si="3"/>
        <v>Error?</v>
      </c>
    </row>
    <row r="288" spans="1:4" x14ac:dyDescent="0.2">
      <c r="A288" s="5">
        <v>227</v>
      </c>
      <c r="B288" s="1831">
        <f>'Assets-Liab 5-6'!N41</f>
        <v>1224794</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1900894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65920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36932</v>
      </c>
      <c r="D718" s="2" t="str">
        <f t="shared" si="10"/>
        <v>Error?</v>
      </c>
    </row>
    <row r="719" spans="1:4" x14ac:dyDescent="0.2">
      <c r="A719" s="5">
        <v>658</v>
      </c>
      <c r="B719" s="1831">
        <f>'Expenditures 15-22'!C15</f>
        <v>40855</v>
      </c>
      <c r="D719" s="2" t="str">
        <f t="shared" si="10"/>
        <v>Error?</v>
      </c>
    </row>
    <row r="720" spans="1:4" x14ac:dyDescent="0.2">
      <c r="A720" s="5">
        <v>659</v>
      </c>
      <c r="B720" s="1831">
        <f>'Expenditures 15-22'!C33</f>
        <v>2611401</v>
      </c>
      <c r="C720" s="2" t="s">
        <v>569</v>
      </c>
      <c r="D720" s="2" t="str">
        <f t="shared" si="10"/>
        <v>Error?</v>
      </c>
    </row>
    <row r="721" spans="1:4" x14ac:dyDescent="0.2">
      <c r="A721" s="5">
        <v>660</v>
      </c>
      <c r="B721" s="1831">
        <f>'Expenditures 15-22'!C36</f>
        <v>55171</v>
      </c>
      <c r="D721" s="2" t="str">
        <f t="shared" si="10"/>
        <v>Error?</v>
      </c>
    </row>
    <row r="722" spans="1:4" x14ac:dyDescent="0.2">
      <c r="A722" s="5">
        <v>661</v>
      </c>
      <c r="B722" s="1831">
        <f>'Expenditures 15-22'!C37</f>
        <v>35000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61397</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151568</v>
      </c>
      <c r="C727" s="2" t="s">
        <v>569</v>
      </c>
      <c r="D727" s="2" t="str">
        <f t="shared" si="10"/>
        <v>Error?</v>
      </c>
    </row>
    <row r="728" spans="1:4" x14ac:dyDescent="0.2">
      <c r="A728" s="5">
        <v>667</v>
      </c>
      <c r="B728" s="1831">
        <f>'Expenditures 15-22'!C44</f>
        <v>121009</v>
      </c>
      <c r="D728" s="2" t="str">
        <f t="shared" si="10"/>
        <v>Error?</v>
      </c>
    </row>
    <row r="729" spans="1:4" x14ac:dyDescent="0.2">
      <c r="A729" s="5">
        <v>668</v>
      </c>
      <c r="B729" s="1831">
        <f>'Expenditures 15-22'!C45</f>
        <v>58331</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179340</v>
      </c>
      <c r="C731" s="2" t="s">
        <v>569</v>
      </c>
      <c r="D731" s="2" t="str">
        <f t="shared" si="10"/>
        <v>Error?</v>
      </c>
    </row>
    <row r="732" spans="1:4" x14ac:dyDescent="0.2">
      <c r="A732" s="5">
        <v>671</v>
      </c>
      <c r="B732" s="1831">
        <f>'Expenditures 15-22'!C49</f>
        <v>2196</v>
      </c>
      <c r="D732" s="2" t="str">
        <f t="shared" si="10"/>
        <v>Error?</v>
      </c>
    </row>
    <row r="733" spans="1:4" x14ac:dyDescent="0.2">
      <c r="A733" s="5">
        <v>672</v>
      </c>
      <c r="B733" s="1831">
        <f>'Expenditures 15-22'!C50</f>
        <v>179121</v>
      </c>
      <c r="D733" s="2" t="str">
        <f t="shared" si="10"/>
        <v>Error?</v>
      </c>
    </row>
    <row r="734" spans="1:4" x14ac:dyDescent="0.2">
      <c r="A734" s="5">
        <v>673</v>
      </c>
      <c r="B734" s="1831">
        <f>'Expenditures 15-22'!C53</f>
        <v>181317</v>
      </c>
      <c r="C734" s="2" t="s">
        <v>569</v>
      </c>
      <c r="D734" s="2" t="str">
        <f t="shared" si="10"/>
        <v>Error?</v>
      </c>
    </row>
    <row r="735" spans="1:4" x14ac:dyDescent="0.2">
      <c r="A735" s="5">
        <v>674</v>
      </c>
      <c r="B735" s="1831">
        <f>'Expenditures 15-22'!C55</f>
        <v>301945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301945</v>
      </c>
      <c r="C737" s="2" t="s">
        <v>569</v>
      </c>
      <c r="D737" s="2" t="str">
        <f t="shared" si="10"/>
        <v>Error?</v>
      </c>
    </row>
    <row r="738" spans="1:4" x14ac:dyDescent="0.2">
      <c r="A738" s="5">
        <v>677</v>
      </c>
      <c r="B738" s="1831">
        <f>'Expenditures 15-22'!C59</f>
        <v>101923</v>
      </c>
      <c r="D738" s="2" t="str">
        <f t="shared" si="10"/>
        <v>Error?</v>
      </c>
    </row>
    <row r="739" spans="1:4" x14ac:dyDescent="0.2">
      <c r="A739" s="5">
        <v>678</v>
      </c>
      <c r="B739" s="1831">
        <f>'Expenditures 15-22'!C60</f>
        <v>9187</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94789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205899</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10660</v>
      </c>
      <c r="D749" s="2" t="str">
        <f t="shared" si="10"/>
        <v>Error?</v>
      </c>
    </row>
    <row r="750" spans="1:4" x14ac:dyDescent="0.2">
      <c r="A750" s="10">
        <v>689</v>
      </c>
      <c r="B750" s="1831"/>
      <c r="D750" s="2" t="str">
        <f t="shared" si="10"/>
        <v>OK</v>
      </c>
    </row>
    <row r="751" spans="1:4" x14ac:dyDescent="0.2">
      <c r="A751" s="5">
        <v>690</v>
      </c>
      <c r="B751" s="1831">
        <f>'Expenditures 15-22'!C71</f>
        <v>98797</v>
      </c>
      <c r="D751" s="2" t="str">
        <f t="shared" si="10"/>
        <v>Error?</v>
      </c>
    </row>
    <row r="752" spans="1:4" x14ac:dyDescent="0.2">
      <c r="A752" s="10">
        <v>691</v>
      </c>
      <c r="B752" s="1831"/>
      <c r="D752" s="2" t="str">
        <f t="shared" si="10"/>
        <v>OK</v>
      </c>
    </row>
    <row r="753" spans="1:4" x14ac:dyDescent="0.2">
      <c r="A753" s="5">
        <v>692</v>
      </c>
      <c r="B753" s="1831">
        <f>'Expenditures 15-22'!C72</f>
        <v>109457</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1129526</v>
      </c>
      <c r="C755" s="2" t="s">
        <v>569</v>
      </c>
      <c r="D755" s="2" t="str">
        <f t="shared" si="10"/>
        <v>Error?</v>
      </c>
    </row>
    <row r="756" spans="1:4" x14ac:dyDescent="0.2">
      <c r="A756" s="5">
        <v>695</v>
      </c>
      <c r="B756" s="1831">
        <f>'Expenditures 15-22'!C75</f>
        <v>13991</v>
      </c>
      <c r="D756" s="2" t="str">
        <f t="shared" si="10"/>
        <v>Error?</v>
      </c>
    </row>
    <row r="757" spans="1:4" x14ac:dyDescent="0.2">
      <c r="A757" s="5">
        <v>696</v>
      </c>
      <c r="B757" s="1831">
        <f>'Expenditures 15-22'!C114</f>
        <v>3754918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285348</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13622</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477</v>
      </c>
      <c r="D776" s="2" t="str">
        <f t="shared" si="11"/>
        <v>Error?</v>
      </c>
    </row>
    <row r="777" spans="1:4" x14ac:dyDescent="0.2">
      <c r="A777" s="5">
        <v>716</v>
      </c>
      <c r="B777" s="1831">
        <f>'Expenditures 15-22'!D15</f>
        <v>469</v>
      </c>
      <c r="D777" s="2" t="str">
        <f t="shared" si="11"/>
        <v>Error?</v>
      </c>
    </row>
    <row r="778" spans="1:4" x14ac:dyDescent="0.2">
      <c r="A778" s="5">
        <v>717</v>
      </c>
      <c r="B778" s="1831">
        <f>'Expenditures 15-22'!D33</f>
        <v>430781</v>
      </c>
      <c r="C778" s="2" t="s">
        <v>569</v>
      </c>
      <c r="D778" s="2" t="str">
        <f t="shared" si="11"/>
        <v>Error?</v>
      </c>
    </row>
    <row r="779" spans="1:4" x14ac:dyDescent="0.2">
      <c r="A779" s="5">
        <v>718</v>
      </c>
      <c r="B779" s="1831">
        <f>'Expenditures 15-22'!D36</f>
        <v>7903</v>
      </c>
      <c r="D779" s="2" t="str">
        <f t="shared" si="11"/>
        <v>Error?</v>
      </c>
    </row>
    <row r="780" spans="1:4" x14ac:dyDescent="0.2">
      <c r="A780" s="5">
        <v>719</v>
      </c>
      <c r="B780" s="1831">
        <f>'Expenditures 15-22'!D37</f>
        <v>60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11154</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19117</v>
      </c>
      <c r="C785" s="2" t="s">
        <v>569</v>
      </c>
      <c r="D785" s="2" t="str">
        <f t="shared" si="11"/>
        <v>Error?</v>
      </c>
    </row>
    <row r="786" spans="1:4" x14ac:dyDescent="0.2">
      <c r="A786" s="5">
        <v>725</v>
      </c>
      <c r="B786" s="1831">
        <f>'Expenditures 15-22'!D44</f>
        <v>33140</v>
      </c>
      <c r="D786" s="2" t="str">
        <f t="shared" si="11"/>
        <v>Error?</v>
      </c>
    </row>
    <row r="787" spans="1:4" x14ac:dyDescent="0.2">
      <c r="A787" s="5">
        <v>726</v>
      </c>
      <c r="B787" s="1831">
        <f>'Expenditures 15-22'!D45</f>
        <v>9303</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42443</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45381</v>
      </c>
      <c r="D791" s="2" t="str">
        <f t="shared" si="11"/>
        <v>Error?</v>
      </c>
    </row>
    <row r="792" spans="1:4" x14ac:dyDescent="0.2">
      <c r="A792" s="5">
        <v>731</v>
      </c>
      <c r="B792" s="1831">
        <f>'Expenditures 15-22'!D53</f>
        <v>45381</v>
      </c>
      <c r="C792" s="2" t="s">
        <v>569</v>
      </c>
      <c r="D792" s="2" t="str">
        <f t="shared" si="11"/>
        <v>Error?</v>
      </c>
    </row>
    <row r="793" spans="1:4" x14ac:dyDescent="0.2">
      <c r="A793" s="5">
        <v>732</v>
      </c>
      <c r="B793" s="1831">
        <f>'Expenditures 15-22'!D55</f>
        <v>75812</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75812</v>
      </c>
      <c r="C795" s="2" t="s">
        <v>569</v>
      </c>
      <c r="D795" s="2" t="str">
        <f t="shared" si="11"/>
        <v>Error?</v>
      </c>
    </row>
    <row r="796" spans="1:4" x14ac:dyDescent="0.2">
      <c r="A796" s="5">
        <v>735</v>
      </c>
      <c r="B796" s="1831">
        <f>'Expenditures 15-22'!D59</f>
        <v>23889</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10774</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34663</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20080</v>
      </c>
      <c r="D809" s="2" t="str">
        <f t="shared" si="11"/>
        <v>Error?</v>
      </c>
    </row>
    <row r="810" spans="1:4" x14ac:dyDescent="0.2">
      <c r="A810" s="10">
        <v>749</v>
      </c>
      <c r="B810" s="1831"/>
      <c r="D810" s="2" t="str">
        <f t="shared" si="11"/>
        <v>OK</v>
      </c>
    </row>
    <row r="811" spans="1:4" x14ac:dyDescent="0.2">
      <c r="A811" s="5">
        <v>750</v>
      </c>
      <c r="B811" s="1831">
        <f>'Expenditures 15-22'!D72</f>
        <v>20080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237496</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668277</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93192</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4879</v>
      </c>
      <c r="D834" s="2" t="str">
        <f t="shared" si="12"/>
        <v>Error?</v>
      </c>
    </row>
    <row r="835" spans="1:4" x14ac:dyDescent="0.2">
      <c r="A835" s="5">
        <v>774</v>
      </c>
      <c r="B835" s="1831">
        <f>'Expenditures 15-22'!E15</f>
        <v>8007</v>
      </c>
      <c r="D835" s="2" t="str">
        <f t="shared" si="12"/>
        <v>Error?</v>
      </c>
    </row>
    <row r="836" spans="1:4" x14ac:dyDescent="0.2">
      <c r="A836" s="5">
        <v>775</v>
      </c>
      <c r="B836" s="1831">
        <f>'Expenditures 15-22'!E33</f>
        <v>108470</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41700</v>
      </c>
      <c r="D838" s="2" t="str">
        <f t="shared" si="12"/>
        <v>Error?</v>
      </c>
    </row>
    <row r="839" spans="1:4" x14ac:dyDescent="0.2">
      <c r="A839" s="5">
        <v>778</v>
      </c>
      <c r="B839" s="1831">
        <f>'Expenditures 15-22'!E38</f>
        <v>81846</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6192</v>
      </c>
      <c r="D842" s="2" t="str">
        <f t="shared" si="12"/>
        <v>Error?</v>
      </c>
    </row>
    <row r="843" spans="1:4" x14ac:dyDescent="0.2">
      <c r="A843" s="5">
        <v>782</v>
      </c>
      <c r="B843" s="1831">
        <f>'Expenditures 15-22'!E42</f>
        <v>129738</v>
      </c>
      <c r="C843" s="2" t="s">
        <v>569</v>
      </c>
      <c r="D843" s="2" t="str">
        <f t="shared" si="12"/>
        <v>Error?</v>
      </c>
    </row>
    <row r="844" spans="1:4" x14ac:dyDescent="0.2">
      <c r="A844" s="5">
        <v>783</v>
      </c>
      <c r="B844" s="1831">
        <f>'Expenditures 15-22'!E44</f>
        <v>149706</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149706</v>
      </c>
      <c r="C847" s="2" t="s">
        <v>569</v>
      </c>
      <c r="D847" s="2" t="str">
        <f t="shared" si="12"/>
        <v>Error?</v>
      </c>
    </row>
    <row r="848" spans="1:4" x14ac:dyDescent="0.2">
      <c r="A848" s="5">
        <v>787</v>
      </c>
      <c r="B848" s="1831">
        <f>'Expenditures 15-22'!E49</f>
        <v>92478</v>
      </c>
      <c r="D848" s="2" t="str">
        <f t="shared" si="12"/>
        <v>Error?</v>
      </c>
    </row>
    <row r="849" spans="1:4" x14ac:dyDescent="0.2">
      <c r="A849" s="5">
        <v>788</v>
      </c>
      <c r="B849" s="1831">
        <f>'Expenditures 15-22'!E50</f>
        <v>3244</v>
      </c>
      <c r="D849" s="2" t="str">
        <f t="shared" si="12"/>
        <v>Error?</v>
      </c>
    </row>
    <row r="850" spans="1:4" x14ac:dyDescent="0.2">
      <c r="A850" s="5">
        <v>789</v>
      </c>
      <c r="B850" s="1831">
        <f>'Expenditures 15-22'!E53</f>
        <v>95851</v>
      </c>
      <c r="C850" s="2" t="s">
        <v>569</v>
      </c>
      <c r="D850" s="2" t="str">
        <f t="shared" si="12"/>
        <v>Error?</v>
      </c>
    </row>
    <row r="851" spans="1:4" x14ac:dyDescent="0.2">
      <c r="A851" s="5">
        <v>790</v>
      </c>
      <c r="B851" s="1831">
        <f>'Expenditures 15-22'!E55</f>
        <v>1837</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1837</v>
      </c>
      <c r="C853" s="2" t="s">
        <v>569</v>
      </c>
      <c r="D853" s="2" t="str">
        <f t="shared" si="12"/>
        <v>Error?</v>
      </c>
    </row>
    <row r="854" spans="1:4" x14ac:dyDescent="0.2">
      <c r="A854" s="5">
        <v>793</v>
      </c>
      <c r="B854" s="1831">
        <f>'Expenditures 15-22'!E59</f>
        <v>852</v>
      </c>
      <c r="D854" s="2" t="str">
        <f t="shared" si="12"/>
        <v>Error?</v>
      </c>
    </row>
    <row r="855" spans="1:4" x14ac:dyDescent="0.2">
      <c r="A855" s="5">
        <v>794</v>
      </c>
      <c r="B855" s="1831">
        <f>'Expenditures 15-22'!E60</f>
        <v>12998</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156401</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170251</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5821</v>
      </c>
      <c r="D864" s="2" t="str">
        <f t="shared" si="12"/>
        <v>Error?</v>
      </c>
    </row>
    <row r="865" spans="1:4" x14ac:dyDescent="0.2">
      <c r="A865" s="5">
        <v>804</v>
      </c>
      <c r="B865" s="1831">
        <f>'Expenditures 15-22'!E70</f>
        <v>450</v>
      </c>
      <c r="D865" s="2" t="str">
        <f t="shared" si="12"/>
        <v>Error?</v>
      </c>
    </row>
    <row r="866" spans="1:4" x14ac:dyDescent="0.2">
      <c r="A866" s="10">
        <v>805</v>
      </c>
      <c r="B866" s="1831"/>
      <c r="D866" s="2" t="str">
        <f t="shared" si="12"/>
        <v>OK</v>
      </c>
    </row>
    <row r="867" spans="1:4" x14ac:dyDescent="0.2">
      <c r="A867" s="5">
        <v>806</v>
      </c>
      <c r="B867" s="1831">
        <f>'Expenditures 15-22'!E71</f>
        <v>35158</v>
      </c>
      <c r="D867" s="2" t="str">
        <f t="shared" si="12"/>
        <v>Error?</v>
      </c>
    </row>
    <row r="868" spans="1:4" x14ac:dyDescent="0.2">
      <c r="A868" s="10">
        <v>807</v>
      </c>
      <c r="B868" s="1831"/>
      <c r="D868" s="2" t="str">
        <f t="shared" si="12"/>
        <v>OK</v>
      </c>
    </row>
    <row r="869" spans="1:4" x14ac:dyDescent="0.2">
      <c r="A869" s="5">
        <v>808</v>
      </c>
      <c r="B869" s="1831">
        <f>'Expenditures 15-22'!E72</f>
        <v>41429</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588812</v>
      </c>
      <c r="C871" s="2" t="s">
        <v>569</v>
      </c>
      <c r="D871" s="2" t="str">
        <f t="shared" si="12"/>
        <v>Error?</v>
      </c>
    </row>
    <row r="872" spans="1:4" x14ac:dyDescent="0.2">
      <c r="A872" s="5">
        <v>811</v>
      </c>
      <c r="B872" s="1831">
        <f>'Expenditures 15-22'!E75</f>
        <v>6151</v>
      </c>
      <c r="D872" s="2" t="str">
        <f t="shared" si="12"/>
        <v>Error?</v>
      </c>
    </row>
    <row r="873" spans="1:4" x14ac:dyDescent="0.2">
      <c r="A873" s="5">
        <v>812</v>
      </c>
      <c r="B873" s="1831">
        <f>'Expenditures 15-22'!E114</f>
        <v>848085</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49005</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6904</v>
      </c>
      <c r="D892" s="2" t="str">
        <f t="shared" si="12"/>
        <v>Error?</v>
      </c>
    </row>
    <row r="893" spans="1:4" x14ac:dyDescent="0.2">
      <c r="A893" s="5">
        <v>832</v>
      </c>
      <c r="B893" s="1831">
        <f>'Expenditures 15-22'!F15</f>
        <v>28</v>
      </c>
      <c r="D893" s="2" t="str">
        <f t="shared" si="12"/>
        <v>Error?</v>
      </c>
    </row>
    <row r="894" spans="1:4" x14ac:dyDescent="0.2">
      <c r="A894" s="5">
        <v>833</v>
      </c>
      <c r="B894" s="1831">
        <f>'Expenditures 15-22'!F33</f>
        <v>69931</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532</v>
      </c>
      <c r="D896" s="2" t="str">
        <f t="shared" si="13"/>
        <v>Error?</v>
      </c>
    </row>
    <row r="897" spans="1:4" x14ac:dyDescent="0.2">
      <c r="A897" s="5">
        <v>836</v>
      </c>
      <c r="B897" s="1831">
        <f>'Expenditures 15-22'!F38</f>
        <v>66</v>
      </c>
      <c r="D897" s="2" t="str">
        <f t="shared" si="13"/>
        <v>Error?</v>
      </c>
    </row>
    <row r="898" spans="1:4" x14ac:dyDescent="0.2">
      <c r="A898" s="5">
        <v>837</v>
      </c>
      <c r="B898" s="1831">
        <f>'Expenditures 15-22'!F39</f>
        <v>155</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3953</v>
      </c>
      <c r="D900" s="2" t="str">
        <f t="shared" si="13"/>
        <v>Error?</v>
      </c>
    </row>
    <row r="901" spans="1:4" x14ac:dyDescent="0.2">
      <c r="A901" s="5">
        <v>840</v>
      </c>
      <c r="B901" s="1831">
        <f>'Expenditures 15-22'!F42</f>
        <v>4706</v>
      </c>
      <c r="C901" s="2" t="s">
        <v>569</v>
      </c>
      <c r="D901" s="2" t="str">
        <f t="shared" si="13"/>
        <v>Error?</v>
      </c>
    </row>
    <row r="902" spans="1:4" x14ac:dyDescent="0.2">
      <c r="A902" s="5">
        <v>841</v>
      </c>
      <c r="B902" s="1831">
        <f>'Expenditures 15-22'!F44</f>
        <v>8012</v>
      </c>
      <c r="D902" s="2" t="str">
        <f t="shared" si="13"/>
        <v>Error?</v>
      </c>
    </row>
    <row r="903" spans="1:4" x14ac:dyDescent="0.2">
      <c r="A903" s="5">
        <v>842</v>
      </c>
      <c r="B903" s="1831">
        <f>'Expenditures 15-22'!F45</f>
        <v>23030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31042</v>
      </c>
      <c r="C905" s="2" t="s">
        <v>569</v>
      </c>
      <c r="D905" s="2" t="str">
        <f t="shared" si="13"/>
        <v>Error?</v>
      </c>
    </row>
    <row r="906" spans="1:4" x14ac:dyDescent="0.2">
      <c r="A906" s="5">
        <v>845</v>
      </c>
      <c r="B906" s="1831">
        <f>'Expenditures 15-22'!F49</f>
        <v>12250</v>
      </c>
      <c r="D906" s="2" t="str">
        <f t="shared" si="13"/>
        <v>Error?</v>
      </c>
    </row>
    <row r="907" spans="1:4" x14ac:dyDescent="0.2">
      <c r="A907" s="5">
        <v>846</v>
      </c>
      <c r="B907" s="1831">
        <f>'Expenditures 15-22'!F50</f>
        <v>16615</v>
      </c>
      <c r="D907" s="2" t="str">
        <f t="shared" si="13"/>
        <v>Error?</v>
      </c>
    </row>
    <row r="908" spans="1:4" x14ac:dyDescent="0.2">
      <c r="A908" s="5">
        <v>847</v>
      </c>
      <c r="B908" s="1831">
        <f>'Expenditures 15-22'!F53</f>
        <v>28865</v>
      </c>
      <c r="C908" s="2" t="s">
        <v>569</v>
      </c>
      <c r="D908" s="2" t="str">
        <f t="shared" si="13"/>
        <v>Error?</v>
      </c>
    </row>
    <row r="909" spans="1:4" x14ac:dyDescent="0.2">
      <c r="A909" s="5">
        <v>848</v>
      </c>
      <c r="B909" s="1831">
        <f>'Expenditures 15-22'!F55</f>
        <v>7088</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7088</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1586</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18674</v>
      </c>
      <c r="D916" s="2" t="str">
        <f t="shared" si="13"/>
        <v>Error?</v>
      </c>
    </row>
    <row r="917" spans="1:4" x14ac:dyDescent="0.2">
      <c r="A917" s="5">
        <v>856</v>
      </c>
      <c r="B917" s="1831">
        <f>'Expenditures 15-22'!F64</f>
        <v>9166</v>
      </c>
      <c r="D917" s="2" t="str">
        <f t="shared" si="13"/>
        <v>Error?</v>
      </c>
    </row>
    <row r="918" spans="1:4" x14ac:dyDescent="0.2">
      <c r="A918" s="10">
        <v>857</v>
      </c>
      <c r="B918" s="1831"/>
      <c r="D918" s="2" t="str">
        <f t="shared" si="13"/>
        <v>OK</v>
      </c>
    </row>
    <row r="919" spans="1:4" x14ac:dyDescent="0.2">
      <c r="A919" s="5">
        <v>858</v>
      </c>
      <c r="B919" s="1831">
        <f>'Expenditures 15-22'!F65</f>
        <v>29426</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12715</v>
      </c>
      <c r="D923" s="2" t="str">
        <f t="shared" si="13"/>
        <v>Error?</v>
      </c>
    </row>
    <row r="924" spans="1:4" x14ac:dyDescent="0.2">
      <c r="A924" s="10">
        <v>863</v>
      </c>
      <c r="B924" s="1831"/>
      <c r="D924" s="2" t="str">
        <f t="shared" si="13"/>
        <v>OK</v>
      </c>
    </row>
    <row r="925" spans="1:4" x14ac:dyDescent="0.2">
      <c r="A925" s="5">
        <v>864</v>
      </c>
      <c r="B925" s="1831">
        <f>'Expenditures 15-22'!F71</f>
        <v>86432</v>
      </c>
      <c r="D925" s="2" t="str">
        <f t="shared" si="13"/>
        <v>Error?</v>
      </c>
    </row>
    <row r="926" spans="1:4" x14ac:dyDescent="0.2">
      <c r="A926" s="10">
        <v>865</v>
      </c>
      <c r="B926" s="1831"/>
      <c r="D926" s="2" t="str">
        <f t="shared" si="13"/>
        <v>OK</v>
      </c>
    </row>
    <row r="927" spans="1:4" x14ac:dyDescent="0.2">
      <c r="A927" s="5">
        <v>866</v>
      </c>
      <c r="B927" s="1831">
        <f>'Expenditures 15-22'!F72</f>
        <v>99147</v>
      </c>
      <c r="C927" s="2" t="s">
        <v>569</v>
      </c>
      <c r="D927" s="2" t="str">
        <f t="shared" si="13"/>
        <v>Error?</v>
      </c>
    </row>
    <row r="928" spans="1:4" x14ac:dyDescent="0.2">
      <c r="A928" s="5">
        <v>867</v>
      </c>
      <c r="B928" s="1831">
        <f>'Expenditures 15-22'!F73</f>
        <v>144</v>
      </c>
      <c r="D928" s="2" t="str">
        <f t="shared" si="13"/>
        <v>Error?</v>
      </c>
    </row>
    <row r="929" spans="1:4" x14ac:dyDescent="0.2">
      <c r="A929" s="5">
        <v>868</v>
      </c>
      <c r="B929" s="1831">
        <f>'Expenditures 15-22'!F74</f>
        <v>200418</v>
      </c>
      <c r="C929" s="2" t="s">
        <v>569</v>
      </c>
      <c r="D929" s="2" t="str">
        <f t="shared" si="13"/>
        <v>Error?</v>
      </c>
    </row>
    <row r="930" spans="1:4" x14ac:dyDescent="0.2">
      <c r="A930" s="5">
        <v>869</v>
      </c>
      <c r="B930" s="1831">
        <f>'Expenditures 15-22'!F75</f>
        <v>2127</v>
      </c>
      <c r="D930" s="2" t="str">
        <f t="shared" si="13"/>
        <v>Error?</v>
      </c>
    </row>
    <row r="931" spans="1:4" x14ac:dyDescent="0.2">
      <c r="A931" s="5">
        <v>870</v>
      </c>
      <c r="B931" s="1831">
        <f>'Expenditures 15-22'!F114</f>
        <v>272476</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67307</v>
      </c>
      <c r="D983" s="2" t="str">
        <f t="shared" si="14"/>
        <v>Error?</v>
      </c>
    </row>
    <row r="984" spans="1:4" x14ac:dyDescent="0.2">
      <c r="A984" s="10">
        <v>923</v>
      </c>
      <c r="B984" s="1831"/>
      <c r="D984" s="2" t="str">
        <f t="shared" si="14"/>
        <v>OK</v>
      </c>
    </row>
    <row r="985" spans="1:4" x14ac:dyDescent="0.2">
      <c r="A985" s="5">
        <v>924</v>
      </c>
      <c r="B985" s="1831">
        <f>'Expenditures 15-22'!G72</f>
        <v>67307</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67307</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67307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385</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385</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17970</v>
      </c>
      <c r="D1022" s="2" t="str">
        <f t="shared" si="14"/>
        <v>Error?</v>
      </c>
    </row>
    <row r="1023" spans="1:4" x14ac:dyDescent="0.2">
      <c r="A1023" s="5">
        <v>962</v>
      </c>
      <c r="B1023" s="1831">
        <f>'Expenditures 15-22'!H50</f>
        <v>4601</v>
      </c>
      <c r="D1023" s="2" t="str">
        <f t="shared" ref="D1023:D1086" si="15">IF(ISBLANK(B1023),"OK",IF(A1023-B1023=0,"OK","Error?"))</f>
        <v>Error?</v>
      </c>
    </row>
    <row r="1024" spans="1:4" x14ac:dyDescent="0.2">
      <c r="A1024" s="5">
        <v>963</v>
      </c>
      <c r="B1024" s="1831">
        <f>'Expenditures 15-22'!H53</f>
        <v>22571</v>
      </c>
      <c r="C1024" s="2" t="s">
        <v>569</v>
      </c>
      <c r="D1024" s="2" t="str">
        <f t="shared" si="15"/>
        <v>Error?</v>
      </c>
    </row>
    <row r="1025" spans="1:4" x14ac:dyDescent="0.2">
      <c r="A1025" s="5">
        <v>964</v>
      </c>
      <c r="B1025" s="1831">
        <f>'Expenditures 15-22'!H55</f>
        <v>798</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798</v>
      </c>
      <c r="C1027" s="2" t="s">
        <v>569</v>
      </c>
      <c r="D1027" s="2" t="str">
        <f t="shared" si="15"/>
        <v>Error?</v>
      </c>
    </row>
    <row r="1028" spans="1:4" x14ac:dyDescent="0.2">
      <c r="A1028" s="5">
        <v>967</v>
      </c>
      <c r="B1028" s="1831">
        <f>'Expenditures 15-22'!H59</f>
        <v>1000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1000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1923</v>
      </c>
      <c r="D1044" s="2" t="str">
        <f t="shared" si="15"/>
        <v>Error?</v>
      </c>
    </row>
    <row r="1045" spans="1:5" x14ac:dyDescent="0.2">
      <c r="A1045" s="5">
        <v>984</v>
      </c>
      <c r="B1045" s="1831">
        <f>'Expenditures 15-22'!H74</f>
        <v>26292</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941731</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968408</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2328824</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79542</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49192</v>
      </c>
      <c r="C1106" s="2" t="s">
        <v>569</v>
      </c>
      <c r="D1106" s="2" t="str">
        <f t="shared" si="16"/>
        <v>Error?</v>
      </c>
    </row>
    <row r="1107" spans="1:4" x14ac:dyDescent="0.2">
      <c r="A1107" s="5">
        <v>1046</v>
      </c>
      <c r="B1107" s="1831">
        <f>'Expenditures 15-22'!K15</f>
        <v>49359</v>
      </c>
      <c r="C1107" s="2" t="s">
        <v>569</v>
      </c>
      <c r="D1107" s="2" t="str">
        <f t="shared" si="16"/>
        <v>Error?</v>
      </c>
    </row>
    <row r="1108" spans="1:4" x14ac:dyDescent="0.2">
      <c r="A1108" s="5">
        <v>1047</v>
      </c>
      <c r="B1108" s="1831">
        <f>'Expenditures 15-22'!K33</f>
        <v>3220968</v>
      </c>
      <c r="C1108" s="2" t="s">
        <v>569</v>
      </c>
      <c r="D1108" s="2" t="str">
        <f t="shared" si="16"/>
        <v>Error?</v>
      </c>
    </row>
    <row r="1109" spans="1:4" x14ac:dyDescent="0.2">
      <c r="A1109" s="5">
        <v>1048</v>
      </c>
      <c r="B1109" s="1831">
        <f>'Expenditures 15-22'!K36</f>
        <v>63074</v>
      </c>
      <c r="C1109" s="2" t="s">
        <v>569</v>
      </c>
      <c r="D1109" s="2" t="str">
        <f t="shared" si="16"/>
        <v>Error?</v>
      </c>
    </row>
    <row r="1110" spans="1:4" x14ac:dyDescent="0.2">
      <c r="A1110" s="5">
        <v>1049</v>
      </c>
      <c r="B1110" s="1831">
        <f>'Expenditures 15-22'!K37</f>
        <v>77292</v>
      </c>
      <c r="C1110" s="2" t="s">
        <v>569</v>
      </c>
      <c r="D1110" s="2" t="str">
        <f t="shared" si="16"/>
        <v>Error?</v>
      </c>
    </row>
    <row r="1111" spans="1:4" x14ac:dyDescent="0.2">
      <c r="A1111" s="5">
        <v>1050</v>
      </c>
      <c r="B1111" s="1831">
        <f>'Expenditures 15-22'!K38</f>
        <v>81912</v>
      </c>
      <c r="C1111" s="2" t="s">
        <v>569</v>
      </c>
      <c r="D1111" s="2" t="str">
        <f t="shared" si="16"/>
        <v>Error?</v>
      </c>
    </row>
    <row r="1112" spans="1:4" x14ac:dyDescent="0.2">
      <c r="A1112" s="5">
        <v>1051</v>
      </c>
      <c r="B1112" s="1831">
        <f>'Expenditures 15-22'!K39</f>
        <v>72706</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10145</v>
      </c>
      <c r="C1114" s="2" t="s">
        <v>569</v>
      </c>
      <c r="D1114" s="2" t="str">
        <f t="shared" si="16"/>
        <v>Error?</v>
      </c>
    </row>
    <row r="1115" spans="1:4" x14ac:dyDescent="0.2">
      <c r="A1115" s="5">
        <v>1054</v>
      </c>
      <c r="B1115" s="1831">
        <f>'Expenditures 15-22'!K42</f>
        <v>305129</v>
      </c>
      <c r="C1115" s="2" t="s">
        <v>569</v>
      </c>
      <c r="D1115" s="2" t="str">
        <f t="shared" si="16"/>
        <v>Error?</v>
      </c>
    </row>
    <row r="1116" spans="1:4" x14ac:dyDescent="0.2">
      <c r="A1116" s="5">
        <v>1055</v>
      </c>
      <c r="B1116" s="1831">
        <f>'Expenditures 15-22'!K44</f>
        <v>311867</v>
      </c>
      <c r="C1116" s="2" t="s">
        <v>569</v>
      </c>
      <c r="D1116" s="2" t="str">
        <f t="shared" si="16"/>
        <v>Error?</v>
      </c>
    </row>
    <row r="1117" spans="1:4" x14ac:dyDescent="0.2">
      <c r="A1117" s="5">
        <v>1056</v>
      </c>
      <c r="B1117" s="1831">
        <f>'Expenditures 15-22'!K45</f>
        <v>90664</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402531</v>
      </c>
      <c r="C1119" s="2" t="s">
        <v>569</v>
      </c>
      <c r="D1119" s="2" t="str">
        <f t="shared" si="16"/>
        <v>Error?</v>
      </c>
    </row>
    <row r="1120" spans="1:4" x14ac:dyDescent="0.2">
      <c r="A1120" s="5">
        <v>1059</v>
      </c>
      <c r="B1120" s="1831">
        <f>'Expenditures 15-22'!K49</f>
        <v>124894</v>
      </c>
      <c r="C1120" s="2" t="s">
        <v>569</v>
      </c>
      <c r="D1120" s="2" t="str">
        <f t="shared" si="16"/>
        <v>Error?</v>
      </c>
    </row>
    <row r="1121" spans="1:4" x14ac:dyDescent="0.2">
      <c r="A1121" s="5">
        <v>1060</v>
      </c>
      <c r="B1121" s="1831">
        <f>'Expenditures 15-22'!K50</f>
        <v>248962</v>
      </c>
      <c r="C1121" s="2" t="s">
        <v>569</v>
      </c>
      <c r="D1121" s="2" t="str">
        <f t="shared" si="16"/>
        <v>Error?</v>
      </c>
    </row>
    <row r="1122" spans="1:4" x14ac:dyDescent="0.2">
      <c r="A1122" s="5">
        <v>1061</v>
      </c>
      <c r="B1122" s="1831">
        <f>'Expenditures 15-22'!K53</f>
        <v>373985</v>
      </c>
      <c r="C1122" s="2" t="s">
        <v>569</v>
      </c>
      <c r="D1122" s="2" t="str">
        <f t="shared" si="16"/>
        <v>Error?</v>
      </c>
    </row>
    <row r="1123" spans="1:4" x14ac:dyDescent="0.2">
      <c r="A1123" s="5">
        <v>1062</v>
      </c>
      <c r="B1123" s="1831">
        <f>'Expenditures 15-22'!K55</f>
        <v>387480</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387480</v>
      </c>
      <c r="C1125" s="2" t="s">
        <v>569</v>
      </c>
      <c r="D1125" s="2" t="str">
        <f t="shared" si="16"/>
        <v>Error?</v>
      </c>
    </row>
    <row r="1126" spans="1:4" x14ac:dyDescent="0.2">
      <c r="A1126" s="5">
        <v>1065</v>
      </c>
      <c r="B1126" s="1831">
        <f>'Expenditures 15-22'!K59</f>
        <v>127664</v>
      </c>
      <c r="C1126" s="2" t="s">
        <v>569</v>
      </c>
      <c r="D1126" s="2" t="str">
        <f t="shared" si="16"/>
        <v>Error?</v>
      </c>
    </row>
    <row r="1127" spans="1:4" x14ac:dyDescent="0.2">
      <c r="A1127" s="5">
        <v>1066</v>
      </c>
      <c r="B1127" s="1831">
        <f>'Expenditures 15-22'!K60</f>
        <v>23771</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280638</v>
      </c>
      <c r="C1130" s="2" t="s">
        <v>569</v>
      </c>
      <c r="D1130" s="2" t="str">
        <f t="shared" si="16"/>
        <v>Error?</v>
      </c>
    </row>
    <row r="1131" spans="1:4" x14ac:dyDescent="0.2">
      <c r="A1131" s="5">
        <v>1070</v>
      </c>
      <c r="B1131" s="1831">
        <f>'Expenditures 15-22'!K64</f>
        <v>9166</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441239</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5821</v>
      </c>
      <c r="C1136" s="2" t="s">
        <v>569</v>
      </c>
      <c r="D1136" s="2" t="str">
        <f t="shared" si="16"/>
        <v>Error?</v>
      </c>
    </row>
    <row r="1137" spans="1:4" x14ac:dyDescent="0.2">
      <c r="A1137" s="5">
        <v>1076</v>
      </c>
      <c r="B1137" s="1831">
        <f>'Expenditures 15-22'!K70</f>
        <v>23825</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443837</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473483</v>
      </c>
      <c r="C1141" s="2" t="s">
        <v>569</v>
      </c>
      <c r="D1141" s="2" t="str">
        <f t="shared" si="16"/>
        <v>Error?</v>
      </c>
    </row>
    <row r="1142" spans="1:4" x14ac:dyDescent="0.2">
      <c r="A1142" s="5">
        <v>1081</v>
      </c>
      <c r="B1142" s="1831">
        <f>'Expenditures 15-22'!K73</f>
        <v>2067</v>
      </c>
      <c r="C1142" s="2" t="s">
        <v>569</v>
      </c>
      <c r="D1142" s="2" t="str">
        <f t="shared" si="16"/>
        <v>Error?</v>
      </c>
    </row>
    <row r="1143" spans="1:4" x14ac:dyDescent="0.2">
      <c r="A1143" s="5">
        <v>1082</v>
      </c>
      <c r="B1143" s="1831">
        <f>'Expenditures 15-22'!K74</f>
        <v>2385914</v>
      </c>
      <c r="C1143" s="2" t="s">
        <v>569</v>
      </c>
      <c r="D1143" s="2" t="str">
        <f t="shared" si="16"/>
        <v>Error?</v>
      </c>
    </row>
    <row r="1144" spans="1:4" x14ac:dyDescent="0.2">
      <c r="A1144" s="5">
        <v>1083</v>
      </c>
      <c r="B1144" s="1831">
        <f>'Expenditures 15-22'!K75</f>
        <v>22269</v>
      </c>
      <c r="C1144" s="2" t="s">
        <v>569</v>
      </c>
      <c r="D1144" s="2" t="str">
        <f t="shared" si="16"/>
        <v>Error?</v>
      </c>
    </row>
    <row r="1145" spans="1:4" x14ac:dyDescent="0.2">
      <c r="A1145" s="5">
        <v>1084</v>
      </c>
      <c r="B1145" s="1831">
        <f>'Expenditures 15-22'!K102</f>
        <v>1086383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6715534</v>
      </c>
      <c r="C1152" s="2" t="s">
        <v>569</v>
      </c>
      <c r="D1152" s="2" t="str">
        <f t="shared" si="17"/>
        <v>Error?</v>
      </c>
    </row>
    <row r="1153" spans="1:4" x14ac:dyDescent="0.2">
      <c r="A1153" s="5">
        <v>1092</v>
      </c>
      <c r="B1153" s="1831">
        <f>'Expenditures 15-22'!K115</f>
        <v>-68922</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204114</v>
      </c>
      <c r="D1221" s="2" t="str">
        <f t="shared" si="18"/>
        <v>Error?</v>
      </c>
    </row>
    <row r="1222" spans="1:4" x14ac:dyDescent="0.2">
      <c r="A1222" s="10">
        <v>1161</v>
      </c>
      <c r="B1222" s="1831"/>
      <c r="D1222" s="2" t="str">
        <f t="shared" si="18"/>
        <v>OK</v>
      </c>
    </row>
    <row r="1223" spans="1:4" x14ac:dyDescent="0.2">
      <c r="A1223" s="5">
        <v>1162</v>
      </c>
      <c r="B1223" s="1831">
        <f>'Expenditures 15-22'!C127</f>
        <v>204114</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204114</v>
      </c>
      <c r="C1225" s="2" t="s">
        <v>569</v>
      </c>
      <c r="D1225" s="2" t="str">
        <f t="shared" si="18"/>
        <v>Error?</v>
      </c>
    </row>
    <row r="1226" spans="1:4" x14ac:dyDescent="0.2">
      <c r="A1226" s="5">
        <v>1165</v>
      </c>
      <c r="B1226" s="1831">
        <f>'Expenditures 15-22'!C151</f>
        <v>204114</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52193</v>
      </c>
      <c r="D1229" s="2" t="str">
        <f t="shared" si="18"/>
        <v>Error?</v>
      </c>
    </row>
    <row r="1230" spans="1:4" x14ac:dyDescent="0.2">
      <c r="A1230" s="10">
        <v>1169</v>
      </c>
      <c r="B1230" s="1831"/>
      <c r="D1230" s="2" t="str">
        <f t="shared" si="18"/>
        <v>OK</v>
      </c>
    </row>
    <row r="1231" spans="1:4" x14ac:dyDescent="0.2">
      <c r="A1231" s="5">
        <v>1170</v>
      </c>
      <c r="B1231" s="1831">
        <f>'Expenditures 15-22'!D127</f>
        <v>52193</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52193</v>
      </c>
      <c r="C1233" s="2" t="s">
        <v>569</v>
      </c>
      <c r="D1233" s="2" t="str">
        <f t="shared" si="18"/>
        <v>Error?</v>
      </c>
    </row>
    <row r="1234" spans="1:4" x14ac:dyDescent="0.2">
      <c r="A1234" s="5">
        <v>1173</v>
      </c>
      <c r="B1234" s="1831">
        <f>'Expenditures 15-22'!D151</f>
        <v>52193</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126549</v>
      </c>
      <c r="D1237" s="2" t="str">
        <f t="shared" si="18"/>
        <v>Error?</v>
      </c>
    </row>
    <row r="1238" spans="1:4" x14ac:dyDescent="0.2">
      <c r="A1238" s="10">
        <v>1177</v>
      </c>
      <c r="B1238" s="1831"/>
      <c r="D1238" s="2" t="str">
        <f t="shared" si="18"/>
        <v>OK</v>
      </c>
    </row>
    <row r="1239" spans="1:4" x14ac:dyDescent="0.2">
      <c r="A1239" s="5">
        <v>1178</v>
      </c>
      <c r="B1239" s="1831">
        <f>'Expenditures 15-22'!E127</f>
        <v>126549</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126549</v>
      </c>
      <c r="C1241" s="2" t="s">
        <v>569</v>
      </c>
      <c r="D1241" s="2" t="str">
        <f t="shared" si="18"/>
        <v>Error?</v>
      </c>
    </row>
    <row r="1242" spans="1:4" x14ac:dyDescent="0.2">
      <c r="A1242" s="5">
        <v>1181</v>
      </c>
      <c r="B1242" s="1831">
        <f>'Expenditures 15-22'!E151</f>
        <v>180491</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144331</v>
      </c>
      <c r="D1245" s="2" t="str">
        <f t="shared" si="18"/>
        <v>Error?</v>
      </c>
    </row>
    <row r="1246" spans="1:4" x14ac:dyDescent="0.2">
      <c r="A1246" s="10">
        <v>1185</v>
      </c>
      <c r="B1246" s="1831"/>
      <c r="D1246" s="2" t="str">
        <f t="shared" si="18"/>
        <v>OK</v>
      </c>
    </row>
    <row r="1247" spans="1:4" x14ac:dyDescent="0.2">
      <c r="A1247" s="5">
        <v>1186</v>
      </c>
      <c r="B1247" s="1831">
        <f>'Expenditures 15-22'!F127</f>
        <v>144331</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144331</v>
      </c>
      <c r="C1249" s="2" t="s">
        <v>569</v>
      </c>
      <c r="D1249" s="2" t="str">
        <f t="shared" si="18"/>
        <v>Error?</v>
      </c>
    </row>
    <row r="1250" spans="1:4" x14ac:dyDescent="0.2">
      <c r="A1250" s="5">
        <v>1189</v>
      </c>
      <c r="B1250" s="1831">
        <f>'Expenditures 15-22'!F151</f>
        <v>144331</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14589</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14589</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14589</v>
      </c>
      <c r="C1258" s="2" t="s">
        <v>569</v>
      </c>
      <c r="D1258" s="2" t="str">
        <f t="shared" si="18"/>
        <v>Error?</v>
      </c>
    </row>
    <row r="1259" spans="1:4" x14ac:dyDescent="0.2">
      <c r="A1259" s="5">
        <v>1198</v>
      </c>
      <c r="B1259" s="1831">
        <f>'Expenditures 15-22'!G151</f>
        <v>14589</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550523</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550523</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550523</v>
      </c>
      <c r="C1281" s="2" t="s">
        <v>569</v>
      </c>
      <c r="D1281" s="2" t="str">
        <f t="shared" si="19"/>
        <v>Error?</v>
      </c>
    </row>
    <row r="1282" spans="1:4" x14ac:dyDescent="0.2">
      <c r="A1282" s="5">
        <v>1221</v>
      </c>
      <c r="B1282" s="1831">
        <f>'Expenditures 15-22'!K139</f>
        <v>53942</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604465</v>
      </c>
      <c r="C1288" s="2" t="s">
        <v>569</v>
      </c>
      <c r="D1288" s="2" t="str">
        <f t="shared" si="19"/>
        <v>Error?</v>
      </c>
    </row>
    <row r="1289" spans="1:4" x14ac:dyDescent="0.2">
      <c r="A1289" s="5">
        <v>1228</v>
      </c>
      <c r="B1289" s="1831">
        <f>'Expenditures 15-22'!K152</f>
        <v>-10769</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59501</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380147</v>
      </c>
      <c r="D1315" s="2" t="str">
        <f t="shared" si="19"/>
        <v>Error?</v>
      </c>
    </row>
    <row r="1316" spans="1:4" x14ac:dyDescent="0.2">
      <c r="A1316" s="5">
        <v>1255</v>
      </c>
      <c r="B1316" s="1831">
        <f>'Expenditures 15-22'!H171</f>
        <v>500</v>
      </c>
      <c r="D1316" s="2" t="str">
        <f t="shared" si="19"/>
        <v>Error?</v>
      </c>
    </row>
    <row r="1317" spans="1:4" x14ac:dyDescent="0.2">
      <c r="A1317" s="5">
        <v>1256</v>
      </c>
      <c r="B1317" s="1831">
        <f>'Expenditures 15-22'!H172</f>
        <v>440148</v>
      </c>
      <c r="C1317" s="2" t="s">
        <v>569</v>
      </c>
      <c r="D1317" s="2" t="str">
        <f t="shared" si="19"/>
        <v>Error?</v>
      </c>
    </row>
    <row r="1318" spans="1:4" x14ac:dyDescent="0.2">
      <c r="A1318" s="5">
        <v>1257</v>
      </c>
      <c r="B1318" s="1831">
        <f>'Expenditures 15-22'!H174</f>
        <v>440148</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59501</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380147</v>
      </c>
      <c r="C1329" s="2" t="s">
        <v>569</v>
      </c>
      <c r="D1329" s="2" t="str">
        <f t="shared" si="19"/>
        <v>Error?</v>
      </c>
    </row>
    <row r="1330" spans="1:4" x14ac:dyDescent="0.2">
      <c r="A1330" s="5">
        <v>1269</v>
      </c>
      <c r="B1330" s="1831">
        <f>'Expenditures 15-22'!K171</f>
        <v>500</v>
      </c>
      <c r="C1330" s="2" t="s">
        <v>569</v>
      </c>
      <c r="D1330" s="2" t="str">
        <f t="shared" si="19"/>
        <v>Error?</v>
      </c>
    </row>
    <row r="1331" spans="1:4" x14ac:dyDescent="0.2">
      <c r="A1331" s="5">
        <v>1270</v>
      </c>
      <c r="B1331" s="1831">
        <f>'Expenditures 15-22'!K172</f>
        <v>440148</v>
      </c>
      <c r="C1331" s="2" t="s">
        <v>569</v>
      </c>
      <c r="D1331" s="2" t="str">
        <f t="shared" si="19"/>
        <v>Error?</v>
      </c>
    </row>
    <row r="1332" spans="1:4" x14ac:dyDescent="0.2">
      <c r="A1332" s="5">
        <v>1271</v>
      </c>
      <c r="B1332" s="1831">
        <f>'Expenditures 15-22'!K174</f>
        <v>440148</v>
      </c>
      <c r="C1332" s="2" t="s">
        <v>569</v>
      </c>
      <c r="D1332" s="2" t="str">
        <f t="shared" si="19"/>
        <v>Error?</v>
      </c>
    </row>
    <row r="1333" spans="1:4" x14ac:dyDescent="0.2">
      <c r="A1333" s="5">
        <v>1272</v>
      </c>
      <c r="B1333" s="1831">
        <f>'Expenditures 15-22'!K175</f>
        <v>-50587</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104316</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111803</v>
      </c>
      <c r="D1350" s="2" t="str">
        <f t="shared" si="20"/>
        <v>Error?</v>
      </c>
    </row>
    <row r="1351" spans="1:4" x14ac:dyDescent="0.2">
      <c r="A1351" s="5">
        <v>1290</v>
      </c>
      <c r="B1351" s="1831">
        <f>'Expenditures 15-22'!E184</f>
        <v>216119</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216119</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104316</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111803</v>
      </c>
      <c r="C1380" s="2" t="s">
        <v>569</v>
      </c>
      <c r="D1380" s="2" t="str">
        <f t="shared" si="20"/>
        <v>Error?</v>
      </c>
    </row>
    <row r="1381" spans="1:4" x14ac:dyDescent="0.2">
      <c r="A1381" s="5">
        <v>1320</v>
      </c>
      <c r="B1381" s="1831">
        <f>'Expenditures 15-22'!K184</f>
        <v>216119</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216119</v>
      </c>
      <c r="C1388" s="2" t="s">
        <v>569</v>
      </c>
      <c r="D1388" s="2" t="str">
        <f t="shared" si="20"/>
        <v>Error?</v>
      </c>
    </row>
    <row r="1389" spans="1:4" x14ac:dyDescent="0.2">
      <c r="A1389" s="5">
        <v>1328</v>
      </c>
      <c r="B1389" s="1831">
        <f>'Expenditures 15-22'!K211</f>
        <v>67538</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733</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1035</v>
      </c>
      <c r="D1408" s="2" t="str">
        <f t="shared" si="21"/>
        <v>Error?</v>
      </c>
    </row>
    <row r="1409" spans="1:4" x14ac:dyDescent="0.2">
      <c r="A1409" s="5">
        <v>1348</v>
      </c>
      <c r="B1409" s="1831">
        <f>'Expenditures 15-22'!D224</f>
        <v>2101</v>
      </c>
      <c r="D1409" s="2" t="str">
        <f t="shared" si="21"/>
        <v>Error?</v>
      </c>
    </row>
    <row r="1410" spans="1:4" x14ac:dyDescent="0.2">
      <c r="A1410" s="5">
        <v>1349</v>
      </c>
      <c r="B1410" s="1831">
        <f>'Expenditures 15-22'!D229</f>
        <v>75707</v>
      </c>
      <c r="C1410" s="2" t="s">
        <v>569</v>
      </c>
      <c r="D1410" s="2" t="str">
        <f t="shared" si="21"/>
        <v>Error?</v>
      </c>
    </row>
    <row r="1411" spans="1:4" x14ac:dyDescent="0.2">
      <c r="A1411" s="5">
        <v>1350</v>
      </c>
      <c r="B1411" s="1831">
        <f>'Expenditures 15-22'!D232</f>
        <v>796</v>
      </c>
      <c r="D1411" s="2" t="str">
        <f t="shared" si="21"/>
        <v>Error?</v>
      </c>
    </row>
    <row r="1412" spans="1:4" x14ac:dyDescent="0.2">
      <c r="A1412" s="5">
        <v>1351</v>
      </c>
      <c r="B1412" s="1831">
        <f>'Expenditures 15-22'!D233</f>
        <v>7747</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880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9423</v>
      </c>
      <c r="C1417" s="2" t="s">
        <v>569</v>
      </c>
      <c r="D1417" s="2" t="str">
        <f t="shared" si="21"/>
        <v>Error?</v>
      </c>
    </row>
    <row r="1418" spans="1:4" x14ac:dyDescent="0.2">
      <c r="A1418" s="5">
        <v>1357</v>
      </c>
      <c r="B1418" s="1831">
        <f>'Expenditures 15-22'!D240</f>
        <v>2094</v>
      </c>
      <c r="D1418" s="2" t="str">
        <f t="shared" si="21"/>
        <v>Error?</v>
      </c>
    </row>
    <row r="1419" spans="1:4" x14ac:dyDescent="0.2">
      <c r="A1419" s="5">
        <v>1358</v>
      </c>
      <c r="B1419" s="1831">
        <f>'Expenditures 15-22'!D241</f>
        <v>702</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2796</v>
      </c>
      <c r="C1421" s="2" t="s">
        <v>569</v>
      </c>
      <c r="D1421" s="2" t="str">
        <f t="shared" si="21"/>
        <v>Error?</v>
      </c>
    </row>
    <row r="1422" spans="1:4" x14ac:dyDescent="0.2">
      <c r="A1422" s="5">
        <v>1361</v>
      </c>
      <c r="B1422" s="1831">
        <f>'Expenditures 15-22'!D245</f>
        <v>351</v>
      </c>
      <c r="D1422" s="2" t="str">
        <f t="shared" si="21"/>
        <v>Error?</v>
      </c>
    </row>
    <row r="1423" spans="1:4" x14ac:dyDescent="0.2">
      <c r="A1423" s="5">
        <v>1362</v>
      </c>
      <c r="B1423" s="1831">
        <f>'Expenditures 15-22'!D246</f>
        <v>9176</v>
      </c>
      <c r="D1423" s="2" t="str">
        <f t="shared" si="21"/>
        <v>Error?</v>
      </c>
    </row>
    <row r="1424" spans="1:4" x14ac:dyDescent="0.2">
      <c r="A1424" s="5">
        <v>1363</v>
      </c>
      <c r="B1424" s="1831">
        <f>'Expenditures 15-22'!D257</f>
        <v>9527</v>
      </c>
      <c r="C1424" s="2" t="s">
        <v>569</v>
      </c>
      <c r="D1424" s="2" t="str">
        <f t="shared" si="21"/>
        <v>Error?</v>
      </c>
    </row>
    <row r="1425" spans="1:4" x14ac:dyDescent="0.2">
      <c r="A1425" s="5">
        <v>1364</v>
      </c>
      <c r="B1425" s="1831">
        <f>'Expenditures 15-22'!D259</f>
        <v>17364</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17364</v>
      </c>
      <c r="C1427" s="2" t="s">
        <v>569</v>
      </c>
      <c r="D1427" s="2" t="str">
        <f t="shared" si="21"/>
        <v>Error?</v>
      </c>
    </row>
    <row r="1428" spans="1:4" x14ac:dyDescent="0.2">
      <c r="A1428" s="5">
        <v>1367</v>
      </c>
      <c r="B1428" s="1831">
        <f>'Expenditures 15-22'!D263</f>
        <v>1623</v>
      </c>
      <c r="D1428" s="2" t="str">
        <f t="shared" si="21"/>
        <v>Error?</v>
      </c>
    </row>
    <row r="1429" spans="1:4" x14ac:dyDescent="0.2">
      <c r="A1429" s="5">
        <v>1368</v>
      </c>
      <c r="B1429" s="1831">
        <f>'Expenditures 15-22'!D264</f>
        <v>1565</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36746</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13693</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53627</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2097</v>
      </c>
      <c r="D1440" s="2" t="str">
        <f t="shared" si="21"/>
        <v>Error?</v>
      </c>
    </row>
    <row r="1441" spans="1:4" x14ac:dyDescent="0.2">
      <c r="A1441" s="10">
        <v>1380</v>
      </c>
      <c r="B1441" s="1831"/>
      <c r="D1441" s="2" t="str">
        <f t="shared" si="21"/>
        <v>OK</v>
      </c>
    </row>
    <row r="1442" spans="1:4" x14ac:dyDescent="0.2">
      <c r="A1442" s="5">
        <v>1381</v>
      </c>
      <c r="B1442" s="1831">
        <f>'Expenditures 15-22'!D276</f>
        <v>20683</v>
      </c>
      <c r="D1442" s="2" t="str">
        <f t="shared" si="21"/>
        <v>Error?</v>
      </c>
    </row>
    <row r="1443" spans="1:4" x14ac:dyDescent="0.2">
      <c r="A1443" s="10">
        <v>1382</v>
      </c>
      <c r="B1443" s="1831"/>
      <c r="D1443" s="2" t="str">
        <f t="shared" si="21"/>
        <v>OK</v>
      </c>
    </row>
    <row r="1444" spans="1:4" x14ac:dyDescent="0.2">
      <c r="A1444" s="5">
        <v>1383</v>
      </c>
      <c r="B1444" s="1831">
        <f>'Expenditures 15-22'!D277</f>
        <v>22780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115517</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191224</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733</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1035</v>
      </c>
      <c r="C1472" s="2" t="s">
        <v>569</v>
      </c>
      <c r="D1472" s="2" t="str">
        <f t="shared" si="22"/>
        <v>Error?</v>
      </c>
    </row>
    <row r="1473" spans="1:4" x14ac:dyDescent="0.2">
      <c r="A1473" s="5">
        <v>1412</v>
      </c>
      <c r="B1473" s="1831">
        <f>'Expenditures 15-22'!K224</f>
        <v>2101</v>
      </c>
      <c r="C1473" s="2" t="s">
        <v>569</v>
      </c>
      <c r="D1473" s="2" t="str">
        <f t="shared" si="22"/>
        <v>Error?</v>
      </c>
    </row>
    <row r="1474" spans="1:4" x14ac:dyDescent="0.2">
      <c r="A1474" s="5">
        <v>1413</v>
      </c>
      <c r="B1474" s="1831">
        <f>'Expenditures 15-22'!K229</f>
        <v>75707</v>
      </c>
      <c r="C1474" s="2" t="s">
        <v>569</v>
      </c>
      <c r="D1474" s="2" t="str">
        <f t="shared" si="22"/>
        <v>Error?</v>
      </c>
    </row>
    <row r="1475" spans="1:4" x14ac:dyDescent="0.2">
      <c r="A1475" s="5">
        <v>1414</v>
      </c>
      <c r="B1475" s="1831">
        <f>'Expenditures 15-22'!K232</f>
        <v>796</v>
      </c>
      <c r="C1475" s="2" t="s">
        <v>569</v>
      </c>
      <c r="D1475" s="2" t="str">
        <f t="shared" si="22"/>
        <v>Error?</v>
      </c>
    </row>
    <row r="1476" spans="1:4" x14ac:dyDescent="0.2">
      <c r="A1476" s="5">
        <v>1415</v>
      </c>
      <c r="B1476" s="1831">
        <f>'Expenditures 15-22'!K233</f>
        <v>7747</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880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9423</v>
      </c>
      <c r="C1481" s="2" t="s">
        <v>569</v>
      </c>
      <c r="D1481" s="2" t="str">
        <f t="shared" si="22"/>
        <v>Error?</v>
      </c>
    </row>
    <row r="1482" spans="1:4" x14ac:dyDescent="0.2">
      <c r="A1482" s="5">
        <v>1421</v>
      </c>
      <c r="B1482" s="1831">
        <f>'Expenditures 15-22'!K240</f>
        <v>2094</v>
      </c>
      <c r="C1482" s="2" t="s">
        <v>569</v>
      </c>
      <c r="D1482" s="2" t="str">
        <f t="shared" si="22"/>
        <v>Error?</v>
      </c>
    </row>
    <row r="1483" spans="1:4" x14ac:dyDescent="0.2">
      <c r="A1483" s="5">
        <v>1422</v>
      </c>
      <c r="B1483" s="1831">
        <f>'Expenditures 15-22'!K241</f>
        <v>702</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2796</v>
      </c>
      <c r="C1485" s="2" t="s">
        <v>569</v>
      </c>
      <c r="D1485" s="2" t="str">
        <f t="shared" si="22"/>
        <v>Error?</v>
      </c>
    </row>
    <row r="1486" spans="1:4" x14ac:dyDescent="0.2">
      <c r="A1486" s="5">
        <v>1425</v>
      </c>
      <c r="B1486" s="1831">
        <f>'Expenditures 15-22'!K245</f>
        <v>351</v>
      </c>
      <c r="C1486" s="2" t="s">
        <v>569</v>
      </c>
      <c r="D1486" s="2" t="str">
        <f t="shared" si="22"/>
        <v>Error?</v>
      </c>
    </row>
    <row r="1487" spans="1:4" x14ac:dyDescent="0.2">
      <c r="A1487" s="5">
        <v>1426</v>
      </c>
      <c r="B1487" s="1831">
        <f>'Expenditures 15-22'!K246</f>
        <v>9176</v>
      </c>
      <c r="C1487" s="2" t="s">
        <v>569</v>
      </c>
      <c r="D1487" s="2" t="str">
        <f t="shared" si="22"/>
        <v>Error?</v>
      </c>
    </row>
    <row r="1488" spans="1:4" x14ac:dyDescent="0.2">
      <c r="A1488" s="5">
        <v>1427</v>
      </c>
      <c r="B1488" s="1831">
        <f>'Expenditures 15-22'!K257</f>
        <v>9527</v>
      </c>
      <c r="C1488" s="2" t="s">
        <v>569</v>
      </c>
      <c r="D1488" s="2" t="str">
        <f t="shared" si="22"/>
        <v>Error?</v>
      </c>
    </row>
    <row r="1489" spans="1:4" x14ac:dyDescent="0.2">
      <c r="A1489" s="5">
        <v>1428</v>
      </c>
      <c r="B1489" s="1831">
        <f>'Expenditures 15-22'!K259</f>
        <v>17364</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17364</v>
      </c>
      <c r="C1491" s="2" t="s">
        <v>569</v>
      </c>
      <c r="D1491" s="2" t="str">
        <f t="shared" si="22"/>
        <v>Error?</v>
      </c>
    </row>
    <row r="1492" spans="1:4" x14ac:dyDescent="0.2">
      <c r="A1492" s="5">
        <v>1431</v>
      </c>
      <c r="B1492" s="1831">
        <f>'Expenditures 15-22'!K263</f>
        <v>1623</v>
      </c>
      <c r="C1492" s="2" t="s">
        <v>569</v>
      </c>
      <c r="D1492" s="2" t="str">
        <f t="shared" si="22"/>
        <v>Error?</v>
      </c>
    </row>
    <row r="1493" spans="1:4" x14ac:dyDescent="0.2">
      <c r="A1493" s="5">
        <v>1432</v>
      </c>
      <c r="B1493" s="1831">
        <f>'Expenditures 15-22'!K264</f>
        <v>1565</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36746</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13693</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53627</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2097</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20683</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22780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115517</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191224</v>
      </c>
      <c r="C1517" s="2" t="s">
        <v>569</v>
      </c>
      <c r="D1517" s="2" t="str">
        <f t="shared" si="22"/>
        <v>Error?</v>
      </c>
    </row>
    <row r="1518" spans="1:4" x14ac:dyDescent="0.2">
      <c r="A1518" s="5">
        <v>1457</v>
      </c>
      <c r="B1518" s="1831">
        <f>'Expenditures 15-22'!K296</f>
        <v>-86008</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1264</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1264</v>
      </c>
      <c r="C1535" s="2" t="s">
        <v>569</v>
      </c>
      <c r="D1535" s="2" t="str">
        <f t="shared" ref="D1535:D1598" si="23">IF(ISBLANK(B1535),"OK",IF(A1535-B1535=0,"OK","Error?"))</f>
        <v>Error?</v>
      </c>
    </row>
    <row r="1536" spans="1:4" x14ac:dyDescent="0.2">
      <c r="A1536" s="5">
        <v>1475</v>
      </c>
      <c r="B1536" s="1831">
        <f>'Expenditures 15-22'!E312</f>
        <v>1264</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136019</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136019</v>
      </c>
      <c r="C1547" s="2" t="s">
        <v>569</v>
      </c>
      <c r="D1547" s="2" t="str">
        <f t="shared" si="23"/>
        <v>Error?</v>
      </c>
    </row>
    <row r="1548" spans="1:4" x14ac:dyDescent="0.2">
      <c r="A1548" s="5">
        <v>1487</v>
      </c>
      <c r="B1548" s="1831">
        <f>'Expenditures 15-22'!G312</f>
        <v>136019</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137283</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137283</v>
      </c>
      <c r="C1559" s="2" t="s">
        <v>569</v>
      </c>
      <c r="D1559" s="2" t="str">
        <f t="shared" si="23"/>
        <v>Error?</v>
      </c>
    </row>
    <row r="1560" spans="1:4" x14ac:dyDescent="0.2">
      <c r="A1560" s="5">
        <v>1499</v>
      </c>
      <c r="B1560" s="1831">
        <f>'Expenditures 15-22'!K312</f>
        <v>137283</v>
      </c>
      <c r="C1560" s="2" t="s">
        <v>569</v>
      </c>
      <c r="D1560" s="2" t="str">
        <f t="shared" si="23"/>
        <v>Error?</v>
      </c>
    </row>
    <row r="1561" spans="1:4" x14ac:dyDescent="0.2">
      <c r="A1561" s="5">
        <v>1500</v>
      </c>
      <c r="B1561" s="1831">
        <f>'Expenditures 15-22'!K313</f>
        <v>-85172</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8233832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8151710</v>
      </c>
      <c r="C1630" s="2" t="s">
        <v>569</v>
      </c>
      <c r="D1630" s="2" t="str">
        <f t="shared" si="24"/>
        <v>Error?</v>
      </c>
    </row>
    <row r="1631" spans="1:4" x14ac:dyDescent="0.2">
      <c r="A1631" s="5">
        <v>1570</v>
      </c>
      <c r="B1631" s="1831">
        <f>'Acct Summary 7-8'!D79</f>
        <v>336416</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315655</v>
      </c>
      <c r="C1644" s="2" t="s">
        <v>569</v>
      </c>
      <c r="D1644" s="2" t="str">
        <f t="shared" si="24"/>
        <v>Error?</v>
      </c>
    </row>
    <row r="1645" spans="1:4" x14ac:dyDescent="0.2">
      <c r="A1645" s="5">
        <v>1584</v>
      </c>
      <c r="B1645" s="1831">
        <f>'Acct Summary 7-8'!E79</f>
        <v>235966</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408571</v>
      </c>
      <c r="C1658" s="2" t="s">
        <v>569</v>
      </c>
      <c r="D1658" s="2" t="str">
        <f t="shared" si="24"/>
        <v>Error?</v>
      </c>
    </row>
    <row r="1659" spans="1:4" x14ac:dyDescent="0.2">
      <c r="A1659" s="5">
        <v>1598</v>
      </c>
      <c r="B1659" s="1831">
        <f>'Acct Summary 7-8'!F79</f>
        <v>230601</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298139</v>
      </c>
      <c r="C1672" s="2" t="s">
        <v>569</v>
      </c>
      <c r="D1672" s="2" t="str">
        <f t="shared" si="25"/>
        <v>Error?</v>
      </c>
    </row>
    <row r="1673" spans="1:4" x14ac:dyDescent="0.2">
      <c r="A1673" s="5">
        <v>1612</v>
      </c>
      <c r="B1673" s="1831">
        <f>'Acct Summary 7-8'!G79</f>
        <v>1123264</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1037256</v>
      </c>
      <c r="C1686" s="2" t="s">
        <v>569</v>
      </c>
      <c r="D1686" s="2" t="str">
        <f t="shared" si="25"/>
        <v>Error?</v>
      </c>
    </row>
    <row r="1687" spans="1:4" x14ac:dyDescent="0.2">
      <c r="A1687" s="5">
        <v>1626</v>
      </c>
      <c r="B1687" s="1831">
        <f>'Acct Summary 7-8'!H79</f>
        <v>82376</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137204</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3755066</v>
      </c>
      <c r="C1744" s="2" t="s">
        <v>569</v>
      </c>
      <c r="D1744" s="2" t="str">
        <f t="shared" si="26"/>
        <v>Error?</v>
      </c>
    </row>
    <row r="1745" spans="1:5" x14ac:dyDescent="0.2">
      <c r="A1745" s="5">
        <v>1684</v>
      </c>
      <c r="B1745" s="1831">
        <f>'Tax Sched 23'!B5</f>
        <v>481876</v>
      </c>
      <c r="C1745" s="2" t="s">
        <v>569</v>
      </c>
      <c r="D1745" s="2" t="str">
        <f t="shared" si="26"/>
        <v>Error?</v>
      </c>
    </row>
    <row r="1746" spans="1:5" x14ac:dyDescent="0.2">
      <c r="A1746" s="5">
        <v>1685</v>
      </c>
      <c r="B1746" s="1831">
        <f>'Tax Sched 23'!B6</f>
        <v>384251</v>
      </c>
      <c r="C1746" s="2" t="s">
        <v>569</v>
      </c>
      <c r="D1746" s="2" t="str">
        <f t="shared" si="26"/>
        <v>Error?</v>
      </c>
    </row>
    <row r="1747" spans="1:5" x14ac:dyDescent="0.2">
      <c r="A1747" s="5">
        <v>1686</v>
      </c>
      <c r="B1747" s="1831">
        <f>'Tax Sched 23'!B7</f>
        <v>95038</v>
      </c>
      <c r="C1747" s="2" t="s">
        <v>569</v>
      </c>
      <c r="D1747" s="2" t="str">
        <f t="shared" si="26"/>
        <v>Error?</v>
      </c>
    </row>
    <row r="1748" spans="1:5" x14ac:dyDescent="0.2">
      <c r="A1748" s="5">
        <v>1687</v>
      </c>
      <c r="B1748" s="1831">
        <f>'Tax Sched 23'!B8</f>
        <v>36476</v>
      </c>
      <c r="C1748" s="2" t="s">
        <v>569</v>
      </c>
      <c r="D1748" s="2" t="str">
        <f t="shared" si="26"/>
        <v>Error?</v>
      </c>
    </row>
    <row r="1749" spans="1:5" x14ac:dyDescent="0.2">
      <c r="A1749" s="5">
        <v>1688</v>
      </c>
      <c r="B1749" s="1831">
        <f>'Tax Sched 23'!B10</f>
        <v>60044</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198299</v>
      </c>
      <c r="C1752" s="2" t="s">
        <v>569</v>
      </c>
      <c r="D1752" s="2" t="str">
        <f t="shared" si="26"/>
        <v>Error?</v>
      </c>
    </row>
    <row r="1753" spans="1:5" x14ac:dyDescent="0.2">
      <c r="A1753" s="5">
        <v>1692</v>
      </c>
      <c r="B1753" s="1831">
        <f>'Tax Sched 23'!B12</f>
        <v>68813</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5442183</v>
      </c>
      <c r="C1759" s="2" t="s">
        <v>569</v>
      </c>
      <c r="D1759" s="2" t="str">
        <f t="shared" si="26"/>
        <v>Error?</v>
      </c>
    </row>
    <row r="1760" spans="1:5" x14ac:dyDescent="0.2">
      <c r="A1760" s="5">
        <v>1699</v>
      </c>
      <c r="B1760" s="1831">
        <f>'Tax Sched 23'!D4</f>
        <v>1490572</v>
      </c>
      <c r="C1760" s="2" t="s">
        <v>569</v>
      </c>
      <c r="D1760" s="2" t="str">
        <f t="shared" si="26"/>
        <v>Error?</v>
      </c>
    </row>
    <row r="1761" spans="1:7" x14ac:dyDescent="0.2">
      <c r="A1761" s="5">
        <v>1700</v>
      </c>
      <c r="B1761" s="1831">
        <f>'Tax Sched 23'!D5</f>
        <v>191233</v>
      </c>
      <c r="C1761" s="2" t="s">
        <v>569</v>
      </c>
      <c r="D1761" s="2" t="str">
        <f t="shared" si="26"/>
        <v>Error?</v>
      </c>
    </row>
    <row r="1762" spans="1:7" s="8" customFormat="1" x14ac:dyDescent="0.2">
      <c r="A1762" s="5">
        <v>1701</v>
      </c>
      <c r="B1762" s="1831">
        <f>'Tax Sched 23'!D6</f>
        <v>150908</v>
      </c>
      <c r="C1762" s="2" t="s">
        <v>569</v>
      </c>
      <c r="D1762" s="2" t="str">
        <f t="shared" si="26"/>
        <v>Error?</v>
      </c>
      <c r="E1762" s="9"/>
      <c r="G1762"/>
    </row>
    <row r="1763" spans="1:7" x14ac:dyDescent="0.2">
      <c r="A1763" s="5">
        <v>1702</v>
      </c>
      <c r="B1763" s="1831">
        <f>'Tax Sched 23'!D7</f>
        <v>33752</v>
      </c>
      <c r="C1763" s="2" t="s">
        <v>569</v>
      </c>
      <c r="D1763" s="2" t="str">
        <f t="shared" si="26"/>
        <v>Error?</v>
      </c>
    </row>
    <row r="1764" spans="1:7" x14ac:dyDescent="0.2">
      <c r="A1764" s="5">
        <v>1703</v>
      </c>
      <c r="B1764" s="1831">
        <f>'Tax Sched 23'!D8</f>
        <v>9526</v>
      </c>
      <c r="C1764" s="2" t="s">
        <v>569</v>
      </c>
      <c r="D1764" s="2" t="str">
        <f t="shared" si="26"/>
        <v>Error?</v>
      </c>
    </row>
    <row r="1765" spans="1:7" x14ac:dyDescent="0.2">
      <c r="A1765" s="5">
        <v>1704</v>
      </c>
      <c r="B1765" s="1831">
        <f>'Tax Sched 23'!D10</f>
        <v>33786</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77960</v>
      </c>
      <c r="C1768" s="2" t="s">
        <v>569</v>
      </c>
      <c r="D1768" s="2" t="str">
        <f t="shared" si="26"/>
        <v>Error?</v>
      </c>
    </row>
    <row r="1769" spans="1:7" x14ac:dyDescent="0.2">
      <c r="A1769" s="5">
        <v>1708</v>
      </c>
      <c r="B1769" s="1831">
        <f>'Tax Sched 23'!D12</f>
        <v>16882</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2142952</v>
      </c>
      <c r="C1775" s="2" t="s">
        <v>569</v>
      </c>
      <c r="D1775" s="2" t="str">
        <f t="shared" si="26"/>
        <v>Error?</v>
      </c>
    </row>
    <row r="1776" spans="1:7" x14ac:dyDescent="0.2">
      <c r="A1776" s="5">
        <v>1715</v>
      </c>
      <c r="B1776" s="1831">
        <f>'Tax Sched 23'!C4</f>
        <v>2264494</v>
      </c>
      <c r="D1776" s="2" t="str">
        <f t="shared" si="26"/>
        <v>Error?</v>
      </c>
    </row>
    <row r="1777" spans="1:4" x14ac:dyDescent="0.2">
      <c r="A1777" s="5">
        <v>1716</v>
      </c>
      <c r="B1777" s="1831">
        <f>'Tax Sched 23'!C5</f>
        <v>290643</v>
      </c>
      <c r="D1777" s="2" t="str">
        <f t="shared" si="26"/>
        <v>Error?</v>
      </c>
    </row>
    <row r="1778" spans="1:4" x14ac:dyDescent="0.2">
      <c r="A1778" s="5">
        <v>1717</v>
      </c>
      <c r="B1778" s="1831">
        <f>'Tax Sched 23'!C6</f>
        <v>233343</v>
      </c>
      <c r="D1778" s="2" t="str">
        <f t="shared" si="26"/>
        <v>Error?</v>
      </c>
    </row>
    <row r="1779" spans="1:4" x14ac:dyDescent="0.2">
      <c r="A1779" s="5">
        <v>1718</v>
      </c>
      <c r="B1779" s="1831">
        <f>'Tax Sched 23'!C7</f>
        <v>61286</v>
      </c>
      <c r="D1779" s="2" t="str">
        <f t="shared" si="26"/>
        <v>Error?</v>
      </c>
    </row>
    <row r="1780" spans="1:4" x14ac:dyDescent="0.2">
      <c r="A1780" s="5">
        <v>1719</v>
      </c>
      <c r="B1780" s="1831">
        <f>'Tax Sched 23'!C8</f>
        <v>26950</v>
      </c>
      <c r="D1780" s="2" t="str">
        <f t="shared" si="26"/>
        <v>Error?</v>
      </c>
    </row>
    <row r="1781" spans="1:4" x14ac:dyDescent="0.2">
      <c r="A1781" s="5">
        <v>1720</v>
      </c>
      <c r="B1781" s="1831">
        <f>'Tax Sched 23'!C10</f>
        <v>26258</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120339</v>
      </c>
      <c r="D1784" s="2" t="str">
        <f t="shared" si="26"/>
        <v>Error?</v>
      </c>
    </row>
    <row r="1785" spans="1:4" x14ac:dyDescent="0.2">
      <c r="A1785" s="5">
        <v>1724</v>
      </c>
      <c r="B1785" s="1831">
        <f>'Tax Sched 23'!C12</f>
        <v>51931</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3299231</v>
      </c>
      <c r="C1791" s="2" t="s">
        <v>569</v>
      </c>
      <c r="D1791" s="2" t="str">
        <f t="shared" ref="D1791:D1854" si="27">IF(ISBLANK(B1791),"OK",IF(A1791-B1791=0,"OK","Error?"))</f>
        <v>Error?</v>
      </c>
    </row>
    <row r="1792" spans="1:4" x14ac:dyDescent="0.2">
      <c r="A1792" s="5">
        <v>1731</v>
      </c>
      <c r="B1792" s="1831">
        <f>'Tax Sched 23'!F4</f>
        <v>2058177</v>
      </c>
      <c r="C1792" s="2" t="s">
        <v>569</v>
      </c>
      <c r="D1792" s="2" t="str">
        <f t="shared" si="27"/>
        <v>Error?</v>
      </c>
    </row>
    <row r="1793" spans="1:4" x14ac:dyDescent="0.2">
      <c r="A1793" s="5">
        <v>1732</v>
      </c>
      <c r="B1793" s="1831">
        <f>'Tax Sched 23'!F5</f>
        <v>264123</v>
      </c>
      <c r="C1793" s="2" t="s">
        <v>569</v>
      </c>
      <c r="D1793" s="2" t="str">
        <f t="shared" si="27"/>
        <v>Error?</v>
      </c>
    </row>
    <row r="1794" spans="1:4" x14ac:dyDescent="0.2">
      <c r="A1794" s="5">
        <v>1733</v>
      </c>
      <c r="B1794" s="1831">
        <f>'Tax Sched 23'!F6</f>
        <v>212126</v>
      </c>
      <c r="C1794" s="2" t="s">
        <v>569</v>
      </c>
      <c r="D1794" s="2" t="str">
        <f t="shared" si="27"/>
        <v>Error?</v>
      </c>
    </row>
    <row r="1795" spans="1:4" x14ac:dyDescent="0.2">
      <c r="A1795" s="5">
        <v>1734</v>
      </c>
      <c r="B1795" s="1831">
        <f>'Tax Sched 23'!F7</f>
        <v>55714</v>
      </c>
      <c r="C1795" s="2" t="s">
        <v>569</v>
      </c>
      <c r="D1795" s="2" t="str">
        <f t="shared" si="27"/>
        <v>Error?</v>
      </c>
    </row>
    <row r="1796" spans="1:4" x14ac:dyDescent="0.2">
      <c r="A1796" s="5">
        <v>1735</v>
      </c>
      <c r="B1796" s="1831">
        <f>'Tax Sched 23'!F8</f>
        <v>24550</v>
      </c>
      <c r="C1796" s="2" t="s">
        <v>569</v>
      </c>
      <c r="D1796" s="2" t="str">
        <f t="shared" si="27"/>
        <v>Error?</v>
      </c>
    </row>
    <row r="1797" spans="1:4" x14ac:dyDescent="0.2">
      <c r="A1797" s="5">
        <v>1736</v>
      </c>
      <c r="B1797" s="1831">
        <f>'Tax Sched 23'!F10</f>
        <v>23865</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109351</v>
      </c>
      <c r="C1800" s="2" t="s">
        <v>569</v>
      </c>
      <c r="D1800" s="2" t="str">
        <f t="shared" si="27"/>
        <v>Error?</v>
      </c>
    </row>
    <row r="1801" spans="1:4" x14ac:dyDescent="0.2">
      <c r="A1801" s="5">
        <v>1740</v>
      </c>
      <c r="B1801" s="1831">
        <f>'Tax Sched 23'!F12</f>
        <v>47200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2998569</v>
      </c>
      <c r="C1807" s="2" t="s">
        <v>569</v>
      </c>
      <c r="D1807" s="2" t="str">
        <f t="shared" si="27"/>
        <v>Error?</v>
      </c>
    </row>
    <row r="1808" spans="1:4" x14ac:dyDescent="0.2">
      <c r="A1808" s="5">
        <v>1747</v>
      </c>
      <c r="B1808" s="1831">
        <f>'Tax Sched 23'!E4</f>
        <v>4322671</v>
      </c>
      <c r="D1808" s="2" t="str">
        <f t="shared" si="27"/>
        <v>Error?</v>
      </c>
    </row>
    <row r="1809" spans="1:4" x14ac:dyDescent="0.2">
      <c r="A1809" s="5">
        <v>1748</v>
      </c>
      <c r="B1809" s="1831">
        <f>'Tax Sched 23'!E5</f>
        <v>554766</v>
      </c>
      <c r="D1809" s="2" t="str">
        <f t="shared" si="27"/>
        <v>Error?</v>
      </c>
    </row>
    <row r="1810" spans="1:4" x14ac:dyDescent="0.2">
      <c r="A1810" s="5">
        <v>1749</v>
      </c>
      <c r="B1810" s="1831">
        <f>'Tax Sched 23'!E6</f>
        <v>445469</v>
      </c>
      <c r="D1810" s="2" t="str">
        <f t="shared" si="27"/>
        <v>Error?</v>
      </c>
    </row>
    <row r="1811" spans="1:4" x14ac:dyDescent="0.2">
      <c r="A1811" s="5">
        <v>1750</v>
      </c>
      <c r="B1811" s="1831">
        <f>'Tax Sched 23'!E7</f>
        <v>117000</v>
      </c>
      <c r="D1811" s="2" t="str">
        <f t="shared" si="27"/>
        <v>Error?</v>
      </c>
    </row>
    <row r="1812" spans="1:4" x14ac:dyDescent="0.2">
      <c r="A1812" s="5">
        <v>1751</v>
      </c>
      <c r="B1812" s="1831">
        <f>'Tax Sched 23'!E8</f>
        <v>51500</v>
      </c>
      <c r="D1812" s="2" t="str">
        <f t="shared" si="27"/>
        <v>Error?</v>
      </c>
    </row>
    <row r="1813" spans="1:4" x14ac:dyDescent="0.2">
      <c r="A1813" s="5">
        <v>1752</v>
      </c>
      <c r="B1813" s="1831">
        <f>'Tax Sched 23'!E10</f>
        <v>50123</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229690</v>
      </c>
      <c r="D1816" s="2" t="str">
        <f t="shared" si="27"/>
        <v>Error?</v>
      </c>
    </row>
    <row r="1817" spans="1:4" x14ac:dyDescent="0.2">
      <c r="A1817" s="5">
        <v>1756</v>
      </c>
      <c r="B1817" s="1831">
        <f>'Tax Sched 23'!E12</f>
        <v>99131</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6297800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1604941</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325041</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325041</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325041</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314014</v>
      </c>
      <c r="D2008" s="2" t="str">
        <f t="shared" si="30"/>
        <v>Error?</v>
      </c>
    </row>
    <row r="2009" spans="1:4" x14ac:dyDescent="0.2">
      <c r="A2009" s="5">
        <v>1948</v>
      </c>
      <c r="B2009" s="1831">
        <f>'Cap Outlay Deprec 26'!C8</f>
        <v>12201983</v>
      </c>
      <c r="D2009" s="2" t="str">
        <f t="shared" si="30"/>
        <v>Error?</v>
      </c>
    </row>
    <row r="2010" spans="1:4" x14ac:dyDescent="0.2">
      <c r="A2010" s="5">
        <v>1949</v>
      </c>
      <c r="B2010" s="1831">
        <f>'Cap Outlay Deprec 26'!C10</f>
        <v>418363</v>
      </c>
      <c r="D2010" s="2" t="str">
        <f t="shared" si="30"/>
        <v>Error?</v>
      </c>
    </row>
    <row r="2011" spans="1:4" x14ac:dyDescent="0.2">
      <c r="A2011" s="5">
        <v>1950</v>
      </c>
      <c r="B2011" s="1831">
        <f>'Cap Outlay Deprec 26'!C12</f>
        <v>2048040</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15019929</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526392</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81896</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608288</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37529</v>
      </c>
      <c r="C2025" s="2" t="s">
        <v>569</v>
      </c>
      <c r="D2025" s="2" t="str">
        <f t="shared" si="30"/>
        <v>Error?</v>
      </c>
    </row>
    <row r="2026" spans="1:4" x14ac:dyDescent="0.2">
      <c r="A2026" s="5">
        <v>1965</v>
      </c>
      <c r="B2026" s="1831">
        <f>'Cap Outlay Deprec 26'!F5</f>
        <v>314014</v>
      </c>
      <c r="C2026" s="2" t="s">
        <v>569</v>
      </c>
      <c r="D2026" s="2" t="str">
        <f t="shared" si="30"/>
        <v>Error?</v>
      </c>
    </row>
    <row r="2027" spans="1:4" x14ac:dyDescent="0.2">
      <c r="A2027" s="5">
        <v>1966</v>
      </c>
      <c r="B2027" s="1831">
        <f>'Cap Outlay Deprec 26'!F8</f>
        <v>12728375</v>
      </c>
      <c r="C2027" s="2" t="s">
        <v>569</v>
      </c>
      <c r="D2027" s="2" t="str">
        <f t="shared" si="30"/>
        <v>Error?</v>
      </c>
    </row>
    <row r="2028" spans="1:4" x14ac:dyDescent="0.2">
      <c r="A2028" s="5">
        <v>1967</v>
      </c>
      <c r="B2028" s="1831">
        <f>'Cap Outlay Deprec 26'!F10</f>
        <v>418363</v>
      </c>
      <c r="C2028" s="2" t="s">
        <v>569</v>
      </c>
      <c r="D2028" s="2" t="str">
        <f t="shared" si="30"/>
        <v>Error?</v>
      </c>
    </row>
    <row r="2029" spans="1:4" x14ac:dyDescent="0.2">
      <c r="A2029" s="5">
        <v>1968</v>
      </c>
      <c r="B2029" s="1831">
        <f>'Cap Outlay Deprec 26'!F12</f>
        <v>2129936</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15590688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4756070</v>
      </c>
      <c r="D2033" s="2" t="str">
        <f t="shared" si="30"/>
        <v>Error?</v>
      </c>
    </row>
    <row r="2034" spans="1:4" x14ac:dyDescent="0.2">
      <c r="A2034" s="5">
        <v>1973</v>
      </c>
      <c r="B2034" s="1831">
        <f>'Cap Outlay Deprec 26'!H10</f>
        <v>208844</v>
      </c>
      <c r="D2034" s="2" t="str">
        <f t="shared" si="30"/>
        <v>Error?</v>
      </c>
    </row>
    <row r="2035" spans="1:4" x14ac:dyDescent="0.2">
      <c r="A2035" s="5">
        <v>1974</v>
      </c>
      <c r="B2035" s="1831">
        <f>'Cap Outlay Deprec 26'!H12</f>
        <v>1704123</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6669037</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249304</v>
      </c>
      <c r="D2039" s="2" t="str">
        <f t="shared" si="30"/>
        <v>Error?</v>
      </c>
    </row>
    <row r="2040" spans="1:4" x14ac:dyDescent="0.2">
      <c r="A2040" s="5">
        <v>1979</v>
      </c>
      <c r="B2040" s="1831">
        <f>'Cap Outlay Deprec 26'!I10</f>
        <v>20918</v>
      </c>
      <c r="D2040" s="2" t="str">
        <f t="shared" si="30"/>
        <v>Error?</v>
      </c>
    </row>
    <row r="2041" spans="1:4" x14ac:dyDescent="0.2">
      <c r="A2041" s="5">
        <v>1980</v>
      </c>
      <c r="B2041" s="1831">
        <f>'Cap Outlay Deprec 26'!I12</f>
        <v>208899</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479121</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5005374</v>
      </c>
      <c r="C2051" s="2" t="s">
        <v>569</v>
      </c>
      <c r="D2051" s="2" t="str">
        <f t="shared" si="31"/>
        <v>Error?</v>
      </c>
    </row>
    <row r="2052" spans="1:4" x14ac:dyDescent="0.2">
      <c r="A2052" s="5">
        <v>1991</v>
      </c>
      <c r="B2052" s="1831">
        <f>'Cap Outlay Deprec 26'!K10</f>
        <v>229762</v>
      </c>
      <c r="C2052" s="2" t="s">
        <v>569</v>
      </c>
      <c r="D2052" s="2" t="str">
        <f t="shared" si="31"/>
        <v>Error?</v>
      </c>
    </row>
    <row r="2053" spans="1:4" x14ac:dyDescent="0.2">
      <c r="A2053" s="5">
        <v>1992</v>
      </c>
      <c r="B2053" s="1831">
        <f>'Cap Outlay Deprec 26'!K12</f>
        <v>1913022</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7148158</v>
      </c>
      <c r="C2055" s="2" t="s">
        <v>569</v>
      </c>
      <c r="D2055" s="2" t="str">
        <f t="shared" si="31"/>
        <v>Error?</v>
      </c>
    </row>
    <row r="2056" spans="1:4" x14ac:dyDescent="0.2">
      <c r="A2056" s="5">
        <v>1995</v>
      </c>
      <c r="B2056" s="1831">
        <f>'Cap Outlay Deprec 26'!L5</f>
        <v>314014</v>
      </c>
      <c r="C2056" s="2" t="s">
        <v>569</v>
      </c>
      <c r="D2056" s="2" t="str">
        <f t="shared" si="31"/>
        <v>Error?</v>
      </c>
    </row>
    <row r="2057" spans="1:4" x14ac:dyDescent="0.2">
      <c r="A2057" s="5">
        <v>1996</v>
      </c>
      <c r="B2057" s="1831">
        <f>'Cap Outlay Deprec 26'!L8</f>
        <v>7723001</v>
      </c>
      <c r="C2057" s="2" t="s">
        <v>569</v>
      </c>
      <c r="D2057" s="2" t="str">
        <f t="shared" si="31"/>
        <v>Error?</v>
      </c>
    </row>
    <row r="2058" spans="1:4" x14ac:dyDescent="0.2">
      <c r="A2058" s="5">
        <v>1997</v>
      </c>
      <c r="B2058" s="1831">
        <f>'Cap Outlay Deprec 26'!L10</f>
        <v>188601</v>
      </c>
      <c r="C2058" s="2" t="s">
        <v>569</v>
      </c>
      <c r="D2058" s="2" t="str">
        <f t="shared" si="31"/>
        <v>Error?</v>
      </c>
    </row>
    <row r="2059" spans="1:4" x14ac:dyDescent="0.2">
      <c r="A2059" s="5">
        <v>1998</v>
      </c>
      <c r="B2059" s="1831">
        <f>'Cap Outlay Deprec 26'!L12</f>
        <v>216914</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8442530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941731</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1086383</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53942</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340000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4584341</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1438912</v>
      </c>
      <c r="C2553" s="2" t="s">
        <v>569</v>
      </c>
      <c r="D2553" s="2" t="str">
        <f t="shared" si="38"/>
        <v>Error?</v>
      </c>
    </row>
    <row r="2554" spans="1:4" x14ac:dyDescent="0.2">
      <c r="A2554" s="5">
        <v>2493</v>
      </c>
      <c r="B2554" s="1831">
        <f>'Acct Summary 7-8'!C7</f>
        <v>623359</v>
      </c>
      <c r="C2554" s="2" t="s">
        <v>569</v>
      </c>
      <c r="D2554" s="2" t="str">
        <f t="shared" si="38"/>
        <v>Error?</v>
      </c>
    </row>
    <row r="2555" spans="1:4" x14ac:dyDescent="0.2">
      <c r="A2555" s="5">
        <v>2494</v>
      </c>
      <c r="B2555" s="1831">
        <f>'Acct Summary 7-8'!C8</f>
        <v>6646612</v>
      </c>
      <c r="C2555" s="2" t="s">
        <v>569</v>
      </c>
      <c r="D2555" s="2" t="str">
        <f t="shared" si="38"/>
        <v>Error?</v>
      </c>
    </row>
    <row r="2556" spans="1:4" x14ac:dyDescent="0.2">
      <c r="A2556" s="5">
        <v>2495</v>
      </c>
      <c r="B2556" s="1831">
        <f>'Acct Summary 7-8'!C12</f>
        <v>3220968</v>
      </c>
      <c r="C2556" s="2" t="s">
        <v>569</v>
      </c>
      <c r="D2556" s="2" t="str">
        <f t="shared" si="38"/>
        <v>Error?</v>
      </c>
    </row>
    <row r="2557" spans="1:4" x14ac:dyDescent="0.2">
      <c r="A2557" s="5">
        <v>2496</v>
      </c>
      <c r="B2557" s="1831">
        <f>'Acct Summary 7-8'!C13</f>
        <v>2385914</v>
      </c>
      <c r="C2557" s="2" t="s">
        <v>569</v>
      </c>
      <c r="D2557" s="2" t="str">
        <f t="shared" si="38"/>
        <v>Error?</v>
      </c>
    </row>
    <row r="2558" spans="1:4" x14ac:dyDescent="0.2">
      <c r="A2558" s="5">
        <v>2497</v>
      </c>
      <c r="B2558" s="1831">
        <f>'Acct Summary 7-8'!C14</f>
        <v>22269</v>
      </c>
      <c r="C2558" s="2" t="s">
        <v>569</v>
      </c>
      <c r="D2558" s="2" t="str">
        <f t="shared" si="38"/>
        <v>Error?</v>
      </c>
    </row>
    <row r="2559" spans="1:4" x14ac:dyDescent="0.2">
      <c r="A2559" s="5">
        <v>2498</v>
      </c>
      <c r="B2559" s="1831">
        <f>'Acct Summary 7-8'!C15</f>
        <v>1086383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6715534</v>
      </c>
      <c r="C2561" s="2" t="s">
        <v>569</v>
      </c>
      <c r="D2561" s="2" t="str">
        <f t="shared" si="39"/>
        <v>Error?</v>
      </c>
    </row>
    <row r="2562" spans="1:4" x14ac:dyDescent="0.2">
      <c r="A2562" s="5">
        <v>2501</v>
      </c>
      <c r="B2562" s="1831">
        <f>'Acct Summary 7-8'!C20</f>
        <v>-68922</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496212</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97484</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593696</v>
      </c>
      <c r="C2568" s="2" t="s">
        <v>569</v>
      </c>
      <c r="D2568" s="2" t="str">
        <f t="shared" si="39"/>
        <v>Error?</v>
      </c>
    </row>
    <row r="2569" spans="1:4" x14ac:dyDescent="0.2">
      <c r="A2569" s="5">
        <v>2508</v>
      </c>
      <c r="B2569" s="1831">
        <f>'Acct Summary 7-8'!D13</f>
        <v>550523</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53942</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604465</v>
      </c>
      <c r="C2573" s="2" t="s">
        <v>569</v>
      </c>
      <c r="D2573" s="2" t="str">
        <f t="shared" si="39"/>
        <v>Error?</v>
      </c>
    </row>
    <row r="2574" spans="1:4" x14ac:dyDescent="0.2">
      <c r="A2574" s="5">
        <v>2513</v>
      </c>
      <c r="B2574" s="1831">
        <f>'Acct Summary 7-8'!D20</f>
        <v>-10769</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100486</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183171</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283657</v>
      </c>
      <c r="C2595" s="2" t="s">
        <v>569</v>
      </c>
      <c r="D2595" s="2" t="str">
        <f t="shared" si="39"/>
        <v>Error?</v>
      </c>
    </row>
    <row r="2596" spans="1:4" x14ac:dyDescent="0.2">
      <c r="A2596" s="5">
        <v>2535</v>
      </c>
      <c r="B2596" s="1831">
        <f>'Acct Summary 7-8'!F13</f>
        <v>216119</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216119</v>
      </c>
      <c r="C2600" s="2" t="s">
        <v>569</v>
      </c>
      <c r="D2600" s="2" t="str">
        <f t="shared" si="39"/>
        <v>Error?</v>
      </c>
    </row>
    <row r="2601" spans="1:4" x14ac:dyDescent="0.2">
      <c r="A2601" s="5">
        <v>2540</v>
      </c>
      <c r="B2601" s="1831">
        <f>'Acct Summary 7-8'!F20</f>
        <v>67538</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105216</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105216</v>
      </c>
      <c r="C2606" s="2" t="s">
        <v>569</v>
      </c>
      <c r="D2606" s="2" t="str">
        <f t="shared" si="39"/>
        <v>Error?</v>
      </c>
    </row>
    <row r="2607" spans="1:4" x14ac:dyDescent="0.2">
      <c r="A2607" s="5">
        <v>2546</v>
      </c>
      <c r="B2607" s="1831">
        <f>'Acct Summary 7-8'!G12</f>
        <v>75707</v>
      </c>
      <c r="C2607" s="2" t="s">
        <v>569</v>
      </c>
      <c r="D2607" s="2" t="str">
        <f t="shared" si="39"/>
        <v>Error?</v>
      </c>
    </row>
    <row r="2608" spans="1:4" x14ac:dyDescent="0.2">
      <c r="A2608" s="5">
        <v>2547</v>
      </c>
      <c r="B2608" s="1831">
        <f>'Acct Summary 7-8'!G13</f>
        <v>115517</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191224</v>
      </c>
      <c r="C2612" s="2" t="s">
        <v>569</v>
      </c>
      <c r="D2612" s="2" t="str">
        <f t="shared" si="39"/>
        <v>Error?</v>
      </c>
    </row>
    <row r="2613" spans="1:4" x14ac:dyDescent="0.2">
      <c r="A2613" s="5">
        <v>2552</v>
      </c>
      <c r="B2613" s="1831">
        <f>'Acct Summary 7-8'!G20</f>
        <v>-86008</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389561</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389561</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440148</v>
      </c>
      <c r="C2634" s="2" t="s">
        <v>569</v>
      </c>
      <c r="D2634" s="2" t="str">
        <f t="shared" si="40"/>
        <v>Error?</v>
      </c>
    </row>
    <row r="2635" spans="1:4" x14ac:dyDescent="0.2">
      <c r="A2635" s="5">
        <v>2574</v>
      </c>
      <c r="B2635" s="1831">
        <f>'Acct Summary 7-8'!E17</f>
        <v>440148</v>
      </c>
      <c r="C2635" s="2" t="s">
        <v>569</v>
      </c>
      <c r="D2635" s="2" t="str">
        <f t="shared" si="40"/>
        <v>Error?</v>
      </c>
    </row>
    <row r="2636" spans="1:4" x14ac:dyDescent="0.2">
      <c r="A2636" s="5">
        <v>2575</v>
      </c>
      <c r="B2636" s="1831">
        <f>'Acct Summary 7-8'!E20</f>
        <v>-50587</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2111</v>
      </c>
      <c r="C2655" s="2" t="s">
        <v>569</v>
      </c>
      <c r="D2655" s="2" t="str">
        <f t="shared" si="40"/>
        <v>Error?</v>
      </c>
    </row>
    <row r="2656" spans="1:4" x14ac:dyDescent="0.2">
      <c r="A2656" s="5">
        <v>2595</v>
      </c>
      <c r="B2656" s="1831">
        <f>'Acct Summary 7-8'!H6</f>
        <v>50000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52111</v>
      </c>
      <c r="C2658" s="2" t="s">
        <v>569</v>
      </c>
      <c r="D2658" s="2" t="str">
        <f t="shared" si="40"/>
        <v>Error?</v>
      </c>
    </row>
    <row r="2659" spans="1:4" x14ac:dyDescent="0.2">
      <c r="A2659" s="5">
        <v>2598</v>
      </c>
      <c r="B2659" s="1831">
        <f>'Acct Summary 7-8'!H13</f>
        <v>137283</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137283</v>
      </c>
      <c r="C2661" s="2" t="s">
        <v>569</v>
      </c>
      <c r="D2661" s="2" t="str">
        <f t="shared" si="40"/>
        <v>Error?</v>
      </c>
    </row>
    <row r="2662" spans="1:4" x14ac:dyDescent="0.2">
      <c r="A2662" s="5">
        <v>2601</v>
      </c>
      <c r="B2662" s="1831">
        <f>'Acct Summary 7-8'!H20</f>
        <v>-85172</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129</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129</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144652</v>
      </c>
      <c r="C2789" s="2" t="s">
        <v>569</v>
      </c>
      <c r="D2789" s="2" t="str">
        <f t="shared" si="42"/>
        <v>Error?</v>
      </c>
    </row>
    <row r="2790" spans="1:4" x14ac:dyDescent="0.2">
      <c r="A2790" s="5">
        <v>2729</v>
      </c>
      <c r="B2790" s="1831">
        <f>'Expenditures 15-22'!E102</f>
        <v>144652</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31573</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1027716</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28547</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-10484</v>
      </c>
      <c r="D2908" s="2" t="str">
        <f t="shared" si="44"/>
        <v>Error?</v>
      </c>
    </row>
    <row r="2909" spans="1:4" x14ac:dyDescent="0.2">
      <c r="A2909" s="10">
        <v>2848</v>
      </c>
      <c r="B2909" s="1831"/>
      <c r="D2909" s="2" t="str">
        <f t="shared" si="44"/>
        <v>OK</v>
      </c>
    </row>
    <row r="2910" spans="1:4" x14ac:dyDescent="0.2">
      <c r="A2910" s="5">
        <v>2849</v>
      </c>
      <c r="B2910" s="1831">
        <f>'Assets-Liab 5-6'!I34</f>
        <v>-10484</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1038200</v>
      </c>
      <c r="D2912" s="2" t="str">
        <f t="shared" si="44"/>
        <v>Error?</v>
      </c>
    </row>
    <row r="2913" spans="1:4" x14ac:dyDescent="0.2">
      <c r="A2913" s="5">
        <v>2852</v>
      </c>
      <c r="B2913" s="1831">
        <f>'Assets-Liab 5-6'!I41</f>
        <v>1027716</v>
      </c>
      <c r="C2913" s="2" t="s">
        <v>569</v>
      </c>
      <c r="D2913" s="2" t="str">
        <f t="shared" si="44"/>
        <v>Error?</v>
      </c>
    </row>
    <row r="2914" spans="1:4" x14ac:dyDescent="0.2">
      <c r="A2914" s="5">
        <v>2853</v>
      </c>
      <c r="B2914" s="1831">
        <f>'Assets-Liab 5-6'!L33</f>
        <v>28547</v>
      </c>
      <c r="D2914" s="2" t="str">
        <f t="shared" si="44"/>
        <v>Error?</v>
      </c>
    </row>
    <row r="2915" spans="1:4" x14ac:dyDescent="0.2">
      <c r="A2915" s="10">
        <v>2854</v>
      </c>
      <c r="B2915" s="1831"/>
      <c r="D2915" s="2" t="str">
        <f t="shared" si="44"/>
        <v>OK</v>
      </c>
    </row>
    <row r="2916" spans="1:4" x14ac:dyDescent="0.2">
      <c r="A2916" s="5">
        <v>2855</v>
      </c>
      <c r="B2916" s="1831">
        <f>'Assets-Liab 5-6'!L34</f>
        <v>28547</v>
      </c>
      <c r="C2916" s="2" t="s">
        <v>569</v>
      </c>
      <c r="D2916" s="2" t="str">
        <f t="shared" si="44"/>
        <v>Error?</v>
      </c>
    </row>
    <row r="2917" spans="1:4" x14ac:dyDescent="0.2">
      <c r="A2917" s="5">
        <v>2856</v>
      </c>
      <c r="B2917" s="1831">
        <f>'Assets-Liab 5-6'!L41</f>
        <v>28547</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119438</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25214</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941731</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1061169</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25214</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53942</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85568</v>
      </c>
      <c r="C3225" s="2" t="s">
        <v>569</v>
      </c>
      <c r="D3225" s="2" t="str">
        <f t="shared" si="49"/>
        <v>Error?</v>
      </c>
    </row>
    <row r="3226" spans="1:4" x14ac:dyDescent="0.2">
      <c r="A3226" s="5">
        <v>3165</v>
      </c>
      <c r="B3226" s="1831">
        <f>'Acct Summary 7-8'!I8</f>
        <v>85568</v>
      </c>
      <c r="C3226" s="2" t="s">
        <v>569</v>
      </c>
      <c r="D3226" s="2" t="str">
        <f t="shared" si="49"/>
        <v>Error?</v>
      </c>
    </row>
    <row r="3227" spans="1:4" x14ac:dyDescent="0.2">
      <c r="A3227" s="5">
        <v>3166</v>
      </c>
      <c r="B3227" s="1831">
        <f>'Acct Summary 7-8'!I20</f>
        <v>85568</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13200</v>
      </c>
      <c r="C3231" s="2" t="s">
        <v>569</v>
      </c>
      <c r="D3231" s="2" t="str">
        <f t="shared" si="49"/>
        <v>Error?</v>
      </c>
    </row>
    <row r="3232" spans="1:4" x14ac:dyDescent="0.2">
      <c r="A3232" s="5">
        <v>3171</v>
      </c>
      <c r="B3232" s="1831">
        <f>'Acct Summary 7-8'!C77</f>
        <v>-13200</v>
      </c>
      <c r="C3232" s="2" t="s">
        <v>569</v>
      </c>
      <c r="D3232" s="2" t="str">
        <f t="shared" si="49"/>
        <v>Error?</v>
      </c>
    </row>
    <row r="3233" spans="1:4" x14ac:dyDescent="0.2">
      <c r="A3233" s="5">
        <v>3172</v>
      </c>
      <c r="B3233" s="1831">
        <f>'Acct Summary 7-8'!C78</f>
        <v>-82122</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9992</v>
      </c>
      <c r="C3237" s="2" t="s">
        <v>569</v>
      </c>
      <c r="D3237" s="2" t="str">
        <f t="shared" si="49"/>
        <v>Error?</v>
      </c>
    </row>
    <row r="3238" spans="1:4" x14ac:dyDescent="0.2">
      <c r="A3238" s="5">
        <v>3177</v>
      </c>
      <c r="B3238" s="1831">
        <f>'Acct Summary 7-8'!D77</f>
        <v>-9992</v>
      </c>
      <c r="C3238" s="2" t="s">
        <v>569</v>
      </c>
      <c r="D3238" s="2" t="str">
        <f t="shared" si="49"/>
        <v>Error?</v>
      </c>
    </row>
    <row r="3239" spans="1:4" x14ac:dyDescent="0.2">
      <c r="A3239" s="5">
        <v>3178</v>
      </c>
      <c r="B3239" s="1831">
        <f>'Acct Summary 7-8'!D78</f>
        <v>-20761</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67538</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-86008</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223192</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223192</v>
      </c>
      <c r="C3277" s="2" t="s">
        <v>569</v>
      </c>
      <c r="D3277" s="2" t="str">
        <f t="shared" si="50"/>
        <v>Error?</v>
      </c>
    </row>
    <row r="3278" spans="1:4" x14ac:dyDescent="0.2">
      <c r="A3278" s="5">
        <v>3217</v>
      </c>
      <c r="B3278" s="1831">
        <f>'Acct Summary 7-8'!E78</f>
        <v>172605</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140000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140000</v>
      </c>
      <c r="C3299" s="2" t="s">
        <v>569</v>
      </c>
      <c r="D3299" s="2" t="str">
        <f t="shared" si="50"/>
        <v>Error?</v>
      </c>
    </row>
    <row r="3300" spans="1:4" x14ac:dyDescent="0.2">
      <c r="A3300" s="5">
        <v>3239</v>
      </c>
      <c r="B3300" s="1831">
        <f>'Acct Summary 7-8'!H78</f>
        <v>54828</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340000</v>
      </c>
      <c r="C3318" s="2" t="s">
        <v>569</v>
      </c>
      <c r="D3318" s="2" t="str">
        <f t="shared" si="50"/>
        <v>Error?</v>
      </c>
    </row>
    <row r="3319" spans="1:4" x14ac:dyDescent="0.2">
      <c r="A3319" s="5">
        <v>3258</v>
      </c>
      <c r="B3319" s="1831">
        <f>'Acct Summary 7-8'!I77</f>
        <v>-340000</v>
      </c>
      <c r="C3319" s="2" t="s">
        <v>569</v>
      </c>
      <c r="D3319" s="2" t="str">
        <f t="shared" si="50"/>
        <v>Error?</v>
      </c>
    </row>
    <row r="3320" spans="1:4" x14ac:dyDescent="0.2">
      <c r="A3320" s="5">
        <v>3259</v>
      </c>
      <c r="B3320" s="1831">
        <f>'Acct Summary 7-8'!I78</f>
        <v>-254432</v>
      </c>
      <c r="C3320" s="2" t="s">
        <v>569</v>
      </c>
      <c r="D3320" s="2" t="str">
        <f t="shared" si="50"/>
        <v>Error?</v>
      </c>
    </row>
    <row r="3321" spans="1:4" x14ac:dyDescent="0.2">
      <c r="A3321" s="5">
        <v>3260</v>
      </c>
      <c r="B3321" s="1831">
        <f>'Acct Summary 7-8'!I79</f>
        <v>1292632</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1038200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328663</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86439</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1227</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3247</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419576</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46665</v>
      </c>
      <c r="D3387" s="2" t="str">
        <f t="shared" si="51"/>
        <v>Error?</v>
      </c>
    </row>
    <row r="3388" spans="1:4" x14ac:dyDescent="0.2">
      <c r="A3388" s="5">
        <v>3327</v>
      </c>
      <c r="B3388" s="1831">
        <f>'Expenditures 15-22'!D217</f>
        <v>11855</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46665</v>
      </c>
      <c r="C3390" s="2" t="s">
        <v>569</v>
      </c>
      <c r="D3390" s="2" t="str">
        <f t="shared" si="51"/>
        <v>Error?</v>
      </c>
    </row>
    <row r="3391" spans="1:4" x14ac:dyDescent="0.2">
      <c r="A3391" s="5">
        <v>3330</v>
      </c>
      <c r="B3391" s="1831">
        <f>'Expenditures 15-22'!K217</f>
        <v>11855</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6573804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180620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254613</v>
      </c>
      <c r="D3417" s="2" t="str">
        <f t="shared" si="52"/>
        <v>Error?</v>
      </c>
    </row>
    <row r="3418" spans="1:4" x14ac:dyDescent="0.2">
      <c r="A3418" s="10">
        <v>3357</v>
      </c>
      <c r="B3418" s="1831"/>
      <c r="D3418" s="2" t="str">
        <f t="shared" si="52"/>
        <v>OK</v>
      </c>
    </row>
    <row r="3419" spans="1:4" x14ac:dyDescent="0.2">
      <c r="A3419" s="5">
        <v>3358</v>
      </c>
      <c r="B3419" s="1831">
        <f>'Assets-Liab 5-6'!F4</f>
        <v>223855</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993651</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86435</v>
      </c>
      <c r="D3425" s="2" t="str">
        <f t="shared" si="52"/>
        <v>Error?</v>
      </c>
    </row>
    <row r="3426" spans="1:4" x14ac:dyDescent="0.2">
      <c r="A3426" s="10">
        <v>3365</v>
      </c>
      <c r="B3426" s="1831"/>
      <c r="D3426" s="2" t="str">
        <f t="shared" si="52"/>
        <v>OK</v>
      </c>
    </row>
    <row r="3427" spans="1:4" x14ac:dyDescent="0.2">
      <c r="A3427" s="5">
        <v>3366</v>
      </c>
      <c r="B3427" s="1831">
        <f>'Assets-Liab 5-6'!I4</f>
        <v>996143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28547</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37279</v>
      </c>
      <c r="C3446" s="2" t="s">
        <v>569</v>
      </c>
      <c r="D3446" s="2" t="str">
        <f t="shared" si="52"/>
        <v>Error?</v>
      </c>
    </row>
    <row r="3447" spans="1:4" x14ac:dyDescent="0.2">
      <c r="A3447" s="5">
        <v>3386</v>
      </c>
      <c r="B3447" s="1831">
        <f>'Tax Sched 23'!D16</f>
        <v>10225</v>
      </c>
      <c r="C3447" s="2" t="s">
        <v>569</v>
      </c>
      <c r="D3447" s="2" t="str">
        <f t="shared" si="52"/>
        <v>Error?</v>
      </c>
    </row>
    <row r="3448" spans="1:4" x14ac:dyDescent="0.2">
      <c r="A3448" s="5">
        <v>3387</v>
      </c>
      <c r="B3448" s="1831">
        <f>'Tax Sched 23'!C16</f>
        <v>27054</v>
      </c>
      <c r="D3448" s="2" t="str">
        <f t="shared" si="52"/>
        <v>Error?</v>
      </c>
    </row>
    <row r="3449" spans="1:4" x14ac:dyDescent="0.2">
      <c r="A3449" s="5">
        <v>3388</v>
      </c>
      <c r="B3449" s="1831">
        <f>'Tax Sched 23'!F16</f>
        <v>24446</v>
      </c>
      <c r="C3449" s="2" t="s">
        <v>569</v>
      </c>
      <c r="D3449" s="2" t="str">
        <f t="shared" si="52"/>
        <v>Error?</v>
      </c>
    </row>
    <row r="3450" spans="1:4" x14ac:dyDescent="0.2">
      <c r="A3450" s="5">
        <v>3389</v>
      </c>
      <c r="B3450" s="1831">
        <f>'Tax Sched 23'!E16</f>
        <v>51500</v>
      </c>
      <c r="D3450" s="2" t="str">
        <f t="shared" si="52"/>
        <v>Error?</v>
      </c>
    </row>
    <row r="3451" spans="1:4" x14ac:dyDescent="0.2">
      <c r="A3451" s="5">
        <v>3390</v>
      </c>
      <c r="B3451" s="1831">
        <f>'Cap Outlay Deprec 26'!C15</f>
        <v>37529</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37529</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87279</v>
      </c>
      <c r="D3546" s="2" t="str">
        <f t="shared" si="54"/>
        <v>Error?</v>
      </c>
    </row>
    <row r="3547" spans="1:4" x14ac:dyDescent="0.2">
      <c r="A3547" s="10">
        <v>3486</v>
      </c>
      <c r="B3547" s="1831"/>
      <c r="D3547" s="2" t="str">
        <f t="shared" si="54"/>
        <v>OK</v>
      </c>
    </row>
    <row r="3548" spans="1:4" x14ac:dyDescent="0.2">
      <c r="A3548" s="5">
        <v>3487</v>
      </c>
      <c r="B3548" s="1831">
        <f>'Assets-Liab 5-6'!K6</f>
        <v>46209</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134883</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29177</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29177</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105706</v>
      </c>
      <c r="D3567" s="2" t="str">
        <f t="shared" si="54"/>
        <v>Error?</v>
      </c>
    </row>
    <row r="3568" spans="1:4" x14ac:dyDescent="0.2">
      <c r="A3568" s="5">
        <v>3507</v>
      </c>
      <c r="B3568" s="1831">
        <f>'Assets-Liab 5-6'!K41</f>
        <v>134883</v>
      </c>
      <c r="C3568" s="2" t="s">
        <v>569</v>
      </c>
      <c r="D3568" s="2" t="str">
        <f t="shared" si="54"/>
        <v>Error?</v>
      </c>
    </row>
    <row r="3569" spans="1:4" x14ac:dyDescent="0.2">
      <c r="A3569" s="5">
        <v>3508</v>
      </c>
      <c r="B3569" s="1831">
        <f>'Acct Summary 7-8'!K4</f>
        <v>72765</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72765</v>
      </c>
      <c r="C3571" s="2" t="s">
        <v>569</v>
      </c>
      <c r="D3571" s="2" t="str">
        <f t="shared" si="54"/>
        <v>Error?</v>
      </c>
    </row>
    <row r="3572" spans="1:4" x14ac:dyDescent="0.2">
      <c r="A3572" s="5">
        <v>3511</v>
      </c>
      <c r="B3572" s="1831">
        <f>'Acct Summary 7-8'!K13</f>
        <v>357873</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357873</v>
      </c>
      <c r="C3575" s="2" t="s">
        <v>569</v>
      </c>
      <c r="D3575" s="2" t="str">
        <f t="shared" si="54"/>
        <v>Error?</v>
      </c>
    </row>
    <row r="3576" spans="1:4" x14ac:dyDescent="0.2">
      <c r="A3576" s="5">
        <v>3515</v>
      </c>
      <c r="B3576" s="1831">
        <f>'Acct Summary 7-8'!K20</f>
        <v>-285108</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-285108</v>
      </c>
      <c r="C3588" s="2" t="s">
        <v>569</v>
      </c>
      <c r="D3588" s="2" t="str">
        <f t="shared" si="55"/>
        <v>Error?</v>
      </c>
    </row>
    <row r="3589" spans="1:4" x14ac:dyDescent="0.2">
      <c r="A3589" s="5">
        <v>3528</v>
      </c>
      <c r="B3589" s="1831">
        <f>'Acct Summary 7-8'!K79</f>
        <v>390814</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105706</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5029</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5029</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5029</v>
      </c>
      <c r="C3635" s="2" t="s">
        <v>569</v>
      </c>
      <c r="D3635" s="2" t="str">
        <f t="shared" si="55"/>
        <v>Error?</v>
      </c>
    </row>
    <row r="3636" spans="1:4" x14ac:dyDescent="0.2">
      <c r="A3636" s="5">
        <v>3575</v>
      </c>
      <c r="B3636" s="1831">
        <f>'Expenditures 15-22'!E367</f>
        <v>5029</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352844</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352844</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352844</v>
      </c>
      <c r="C3649" s="2" t="s">
        <v>569</v>
      </c>
      <c r="D3649" s="2" t="str">
        <f t="shared" si="56"/>
        <v>Error?</v>
      </c>
    </row>
    <row r="3650" spans="1:4" x14ac:dyDescent="0.2">
      <c r="A3650" s="5">
        <v>3589</v>
      </c>
      <c r="B3650" s="1831">
        <f>'Expenditures 15-22'!G367</f>
        <v>352844</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357873</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357873</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357873</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357873</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-285108</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325041</v>
      </c>
      <c r="C3725" s="2" t="s">
        <v>569</v>
      </c>
      <c r="D3725" s="2" t="str">
        <f t="shared" si="57"/>
        <v>Error?</v>
      </c>
    </row>
    <row r="3726" spans="1:4" x14ac:dyDescent="0.2">
      <c r="A3726" s="5">
        <v>3665</v>
      </c>
      <c r="B3726" s="1831">
        <f>'Tax Sched 23'!D13</f>
        <v>128108</v>
      </c>
      <c r="C3726" s="2" t="s">
        <v>569</v>
      </c>
      <c r="D3726" s="2" t="str">
        <f t="shared" si="57"/>
        <v>Error?</v>
      </c>
    </row>
    <row r="3727" spans="1:4" x14ac:dyDescent="0.2">
      <c r="A3727" s="5">
        <v>3666</v>
      </c>
      <c r="B3727" s="1831">
        <f>'Tax Sched 23'!C13</f>
        <v>196933</v>
      </c>
      <c r="D3727" s="2" t="str">
        <f t="shared" si="57"/>
        <v>Error?</v>
      </c>
    </row>
    <row r="3728" spans="1:4" x14ac:dyDescent="0.2">
      <c r="A3728" s="5">
        <v>3667</v>
      </c>
      <c r="B3728" s="1831">
        <f>'Tax Sched 23'!F13</f>
        <v>179017</v>
      </c>
      <c r="C3728" s="2" t="s">
        <v>569</v>
      </c>
      <c r="D3728" s="2" t="str">
        <f t="shared" si="57"/>
        <v>Error?</v>
      </c>
    </row>
    <row r="3729" spans="1:4" x14ac:dyDescent="0.2">
      <c r="A3729" s="5">
        <v>3668</v>
      </c>
      <c r="B3729" s="1831">
        <f>'Tax Sched 23'!E13</f>
        <v>375950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6646612</v>
      </c>
      <c r="C4122" s="2" t="s">
        <v>569</v>
      </c>
      <c r="D4122" s="2" t="str">
        <f t="shared" si="63"/>
        <v>Error?</v>
      </c>
    </row>
    <row r="4123" spans="1:4" x14ac:dyDescent="0.2">
      <c r="A4123" s="5">
        <v>4062</v>
      </c>
      <c r="B4123" s="1831">
        <f>'Acct Summary 7-8'!D10</f>
        <v>593696</v>
      </c>
      <c r="C4123" s="2" t="s">
        <v>569</v>
      </c>
      <c r="D4123" s="2" t="str">
        <f t="shared" si="63"/>
        <v>Error?</v>
      </c>
    </row>
    <row r="4124" spans="1:4" x14ac:dyDescent="0.2">
      <c r="A4124" s="5">
        <v>4063</v>
      </c>
      <c r="B4124" s="1831">
        <f>'Acct Summary 7-8'!E10</f>
        <v>389561</v>
      </c>
      <c r="C4124" s="2" t="s">
        <v>569</v>
      </c>
      <c r="D4124" s="2" t="str">
        <f t="shared" si="63"/>
        <v>Error?</v>
      </c>
    </row>
    <row r="4125" spans="1:4" x14ac:dyDescent="0.2">
      <c r="A4125" s="5">
        <v>4064</v>
      </c>
      <c r="B4125" s="1831">
        <f>'Acct Summary 7-8'!F10</f>
        <v>283657</v>
      </c>
      <c r="C4125" s="2" t="s">
        <v>569</v>
      </c>
      <c r="D4125" s="2" t="str">
        <f t="shared" si="63"/>
        <v>Error?</v>
      </c>
    </row>
    <row r="4126" spans="1:4" x14ac:dyDescent="0.2">
      <c r="A4126" s="5">
        <v>4065</v>
      </c>
      <c r="B4126" s="1831">
        <f>'Acct Summary 7-8'!G10</f>
        <v>105216</v>
      </c>
      <c r="C4126" s="2" t="s">
        <v>569</v>
      </c>
      <c r="D4126" s="2" t="str">
        <f t="shared" si="63"/>
        <v>Error?</v>
      </c>
    </row>
    <row r="4127" spans="1:4" x14ac:dyDescent="0.2">
      <c r="A4127" s="5">
        <v>4066</v>
      </c>
      <c r="B4127" s="1831">
        <f>'Acct Summary 7-8'!H10</f>
        <v>52111</v>
      </c>
      <c r="C4127" s="2" t="s">
        <v>569</v>
      </c>
      <c r="D4127" s="2" t="str">
        <f t="shared" si="63"/>
        <v>Error?</v>
      </c>
    </row>
    <row r="4128" spans="1:4" x14ac:dyDescent="0.2">
      <c r="A4128" s="5">
        <v>4067</v>
      </c>
      <c r="B4128" s="1831">
        <f>'Acct Summary 7-8'!I10</f>
        <v>85568</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72765</v>
      </c>
      <c r="C4130" s="2" t="s">
        <v>569</v>
      </c>
      <c r="D4130" s="2" t="str">
        <f t="shared" si="63"/>
        <v>Error?</v>
      </c>
    </row>
    <row r="4131" spans="1:4" x14ac:dyDescent="0.2">
      <c r="A4131" s="5">
        <v>4070</v>
      </c>
      <c r="B4131" s="1831">
        <f>'Acct Summary 7-8'!C18</f>
        <v>0</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6715534</v>
      </c>
      <c r="C4136" s="2" t="s">
        <v>569</v>
      </c>
      <c r="D4136" s="2" t="str">
        <f t="shared" si="63"/>
        <v>Error?</v>
      </c>
    </row>
    <row r="4137" spans="1:4" x14ac:dyDescent="0.2">
      <c r="A4137" s="5">
        <v>4076</v>
      </c>
      <c r="B4137" s="1831">
        <f>'Acct Summary 7-8'!D19</f>
        <v>604465</v>
      </c>
      <c r="C4137" s="2" t="s">
        <v>569</v>
      </c>
      <c r="D4137" s="2" t="str">
        <f t="shared" si="63"/>
        <v>Error?</v>
      </c>
    </row>
    <row r="4138" spans="1:4" x14ac:dyDescent="0.2">
      <c r="A4138" s="5">
        <v>4077</v>
      </c>
      <c r="B4138" s="1831">
        <f>'Acct Summary 7-8'!E19</f>
        <v>440148</v>
      </c>
      <c r="C4138" s="2" t="s">
        <v>569</v>
      </c>
      <c r="D4138" s="2" t="str">
        <f t="shared" si="63"/>
        <v>Error?</v>
      </c>
    </row>
    <row r="4139" spans="1:4" x14ac:dyDescent="0.2">
      <c r="A4139" s="5">
        <v>4078</v>
      </c>
      <c r="B4139" s="1831">
        <f>'Acct Summary 7-8'!F19</f>
        <v>216119</v>
      </c>
      <c r="C4139" s="2" t="s">
        <v>569</v>
      </c>
      <c r="D4139" s="2" t="str">
        <f t="shared" si="63"/>
        <v>Error?</v>
      </c>
    </row>
    <row r="4140" spans="1:4" x14ac:dyDescent="0.2">
      <c r="A4140" s="5">
        <v>4079</v>
      </c>
      <c r="B4140" s="1831">
        <f>'Acct Summary 7-8'!G19</f>
        <v>191224</v>
      </c>
      <c r="C4140" s="2" t="s">
        <v>569</v>
      </c>
      <c r="D4140" s="2" t="str">
        <f t="shared" si="63"/>
        <v>Error?</v>
      </c>
    </row>
    <row r="4141" spans="1:4" x14ac:dyDescent="0.2">
      <c r="A4141" s="5">
        <v>4080</v>
      </c>
      <c r="B4141" s="1831">
        <f>'Acct Summary 7-8'!H19</f>
        <v>137283</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357873</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1224794</v>
      </c>
      <c r="C4171" s="2" t="s">
        <v>569</v>
      </c>
      <c r="D4171" s="2" t="str">
        <f t="shared" si="64"/>
        <v>Error?</v>
      </c>
    </row>
    <row r="4172" spans="1:4" x14ac:dyDescent="0.2">
      <c r="A4172" s="5">
        <v>4111</v>
      </c>
      <c r="B4172" s="1831">
        <f>'Short-Term Long-Term Debt 24'!J49</f>
        <v>816223</v>
      </c>
      <c r="C4172" s="2" t="s">
        <v>569</v>
      </c>
      <c r="D4172" s="2" t="str">
        <f t="shared" si="64"/>
        <v>Error?</v>
      </c>
    </row>
    <row r="4173" spans="1:4" x14ac:dyDescent="0.2">
      <c r="A4173" s="5">
        <v>4112</v>
      </c>
      <c r="B4173" s="1831">
        <f>'Short-Term Long-Term Debt 24'!H49</f>
        <v>380147</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53942</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53942</v>
      </c>
      <c r="C4202" s="2" t="s">
        <v>569</v>
      </c>
      <c r="D4202" s="2" t="str">
        <f t="shared" si="64"/>
        <v>Error?</v>
      </c>
    </row>
    <row r="4203" spans="1:4" x14ac:dyDescent="0.2">
      <c r="A4203" s="5">
        <v>4142</v>
      </c>
      <c r="B4203" s="1831">
        <f>'Expenditures 15-22'!E139</f>
        <v>53942</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4957.2</v>
      </c>
      <c r="C4265" s="2" t="s">
        <v>569</v>
      </c>
      <c r="D4265" s="2" t="str">
        <f t="shared" si="65"/>
        <v>Error?</v>
      </c>
      <c r="E4265" s="124"/>
    </row>
    <row r="4266" spans="1:5" x14ac:dyDescent="0.2">
      <c r="A4266" s="12">
        <v>4205</v>
      </c>
      <c r="B4266" s="1831">
        <f>('FP Info 3'!F10)*100000</f>
        <v>546.79999999999995</v>
      </c>
      <c r="C4266" s="2" t="s">
        <v>569</v>
      </c>
      <c r="D4266" s="2" t="str">
        <f t="shared" si="65"/>
        <v>Error?</v>
      </c>
      <c r="E4266" s="124"/>
    </row>
    <row r="4267" spans="1:5" x14ac:dyDescent="0.2">
      <c r="A4267" s="12">
        <v>4206</v>
      </c>
      <c r="B4267" s="1831">
        <f>('FP Info 3'!H10)*100000</f>
        <v>115.3</v>
      </c>
      <c r="C4267" s="2" t="s">
        <v>569</v>
      </c>
      <c r="D4267" s="2" t="str">
        <f t="shared" si="65"/>
        <v>Error?</v>
      </c>
      <c r="E4267" s="124"/>
    </row>
    <row r="4268" spans="1:5" x14ac:dyDescent="0.2">
      <c r="A4268" s="12">
        <v>4207</v>
      </c>
      <c r="B4268" s="1831">
        <f>('FP Info 3'!J10)*100000</f>
        <v>5619</v>
      </c>
      <c r="C4268" s="2" t="s">
        <v>569</v>
      </c>
      <c r="D4268" s="2" t="str">
        <f t="shared" si="65"/>
        <v>Error?</v>
      </c>
    </row>
    <row r="4269" spans="1:5" x14ac:dyDescent="0.2">
      <c r="A4269" s="12">
        <v>4208</v>
      </c>
      <c r="B4269" s="1831">
        <f>'FP Info 3'!J16</f>
        <v>9803704</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17674</v>
      </c>
      <c r="D4331" s="2" t="str">
        <f t="shared" si="66"/>
        <v>Error?</v>
      </c>
    </row>
    <row r="4332" spans="1:4" x14ac:dyDescent="0.2">
      <c r="A4332" s="5">
        <v>4271</v>
      </c>
      <c r="B4332" s="1831">
        <f>'Revenues 9-14'!C203</f>
        <v>9700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77305</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14440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22397</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4"/>
    </row>
    <row r="4437" spans="1:5" x14ac:dyDescent="0.2">
      <c r="A4437" s="12">
        <v>4376</v>
      </c>
      <c r="B4437" s="1831">
        <f>('FP Info 3'!L10)*100000</f>
        <v>49.4</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101464917</v>
      </c>
      <c r="D4995" s="2" t="str">
        <f t="shared" si="77"/>
        <v>Error?</v>
      </c>
    </row>
    <row r="4996" spans="1:4" x14ac:dyDescent="0.2">
      <c r="A4996" s="12">
        <v>4935</v>
      </c>
      <c r="B4996" s="1831">
        <f>'FP Info 3'!H31</f>
        <v>7001079.273000001</v>
      </c>
      <c r="D4996" s="2" t="str">
        <f t="shared" si="77"/>
        <v>Error?</v>
      </c>
    </row>
    <row r="4997" spans="1:4" x14ac:dyDescent="0.2">
      <c r="A4997" s="12">
        <v>4936</v>
      </c>
      <c r="B4997" s="1831">
        <f>'FP Info 3'!H37</f>
        <v>1224794</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325041</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3755066</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4080107</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226581</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226581</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164134</v>
      </c>
      <c r="D5088" s="2" t="str">
        <f t="shared" si="78"/>
        <v>Error?</v>
      </c>
    </row>
    <row r="5089" spans="1:4" x14ac:dyDescent="0.2">
      <c r="A5089" s="5">
        <v>5028</v>
      </c>
      <c r="B5089" s="1831">
        <f>'Revenues 9-14'!C66</f>
        <v>23935</v>
      </c>
      <c r="D5089" s="2" t="str">
        <f t="shared" si="78"/>
        <v>Error?</v>
      </c>
    </row>
    <row r="5090" spans="1:4" x14ac:dyDescent="0.2">
      <c r="A5090" s="5">
        <v>5029</v>
      </c>
      <c r="B5090" s="1831">
        <f>'Revenues 9-14'!C67</f>
        <v>188069</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5608</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5608</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21813</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62163</v>
      </c>
      <c r="D5119" s="2" t="str">
        <f t="shared" ref="D5119:D5182" si="79">IF(ISBLANK(B5119),"OK",IF(A5119-B5119=0,"OK","Error?"))</f>
        <v>Error?</v>
      </c>
    </row>
    <row r="5120" spans="1:4" x14ac:dyDescent="0.2">
      <c r="A5120" s="5">
        <v>5059</v>
      </c>
      <c r="B5120" s="1831">
        <f>'Revenues 9-14'!C108</f>
        <v>83976</v>
      </c>
      <c r="C5120" s="2" t="s">
        <v>569</v>
      </c>
      <c r="D5120" s="2" t="str">
        <f t="shared" si="79"/>
        <v>Error?</v>
      </c>
    </row>
    <row r="5121" spans="1:4" x14ac:dyDescent="0.2">
      <c r="A5121" s="5">
        <v>5060</v>
      </c>
      <c r="B5121" s="1831">
        <f>'Revenues 9-14'!C109</f>
        <v>4584341</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1295170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1295170</v>
      </c>
      <c r="C5132" s="2" t="s">
        <v>569</v>
      </c>
      <c r="D5132" s="2" t="str">
        <f t="shared" si="79"/>
        <v>Error?</v>
      </c>
    </row>
    <row r="5133" spans="1:4" x14ac:dyDescent="0.2">
      <c r="A5133" s="5">
        <v>5072</v>
      </c>
      <c r="B5133" s="1831">
        <f>'Revenues 9-14'!C125</f>
        <v>12787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12787</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3269</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127686</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143742</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1438912</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156934</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51499</v>
      </c>
      <c r="D5241" s="2" t="str">
        <f t="shared" si="80"/>
        <v>Error?</v>
      </c>
    </row>
    <row r="5242" spans="1:4" x14ac:dyDescent="0.2">
      <c r="A5242" s="5">
        <v>5181</v>
      </c>
      <c r="B5242" s="1831">
        <f>'Revenues 9-14'!C194</f>
        <v>9280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258145</v>
      </c>
      <c r="C5246" s="2" t="s">
        <v>569</v>
      </c>
      <c r="D5246" s="2" t="str">
        <f t="shared" si="80"/>
        <v>Error?</v>
      </c>
    </row>
    <row r="5247" spans="1:4" x14ac:dyDescent="0.2">
      <c r="A5247" s="5">
        <v>5186</v>
      </c>
      <c r="B5247" s="1831">
        <f>'Revenues 9-14'!C200</f>
        <v>123217</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14440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132917</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4739</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113416</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118155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623359</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623359</v>
      </c>
      <c r="C5326" s="2" t="s">
        <v>569</v>
      </c>
      <c r="D5326" s="2" t="str">
        <f t="shared" si="82"/>
        <v>Error?</v>
      </c>
    </row>
    <row r="5327" spans="1:5" x14ac:dyDescent="0.2">
      <c r="A5327" s="5">
        <v>5266</v>
      </c>
      <c r="B5327" s="1831">
        <f>'Revenues 9-14'!C268</f>
        <v>6646612</v>
      </c>
      <c r="C5327" s="2" t="s">
        <v>569</v>
      </c>
      <c r="D5327" s="2" t="str">
        <f t="shared" si="82"/>
        <v>Error?</v>
      </c>
    </row>
    <row r="5328" spans="1:5" x14ac:dyDescent="0.2">
      <c r="A5328" s="5">
        <v>5267</v>
      </c>
      <c r="B5328" s="1831">
        <f>'Revenues 9-14'!D5</f>
        <v>481876</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481876</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3831</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3831</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10505</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10505</v>
      </c>
      <c r="C5355" s="2" t="s">
        <v>569</v>
      </c>
      <c r="D5355" s="2" t="str">
        <f t="shared" si="82"/>
        <v>Error?</v>
      </c>
    </row>
    <row r="5356" spans="1:4" x14ac:dyDescent="0.2">
      <c r="A5356" s="5">
        <v>5295</v>
      </c>
      <c r="B5356" s="1831">
        <f>'Revenues 9-14'!D109</f>
        <v>496212</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97484</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97484</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97484</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593696</v>
      </c>
      <c r="C5508" s="2" t="s">
        <v>569</v>
      </c>
      <c r="D5508" s="2" t="str">
        <f t="shared" si="85"/>
        <v>Error?</v>
      </c>
    </row>
    <row r="5509" spans="1:4" x14ac:dyDescent="0.2">
      <c r="A5509" s="5">
        <v>5448</v>
      </c>
      <c r="B5509" s="1831">
        <f>'Revenues 9-14'!E5</f>
        <v>384251</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384251</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5310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5310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389561</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389561</v>
      </c>
      <c r="C5552" s="2" t="s">
        <v>569</v>
      </c>
      <c r="D5552" s="2" t="str">
        <f t="shared" si="85"/>
        <v>Error?</v>
      </c>
    </row>
    <row r="5553" spans="1:4" x14ac:dyDescent="0.2">
      <c r="A5553" s="5">
        <v>5492</v>
      </c>
      <c r="B5553" s="1831">
        <f>'Revenues 9-14'!F5</f>
        <v>95038</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95038</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1255</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1255</v>
      </c>
      <c r="C5579" s="2" t="s">
        <v>569</v>
      </c>
      <c r="D5579" s="2" t="str">
        <f t="shared" si="86"/>
        <v>Error?</v>
      </c>
    </row>
    <row r="5580" spans="1:4" x14ac:dyDescent="0.2">
      <c r="A5580" s="5">
        <v>5519</v>
      </c>
      <c r="B5580" s="1831">
        <f>'Revenues 9-14'!F65</f>
        <v>4193</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4193</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100486</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7910</v>
      </c>
      <c r="D5615" s="2" t="str">
        <f t="shared" si="86"/>
        <v>Error?</v>
      </c>
    </row>
    <row r="5616" spans="1:4" x14ac:dyDescent="0.2">
      <c r="A5616" s="10">
        <v>5555</v>
      </c>
      <c r="B5616" s="1831"/>
      <c r="D5616" s="2" t="str">
        <f t="shared" si="86"/>
        <v>OK</v>
      </c>
    </row>
    <row r="5617" spans="1:5" x14ac:dyDescent="0.2">
      <c r="A5617" s="5">
        <v>5556</v>
      </c>
      <c r="B5617" s="1831">
        <f>'Revenues 9-14'!F153</f>
        <v>175261</v>
      </c>
      <c r="D5617" s="2" t="str">
        <f t="shared" si="86"/>
        <v>Error?</v>
      </c>
    </row>
    <row r="5618" spans="1:5" x14ac:dyDescent="0.2">
      <c r="A5618" s="5">
        <v>5557</v>
      </c>
      <c r="B5618" s="1831">
        <f>'Revenues 9-14'!F155</f>
        <v>183171</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183171</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183171</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283657</v>
      </c>
      <c r="C5720" s="2" t="s">
        <v>569</v>
      </c>
      <c r="D5720" s="2" t="str">
        <f t="shared" si="88"/>
        <v>Error?</v>
      </c>
    </row>
    <row r="5721" spans="1:4" x14ac:dyDescent="0.2">
      <c r="A5721" s="5">
        <v>5660</v>
      </c>
      <c r="B5721" s="1831">
        <f>'Revenues 9-14'!G5</f>
        <v>36476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37279</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73755</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4750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4750</v>
      </c>
      <c r="C5730" s="2" t="s">
        <v>569</v>
      </c>
      <c r="D5730" s="2" t="str">
        <f t="shared" si="88"/>
        <v>Error?</v>
      </c>
    </row>
    <row r="5731" spans="1:4" x14ac:dyDescent="0.2">
      <c r="A5731" s="5">
        <v>5670</v>
      </c>
      <c r="B5731" s="1831">
        <f>'Revenues 9-14'!G65</f>
        <v>26711</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26711</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105216</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2111</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2111</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50000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50000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52111</v>
      </c>
      <c r="C5915" s="2" t="s">
        <v>569</v>
      </c>
      <c r="D5915" s="2" t="str">
        <f t="shared" si="91"/>
        <v>Error?</v>
      </c>
    </row>
    <row r="5916" spans="1:4" x14ac:dyDescent="0.2">
      <c r="A5916" s="5">
        <v>5855</v>
      </c>
      <c r="B5916" s="1831">
        <f>'Revenues 9-14'!I5</f>
        <v>60044</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60044</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25524</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25524</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85568</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68813</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68813</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3952</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3952</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72765</v>
      </c>
      <c r="C6023" s="2" t="s">
        <v>569</v>
      </c>
      <c r="D6023" s="2" t="str">
        <f t="shared" si="93"/>
        <v>Error?</v>
      </c>
    </row>
    <row r="6024" spans="1:5" x14ac:dyDescent="0.2">
      <c r="A6024" s="5">
        <v>5963</v>
      </c>
      <c r="B6024" s="1831">
        <f>'Revenues 9-14'!G109</f>
        <v>105216</v>
      </c>
      <c r="C6024" s="2" t="s">
        <v>569</v>
      </c>
      <c r="D6024" s="2" t="str">
        <f t="shared" si="93"/>
        <v>Error?</v>
      </c>
    </row>
    <row r="6025" spans="1:5" x14ac:dyDescent="0.2">
      <c r="A6025" s="5">
        <v>5964</v>
      </c>
      <c r="B6025" s="1831">
        <f>'Revenues 9-14'!H109</f>
        <v>2111</v>
      </c>
      <c r="C6025" s="2" t="s">
        <v>569</v>
      </c>
      <c r="D6025" s="2" t="str">
        <f t="shared" si="93"/>
        <v>Error?</v>
      </c>
    </row>
    <row r="6026" spans="1:5" x14ac:dyDescent="0.2">
      <c r="A6026" s="5">
        <v>5965</v>
      </c>
      <c r="B6026" s="1831">
        <f>'Revenues 9-14'!I109</f>
        <v>85568</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72765</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3">
        <v>6006</v>
      </c>
      <c r="B6067" s="1832"/>
      <c r="D6067" s="2" t="str">
        <f t="shared" si="93"/>
        <v>OK</v>
      </c>
      <c r="E6067" s="2" t="s">
        <v>914</v>
      </c>
    </row>
    <row r="6068" spans="1:5" x14ac:dyDescent="0.2">
      <c r="A6068" s="123">
        <v>6007</v>
      </c>
      <c r="B6068" s="1832"/>
      <c r="D6068" s="2" t="str">
        <f t="shared" si="93"/>
        <v>OK</v>
      </c>
      <c r="E6068" s="2" t="s">
        <v>914</v>
      </c>
    </row>
    <row r="6069" spans="1:5" x14ac:dyDescent="0.2">
      <c r="A6069" s="123">
        <v>6008</v>
      </c>
      <c r="B6069" s="1832"/>
      <c r="D6069" s="2" t="str">
        <f t="shared" si="93"/>
        <v>OK</v>
      </c>
      <c r="E6069" s="2" t="s">
        <v>914</v>
      </c>
    </row>
    <row r="6070" spans="1:5" x14ac:dyDescent="0.2">
      <c r="A6070" s="123">
        <v>6009</v>
      </c>
      <c r="B6070" s="1832"/>
      <c r="D6070" s="2" t="str">
        <f t="shared" si="93"/>
        <v>OK</v>
      </c>
      <c r="E6070" s="2" t="s">
        <v>914</v>
      </c>
    </row>
    <row r="6071" spans="1:5" x14ac:dyDescent="0.2">
      <c r="A6071" s="123">
        <v>6010</v>
      </c>
      <c r="B6071" s="1832"/>
      <c r="D6071" s="2" t="str">
        <f t="shared" si="93"/>
        <v>OK</v>
      </c>
      <c r="E6071" s="2" t="s">
        <v>914</v>
      </c>
    </row>
    <row r="6072" spans="1:5" x14ac:dyDescent="0.2">
      <c r="A6072" s="123">
        <v>6011</v>
      </c>
      <c r="B6072" s="1832"/>
      <c r="D6072" s="2" t="str">
        <f t="shared" si="93"/>
        <v>OK</v>
      </c>
      <c r="E6072" s="2" t="s">
        <v>914</v>
      </c>
    </row>
    <row r="6073" spans="1:5" x14ac:dyDescent="0.2">
      <c r="A6073" s="123">
        <v>6012</v>
      </c>
      <c r="B6073" s="1832"/>
      <c r="C6073" s="2" t="s">
        <v>569</v>
      </c>
      <c r="D6073" s="2" t="str">
        <f t="shared" si="93"/>
        <v>OK</v>
      </c>
      <c r="E6073" s="2" t="s">
        <v>914</v>
      </c>
    </row>
    <row r="6074" spans="1:5" x14ac:dyDescent="0.2">
      <c r="A6074" s="8">
        <v>6013</v>
      </c>
      <c r="B6074" s="1832">
        <f>'PCTC-OEPP 27-28'!F79</f>
        <v>381</v>
      </c>
      <c r="D6074" s="2" t="str">
        <f t="shared" si="93"/>
        <v>Error?</v>
      </c>
      <c r="E6074" s="2" t="s">
        <v>924</v>
      </c>
    </row>
    <row r="6075" spans="1:5" x14ac:dyDescent="0.2">
      <c r="A6075" s="123">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9600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45656</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50000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40877</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7899</v>
      </c>
      <c r="D6103" s="2" t="str">
        <f t="shared" si="94"/>
        <v>Error?</v>
      </c>
      <c r="E6103" s="2" t="s">
        <v>189</v>
      </c>
    </row>
    <row r="6104" spans="1:5" x14ac:dyDescent="0.2">
      <c r="A6104">
        <v>6043</v>
      </c>
      <c r="B6104" s="1831">
        <f>'Assets-Liab 5-6'!H9</f>
        <v>769</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4069</v>
      </c>
      <c r="D6106" s="2" t="str">
        <f t="shared" si="94"/>
        <v>Error?</v>
      </c>
      <c r="E6106" s="2" t="s">
        <v>189</v>
      </c>
    </row>
    <row r="6107" spans="1:5" x14ac:dyDescent="0.2">
      <c r="A6107">
        <v>6046</v>
      </c>
      <c r="B6107" s="1831">
        <f>'Assets-Liab 5-6'!K9</f>
        <v>1395</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30591</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694694</v>
      </c>
      <c r="D6124" s="2" t="str">
        <f t="shared" si="94"/>
        <v>Error?</v>
      </c>
      <c r="E6124" s="2" t="s">
        <v>189</v>
      </c>
    </row>
    <row r="6125" spans="1:5" x14ac:dyDescent="0.2">
      <c r="A6125">
        <v>6064</v>
      </c>
      <c r="B6125" s="1831">
        <f>'Assets-Liab 5-6'!C25</f>
        <v>141150</v>
      </c>
      <c r="D6125" s="2" t="str">
        <f t="shared" si="94"/>
        <v>Error?</v>
      </c>
      <c r="E6125" s="2" t="s">
        <v>189</v>
      </c>
    </row>
    <row r="6126" spans="1:5" x14ac:dyDescent="0.2">
      <c r="A6126">
        <v>6065</v>
      </c>
      <c r="B6126" s="1831">
        <f>'Assets-Liab 5-6'!D25</f>
        <v>55796</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12993</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10139</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-9597</v>
      </c>
      <c r="D6142" s="2" t="str">
        <f t="shared" si="94"/>
        <v>Error?</v>
      </c>
      <c r="E6142" s="2" t="s">
        <v>189</v>
      </c>
    </row>
    <row r="6143" spans="1:5" x14ac:dyDescent="0.2">
      <c r="A6143">
        <v>6082</v>
      </c>
      <c r="B6143" s="1831">
        <f>'Assets-Liab 5-6'!D27</f>
        <v>226</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-348</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28362</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38501</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656193</v>
      </c>
      <c r="D6215" s="2" t="str">
        <f t="shared" si="96"/>
        <v>Error?</v>
      </c>
      <c r="E6215" s="2" t="s">
        <v>189</v>
      </c>
    </row>
    <row r="6216" spans="1:5" x14ac:dyDescent="0.2">
      <c r="A6216">
        <v>6155</v>
      </c>
      <c r="B6216" s="1831">
        <f>'Assets-Liab 5-6'!J41</f>
        <v>694694</v>
      </c>
      <c r="D6216" s="2" t="str">
        <f t="shared" si="96"/>
        <v>Error?</v>
      </c>
      <c r="E6216" s="2" t="s">
        <v>189</v>
      </c>
    </row>
    <row r="6217" spans="1:5" x14ac:dyDescent="0.2">
      <c r="A6217">
        <v>6156</v>
      </c>
      <c r="B6217" s="1831">
        <f>'Assets-Liab 5-6'!J4</f>
        <v>552980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107054</v>
      </c>
      <c r="D6219" s="2" t="str">
        <f t="shared" si="96"/>
        <v>Error?</v>
      </c>
      <c r="E6219" s="2" t="s">
        <v>189</v>
      </c>
    </row>
    <row r="6220" spans="1:5" x14ac:dyDescent="0.2">
      <c r="A6220">
        <v>6159</v>
      </c>
      <c r="B6220" s="1831">
        <f>'Acct Summary 7-8'!J4</f>
        <v>212570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212570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212570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234485</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234485</v>
      </c>
      <c r="D6229" s="2" t="str">
        <f t="shared" si="96"/>
        <v>Error?</v>
      </c>
      <c r="E6229" s="2" t="s">
        <v>189</v>
      </c>
    </row>
    <row r="6230" spans="1:5" x14ac:dyDescent="0.2">
      <c r="A6230">
        <v>6169</v>
      </c>
      <c r="B6230" s="1831">
        <f>'Acct Summary 7-8'!J20</f>
        <v>-21915</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-21915</v>
      </c>
      <c r="D6263" s="2" t="str">
        <f t="shared" si="96"/>
        <v>Error?</v>
      </c>
      <c r="E6263" s="2" t="s">
        <v>189</v>
      </c>
    </row>
    <row r="6264" spans="1:5" x14ac:dyDescent="0.2">
      <c r="A6264">
        <v>6203</v>
      </c>
      <c r="B6264" s="1831">
        <f>'Acct Summary 7-8'!J79</f>
        <v>678108</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656193</v>
      </c>
      <c r="D6266" s="2" t="str">
        <f t="shared" si="96"/>
        <v>Error?</v>
      </c>
      <c r="E6266" s="2" t="s">
        <v>189</v>
      </c>
    </row>
    <row r="6267" spans="1:5" x14ac:dyDescent="0.2">
      <c r="A6267">
        <v>6206</v>
      </c>
      <c r="B6267" s="1831">
        <f>'Acct Summary 7-8'!C82</f>
        <v>-82122</v>
      </c>
      <c r="D6267" s="2" t="str">
        <f t="shared" si="96"/>
        <v>Error?</v>
      </c>
      <c r="E6267" s="2" t="s">
        <v>189</v>
      </c>
    </row>
    <row r="6268" spans="1:5" x14ac:dyDescent="0.2">
      <c r="A6268">
        <v>6207</v>
      </c>
      <c r="B6268" s="1831">
        <f>'Acct Summary 7-8'!D82</f>
        <v>-20761</v>
      </c>
      <c r="D6268" s="2" t="str">
        <f t="shared" si="96"/>
        <v>Error?</v>
      </c>
      <c r="E6268" s="2" t="s">
        <v>189</v>
      </c>
    </row>
    <row r="6269" spans="1:5" x14ac:dyDescent="0.2">
      <c r="A6269">
        <v>6208</v>
      </c>
      <c r="B6269" s="1831">
        <f>'Acct Summary 7-8'!E82</f>
        <v>172605</v>
      </c>
      <c r="D6269" s="2" t="str">
        <f t="shared" si="96"/>
        <v>Error?</v>
      </c>
      <c r="E6269" s="2" t="s">
        <v>189</v>
      </c>
    </row>
    <row r="6270" spans="1:5" x14ac:dyDescent="0.2">
      <c r="A6270">
        <v>6209</v>
      </c>
      <c r="B6270" s="1831">
        <f>'Acct Summary 7-8'!F82</f>
        <v>67538</v>
      </c>
      <c r="D6270" s="2" t="str">
        <f t="shared" si="96"/>
        <v>Error?</v>
      </c>
      <c r="E6270" s="2" t="s">
        <v>189</v>
      </c>
    </row>
    <row r="6271" spans="1:5" x14ac:dyDescent="0.2">
      <c r="A6271">
        <v>6210</v>
      </c>
      <c r="B6271" s="1831">
        <f>'Acct Summary 7-8'!G82</f>
        <v>-86008</v>
      </c>
      <c r="D6271" s="2" t="str">
        <f t="shared" ref="D6271:D6334" si="97">IF(ISBLANK(B6271),"OK",IF(A6271-B6271=0,"OK","Error?"))</f>
        <v>Error?</v>
      </c>
      <c r="E6271" s="2" t="s">
        <v>189</v>
      </c>
    </row>
    <row r="6272" spans="1:5" x14ac:dyDescent="0.2">
      <c r="A6272">
        <v>6211</v>
      </c>
      <c r="B6272" s="1831">
        <f>'Acct Summary 7-8'!H82</f>
        <v>54828</v>
      </c>
      <c r="D6272" s="2" t="str">
        <f t="shared" si="97"/>
        <v>Error?</v>
      </c>
      <c r="E6272" s="2" t="s">
        <v>189</v>
      </c>
    </row>
    <row r="6273" spans="1:5" x14ac:dyDescent="0.2">
      <c r="A6273">
        <v>6212</v>
      </c>
      <c r="B6273" s="1831">
        <f>'Acct Summary 7-8'!I82</f>
        <v>-254432</v>
      </c>
      <c r="D6273" s="2" t="str">
        <f t="shared" si="97"/>
        <v>Error?</v>
      </c>
      <c r="E6273" s="2" t="s">
        <v>189</v>
      </c>
    </row>
    <row r="6274" spans="1:5" x14ac:dyDescent="0.2">
      <c r="A6274">
        <v>6213</v>
      </c>
      <c r="B6274" s="1831">
        <f>'Acct Summary 7-8'!J82</f>
        <v>-21915</v>
      </c>
      <c r="D6274" s="2" t="str">
        <f t="shared" si="97"/>
        <v>Error?</v>
      </c>
      <c r="E6274" s="2" t="s">
        <v>189</v>
      </c>
    </row>
    <row r="6275" spans="1:5" x14ac:dyDescent="0.2">
      <c r="A6275">
        <v>6214</v>
      </c>
      <c r="B6275" s="1831">
        <f>'Acct Summary 7-8'!K82</f>
        <v>-285108</v>
      </c>
      <c r="D6275" s="2" t="str">
        <f t="shared" si="97"/>
        <v>Error?</v>
      </c>
      <c r="E6275" s="2" t="s">
        <v>189</v>
      </c>
    </row>
    <row r="6276" spans="1:5" x14ac:dyDescent="0.2">
      <c r="A6276">
        <v>6215</v>
      </c>
      <c r="B6276" s="1831">
        <f>'Acct Summary 7-8'!C83</f>
        <v>-1.0074205289442337E-2</v>
      </c>
      <c r="D6276" s="2" t="str">
        <f t="shared" si="97"/>
        <v>Error?</v>
      </c>
      <c r="E6276" s="2" t="s">
        <v>189</v>
      </c>
    </row>
    <row r="6277" spans="1:5" x14ac:dyDescent="0.2">
      <c r="A6277">
        <v>6216</v>
      </c>
      <c r="B6277" s="1831">
        <f>'Acct Summary 7-8'!D83</f>
        <v>-6.5771174225024154E-2</v>
      </c>
      <c r="D6277" s="2" t="str">
        <f t="shared" si="97"/>
        <v>Error?</v>
      </c>
      <c r="E6277" s="2" t="s">
        <v>189</v>
      </c>
    </row>
    <row r="6278" spans="1:5" x14ac:dyDescent="0.2">
      <c r="A6278">
        <v>6217</v>
      </c>
      <c r="B6278" s="1831">
        <f>'Acct Summary 7-8'!E83</f>
        <v>0.42246023334989513</v>
      </c>
      <c r="D6278" s="2" t="str">
        <f t="shared" si="97"/>
        <v>Error?</v>
      </c>
      <c r="E6278" s="2" t="s">
        <v>189</v>
      </c>
    </row>
    <row r="6279" spans="1:5" x14ac:dyDescent="0.2">
      <c r="A6279">
        <v>6218</v>
      </c>
      <c r="B6279" s="1831">
        <f>'Acct Summary 7-8'!F83</f>
        <v>0.2265319196750509</v>
      </c>
      <c r="D6279" s="2" t="str">
        <f t="shared" si="97"/>
        <v>Error?</v>
      </c>
      <c r="E6279" s="2" t="s">
        <v>189</v>
      </c>
    </row>
    <row r="6280" spans="1:5" x14ac:dyDescent="0.2">
      <c r="A6280">
        <v>6219</v>
      </c>
      <c r="B6280" s="1831">
        <f>'Acct Summary 7-8'!G83</f>
        <v>-8.2918778006586605E-2</v>
      </c>
      <c r="D6280" s="2" t="str">
        <f t="shared" si="97"/>
        <v>Error?</v>
      </c>
      <c r="E6280" s="2" t="s">
        <v>189</v>
      </c>
    </row>
    <row r="6281" spans="1:5" x14ac:dyDescent="0.2">
      <c r="A6281">
        <v>6220</v>
      </c>
      <c r="B6281" s="1831">
        <f>'Acct Summary 7-8'!H83</f>
        <v>0.39960934083554417</v>
      </c>
      <c r="D6281" s="2" t="str">
        <f t="shared" si="97"/>
        <v>Error?</v>
      </c>
      <c r="E6281" s="2" t="s">
        <v>189</v>
      </c>
    </row>
    <row r="6282" spans="1:5" x14ac:dyDescent="0.2">
      <c r="A6282">
        <v>6221</v>
      </c>
      <c r="B6282" s="1831">
        <f>'Acct Summary 7-8'!I83</f>
        <v>-0.24507031400500867</v>
      </c>
      <c r="D6282" s="2" t="str">
        <f t="shared" si="97"/>
        <v>Error?</v>
      </c>
      <c r="E6282" s="2" t="s">
        <v>189</v>
      </c>
    </row>
    <row r="6283" spans="1:5" x14ac:dyDescent="0.2">
      <c r="A6283">
        <v>6222</v>
      </c>
      <c r="B6283" s="1831">
        <f>'Acct Summary 7-8'!J83</f>
        <v>-3.3397186498484437E-2</v>
      </c>
      <c r="D6283" s="2" t="str">
        <f t="shared" si="97"/>
        <v>Error?</v>
      </c>
      <c r="E6283" s="2" t="s">
        <v>189</v>
      </c>
    </row>
    <row r="6284" spans="1:5" x14ac:dyDescent="0.2">
      <c r="A6284">
        <v>6223</v>
      </c>
      <c r="B6284" s="1831">
        <f>'Acct Summary 7-8'!K83</f>
        <v>-2.6971789680812819</v>
      </c>
      <c r="D6284" s="2" t="str">
        <f t="shared" si="97"/>
        <v>Error?</v>
      </c>
      <c r="E6284" s="2" t="s">
        <v>189</v>
      </c>
    </row>
    <row r="6285" spans="1:5" x14ac:dyDescent="0.2">
      <c r="A6285">
        <v>6224</v>
      </c>
      <c r="B6285" s="1831">
        <f>'Acct Summary 7-8'!E37</f>
        <v>20147</v>
      </c>
      <c r="D6285" s="2" t="str">
        <f t="shared" si="97"/>
        <v>Error?</v>
      </c>
      <c r="E6285" s="2" t="s">
        <v>189</v>
      </c>
    </row>
    <row r="6286" spans="1:5" x14ac:dyDescent="0.2">
      <c r="A6286">
        <v>6225</v>
      </c>
      <c r="B6286" s="1831">
        <f>'Acct Summary 7-8'!E38</f>
        <v>3045</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198299</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198299</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14271</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14271</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212570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1898</v>
      </c>
    </row>
    <row r="6383" spans="1:6" x14ac:dyDescent="0.2">
      <c r="A6383" s="125">
        <v>6322</v>
      </c>
      <c r="B6383" s="1831"/>
      <c r="D6383" s="2" t="str">
        <f t="shared" si="98"/>
        <v>OK</v>
      </c>
      <c r="E6383" s="2" t="s">
        <v>189</v>
      </c>
      <c r="F6383" s="1" t="s">
        <v>1898</v>
      </c>
    </row>
    <row r="6384" spans="1:6" x14ac:dyDescent="0.2">
      <c r="A6384" s="125">
        <v>6323</v>
      </c>
      <c r="B6384" s="1831"/>
      <c r="D6384" s="2" t="str">
        <f t="shared" si="98"/>
        <v>OK</v>
      </c>
      <c r="E6384" s="2" t="s">
        <v>189</v>
      </c>
      <c r="F6384" s="1" t="s">
        <v>1898</v>
      </c>
    </row>
    <row r="6385" spans="1:6" x14ac:dyDescent="0.2">
      <c r="A6385" s="125">
        <v>6324</v>
      </c>
      <c r="B6385" s="1831"/>
      <c r="D6385" s="2" t="str">
        <f t="shared" si="98"/>
        <v>OK</v>
      </c>
      <c r="E6385" s="2" t="s">
        <v>189</v>
      </c>
      <c r="F6385" s="1" t="s">
        <v>1898</v>
      </c>
    </row>
    <row r="6386" spans="1:6" x14ac:dyDescent="0.2">
      <c r="A6386" s="125">
        <v>6325</v>
      </c>
      <c r="B6386" s="1831"/>
      <c r="D6386" s="2" t="str">
        <f t="shared" si="98"/>
        <v>OK</v>
      </c>
      <c r="E6386" s="2" t="s">
        <v>189</v>
      </c>
      <c r="F6386" s="1" t="s">
        <v>1898</v>
      </c>
    </row>
    <row r="6387" spans="1:6" x14ac:dyDescent="0.2">
      <c r="A6387" s="125">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1898</v>
      </c>
    </row>
    <row r="6411" spans="1:6" x14ac:dyDescent="0.2">
      <c r="A6411" s="125">
        <v>6350</v>
      </c>
      <c r="B6411" s="1831"/>
      <c r="D6411" s="2" t="str">
        <f t="shared" si="99"/>
        <v>OK</v>
      </c>
      <c r="E6411" s="2" t="s">
        <v>189</v>
      </c>
      <c r="F6411" s="1" t="s">
        <v>1898</v>
      </c>
    </row>
    <row r="6412" spans="1:6" x14ac:dyDescent="0.2">
      <c r="A6412" s="125">
        <v>6351</v>
      </c>
      <c r="B6412" s="1831"/>
      <c r="D6412" s="2" t="str">
        <f t="shared" si="99"/>
        <v>OK</v>
      </c>
      <c r="E6412" s="2" t="s">
        <v>189</v>
      </c>
      <c r="F6412" s="1" t="s">
        <v>1898</v>
      </c>
    </row>
    <row r="6413" spans="1:6" x14ac:dyDescent="0.2">
      <c r="A6413" s="125">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1994</v>
      </c>
    </row>
    <row r="6417" spans="1:5" x14ac:dyDescent="0.2">
      <c r="A6417" s="125">
        <v>6356</v>
      </c>
      <c r="B6417" s="1831"/>
      <c r="D6417" s="2" t="str">
        <f t="shared" si="99"/>
        <v>OK</v>
      </c>
      <c r="E6417" s="4" t="s">
        <v>1994</v>
      </c>
    </row>
    <row r="6418" spans="1:5" x14ac:dyDescent="0.2">
      <c r="A6418" s="125">
        <v>6357</v>
      </c>
      <c r="B6418" s="1831"/>
      <c r="D6418" s="2" t="str">
        <f t="shared" si="99"/>
        <v>OK</v>
      </c>
      <c r="E6418" s="4" t="s">
        <v>1994</v>
      </c>
    </row>
    <row r="6419" spans="1:5" x14ac:dyDescent="0.2">
      <c r="A6419" s="125">
        <v>6358</v>
      </c>
      <c r="B6419" s="1831"/>
      <c r="D6419" s="2" t="str">
        <f t="shared" si="99"/>
        <v>OK</v>
      </c>
      <c r="E6419" s="4" t="s">
        <v>1994</v>
      </c>
    </row>
    <row r="6420" spans="1:5" x14ac:dyDescent="0.2">
      <c r="A6420" s="125">
        <v>6359</v>
      </c>
      <c r="B6420" s="1831"/>
      <c r="D6420" s="2" t="str">
        <f t="shared" si="99"/>
        <v>OK</v>
      </c>
      <c r="E6420" s="4" t="s">
        <v>1994</v>
      </c>
    </row>
    <row r="6421" spans="1:5" x14ac:dyDescent="0.2">
      <c r="A6421" s="125">
        <v>6360</v>
      </c>
      <c r="B6421" s="1831"/>
      <c r="D6421" s="2" t="str">
        <f t="shared" si="99"/>
        <v>OK</v>
      </c>
      <c r="E6421" s="4" t="s">
        <v>1994</v>
      </c>
    </row>
    <row r="6422" spans="1:5" x14ac:dyDescent="0.2">
      <c r="A6422" s="125">
        <v>6361</v>
      </c>
      <c r="B6422" s="1831"/>
      <c r="D6422" s="2" t="str">
        <f t="shared" si="99"/>
        <v>OK</v>
      </c>
      <c r="E6422" s="4" t="s">
        <v>1994</v>
      </c>
    </row>
    <row r="6423" spans="1:5" x14ac:dyDescent="0.2">
      <c r="A6423" s="125">
        <v>6362</v>
      </c>
      <c r="B6423" s="1831"/>
      <c r="D6423" s="2" t="str">
        <f t="shared" si="99"/>
        <v>OK</v>
      </c>
      <c r="E6423" s="4" t="s">
        <v>1994</v>
      </c>
    </row>
    <row r="6424" spans="1:5" x14ac:dyDescent="0.2">
      <c r="A6424" s="125">
        <v>6363</v>
      </c>
      <c r="B6424" s="1831"/>
      <c r="D6424" s="2" t="str">
        <f t="shared" si="99"/>
        <v>OK</v>
      </c>
      <c r="E6424" s="4" t="s">
        <v>1994</v>
      </c>
    </row>
    <row r="6425" spans="1:5" x14ac:dyDescent="0.2">
      <c r="A6425" s="125">
        <v>6364</v>
      </c>
      <c r="B6425" s="1831"/>
      <c r="D6425" s="2" t="str">
        <f t="shared" si="99"/>
        <v>OK</v>
      </c>
      <c r="E6425" s="4" t="s">
        <v>1994</v>
      </c>
    </row>
    <row r="6426" spans="1:5" x14ac:dyDescent="0.2">
      <c r="A6426" s="125">
        <v>6365</v>
      </c>
      <c r="B6426" s="1831"/>
      <c r="D6426" s="2" t="str">
        <f t="shared" si="99"/>
        <v>OK</v>
      </c>
      <c r="E6426" s="4" t="s">
        <v>1994</v>
      </c>
    </row>
    <row r="6427" spans="1:5" x14ac:dyDescent="0.2">
      <c r="A6427" s="125">
        <v>6366</v>
      </c>
      <c r="B6427" s="1831"/>
      <c r="D6427" s="2" t="str">
        <f t="shared" si="99"/>
        <v>OK</v>
      </c>
      <c r="E6427" s="4" t="s">
        <v>1994</v>
      </c>
    </row>
    <row r="6428" spans="1:5" x14ac:dyDescent="0.2">
      <c r="A6428" s="125">
        <v>6367</v>
      </c>
      <c r="B6428" s="1831"/>
      <c r="D6428" s="2" t="str">
        <f t="shared" si="99"/>
        <v>OK</v>
      </c>
      <c r="E6428" s="4" t="s">
        <v>1994</v>
      </c>
    </row>
    <row r="6429" spans="1:5" x14ac:dyDescent="0.2">
      <c r="A6429" s="125">
        <v>6368</v>
      </c>
      <c r="B6429" s="1831"/>
      <c r="D6429" s="2" t="str">
        <f t="shared" si="99"/>
        <v>OK</v>
      </c>
      <c r="E6429" s="4" t="s">
        <v>1994</v>
      </c>
    </row>
    <row r="6430" spans="1:5" x14ac:dyDescent="0.2">
      <c r="A6430" s="125">
        <v>6369</v>
      </c>
      <c r="B6430" s="1831"/>
      <c r="D6430" s="2" t="str">
        <f t="shared" si="99"/>
        <v>OK</v>
      </c>
      <c r="E6430" s="4" t="s">
        <v>1994</v>
      </c>
    </row>
    <row r="6431" spans="1:5" x14ac:dyDescent="0.2">
      <c r="A6431" s="125">
        <v>6370</v>
      </c>
      <c r="B6431" s="1831"/>
      <c r="D6431" s="2" t="str">
        <f t="shared" si="99"/>
        <v>OK</v>
      </c>
      <c r="E6431" s="4" t="s">
        <v>1994</v>
      </c>
    </row>
    <row r="6432" spans="1:5" x14ac:dyDescent="0.2">
      <c r="A6432" s="125">
        <v>6371</v>
      </c>
      <c r="B6432" s="1831"/>
      <c r="D6432" s="2" t="str">
        <f t="shared" si="99"/>
        <v>OK</v>
      </c>
      <c r="E6432" s="4" t="s">
        <v>1994</v>
      </c>
    </row>
    <row r="6433" spans="1:5" x14ac:dyDescent="0.2">
      <c r="A6433" s="125">
        <v>6372</v>
      </c>
      <c r="B6433" s="1831"/>
      <c r="D6433" s="2" t="str">
        <f t="shared" si="99"/>
        <v>OK</v>
      </c>
      <c r="E6433" s="4" t="s">
        <v>1994</v>
      </c>
    </row>
    <row r="6434" spans="1:5" x14ac:dyDescent="0.2">
      <c r="A6434" s="125">
        <v>6373</v>
      </c>
      <c r="B6434" s="1831"/>
      <c r="D6434" s="2" t="str">
        <f t="shared" si="99"/>
        <v>OK</v>
      </c>
      <c r="E6434" s="4" t="s">
        <v>1994</v>
      </c>
    </row>
    <row r="6435" spans="1:5" x14ac:dyDescent="0.2">
      <c r="A6435" s="125">
        <v>6374</v>
      </c>
      <c r="B6435" s="1831"/>
      <c r="D6435" s="2" t="str">
        <f t="shared" si="99"/>
        <v>OK</v>
      </c>
      <c r="E6435" s="4" t="s">
        <v>1994</v>
      </c>
    </row>
    <row r="6436" spans="1:5" x14ac:dyDescent="0.2">
      <c r="A6436" s="125">
        <v>6375</v>
      </c>
      <c r="B6436" s="1831"/>
      <c r="D6436" s="2" t="str">
        <f t="shared" si="99"/>
        <v>OK</v>
      </c>
      <c r="E6436" s="4" t="s">
        <v>1994</v>
      </c>
    </row>
    <row r="6437" spans="1:5" x14ac:dyDescent="0.2">
      <c r="A6437" s="125">
        <v>6376</v>
      </c>
      <c r="B6437" s="1831"/>
      <c r="D6437" s="2" t="str">
        <f t="shared" si="99"/>
        <v>OK</v>
      </c>
      <c r="E6437" s="4" t="s">
        <v>1994</v>
      </c>
    </row>
    <row r="6438" spans="1:5" x14ac:dyDescent="0.2">
      <c r="A6438" s="125">
        <v>6377</v>
      </c>
      <c r="B6438" s="1831"/>
      <c r="D6438" s="2" t="str">
        <f t="shared" si="99"/>
        <v>OK</v>
      </c>
      <c r="E6438" s="4" t="s">
        <v>1994</v>
      </c>
    </row>
    <row r="6439" spans="1:5" x14ac:dyDescent="0.2">
      <c r="A6439" s="125">
        <v>6378</v>
      </c>
      <c r="B6439" s="1831"/>
      <c r="D6439" s="2" t="str">
        <f t="shared" si="99"/>
        <v>OK</v>
      </c>
      <c r="E6439" s="4" t="s">
        <v>1994</v>
      </c>
    </row>
    <row r="6440" spans="1:5" x14ac:dyDescent="0.2">
      <c r="A6440" s="125">
        <v>6379</v>
      </c>
      <c r="B6440" s="1831"/>
      <c r="D6440" s="2" t="str">
        <f t="shared" si="99"/>
        <v>OK</v>
      </c>
      <c r="E6440" s="4" t="s">
        <v>1994</v>
      </c>
    </row>
    <row r="6441" spans="1:5" x14ac:dyDescent="0.2">
      <c r="A6441" s="125">
        <v>6380</v>
      </c>
      <c r="B6441" s="1831"/>
      <c r="D6441" s="2" t="str">
        <f t="shared" si="99"/>
        <v>OK</v>
      </c>
      <c r="E6441" s="4" t="s">
        <v>1994</v>
      </c>
    </row>
    <row r="6442" spans="1:5" x14ac:dyDescent="0.2">
      <c r="A6442" s="125">
        <v>6381</v>
      </c>
      <c r="B6442" s="1831"/>
      <c r="D6442" s="2" t="str">
        <f t="shared" si="99"/>
        <v>OK</v>
      </c>
      <c r="E6442" s="4" t="s">
        <v>1994</v>
      </c>
    </row>
    <row r="6443" spans="1:5" x14ac:dyDescent="0.2">
      <c r="A6443" s="125">
        <v>6382</v>
      </c>
      <c r="B6443" s="1831"/>
      <c r="D6443" s="2" t="str">
        <f t="shared" si="99"/>
        <v>OK</v>
      </c>
      <c r="E6443" s="4" t="s">
        <v>1994</v>
      </c>
    </row>
    <row r="6444" spans="1:5" x14ac:dyDescent="0.2">
      <c r="A6444" s="125">
        <v>6383</v>
      </c>
      <c r="B6444" s="1831"/>
      <c r="D6444" s="2" t="str">
        <f t="shared" si="99"/>
        <v>OK</v>
      </c>
      <c r="E6444" s="4" t="s">
        <v>1994</v>
      </c>
    </row>
    <row r="6445" spans="1:5" x14ac:dyDescent="0.2">
      <c r="A6445" s="125">
        <v>6384</v>
      </c>
      <c r="B6445" s="1831"/>
      <c r="D6445" s="2" t="str">
        <f t="shared" si="99"/>
        <v>OK</v>
      </c>
      <c r="E6445" s="4" t="s">
        <v>1994</v>
      </c>
    </row>
    <row r="6446" spans="1:5" x14ac:dyDescent="0.2">
      <c r="A6446" s="125">
        <v>6385</v>
      </c>
      <c r="B6446" s="1831"/>
      <c r="D6446" s="2" t="str">
        <f t="shared" si="99"/>
        <v>OK</v>
      </c>
      <c r="E6446" s="4" t="s">
        <v>1994</v>
      </c>
    </row>
    <row r="6447" spans="1:5" x14ac:dyDescent="0.2">
      <c r="A6447" s="125">
        <v>6386</v>
      </c>
      <c r="B6447" s="1831"/>
      <c r="D6447" s="2" t="str">
        <f t="shared" si="99"/>
        <v>OK</v>
      </c>
      <c r="E6447" s="4" t="s">
        <v>1994</v>
      </c>
    </row>
    <row r="6448" spans="1:5" x14ac:dyDescent="0.2">
      <c r="A6448" s="125">
        <v>6387</v>
      </c>
      <c r="B6448" s="1831"/>
      <c r="D6448" s="2" t="str">
        <f t="shared" si="99"/>
        <v>OK</v>
      </c>
      <c r="E6448" s="4" t="s">
        <v>1994</v>
      </c>
    </row>
    <row r="6449" spans="1:5" x14ac:dyDescent="0.2">
      <c r="A6449" s="125">
        <v>6388</v>
      </c>
      <c r="B6449" s="1831"/>
      <c r="D6449" s="2" t="str">
        <f t="shared" si="99"/>
        <v>OK</v>
      </c>
      <c r="E6449" s="4" t="s">
        <v>1994</v>
      </c>
    </row>
    <row r="6450" spans="1:5" x14ac:dyDescent="0.2">
      <c r="A6450" s="125">
        <v>6389</v>
      </c>
      <c r="B6450" s="1831"/>
      <c r="D6450" s="2" t="str">
        <f t="shared" si="99"/>
        <v>OK</v>
      </c>
      <c r="E6450" s="4" t="s">
        <v>1994</v>
      </c>
    </row>
    <row r="6451" spans="1:5" x14ac:dyDescent="0.2">
      <c r="A6451" s="125">
        <v>6390</v>
      </c>
      <c r="B6451" s="1831"/>
      <c r="D6451" s="2" t="str">
        <f t="shared" si="99"/>
        <v>OK</v>
      </c>
      <c r="E6451" s="4" t="s">
        <v>1994</v>
      </c>
    </row>
    <row r="6452" spans="1:5" x14ac:dyDescent="0.2">
      <c r="A6452" s="125">
        <v>6391</v>
      </c>
      <c r="B6452" s="1831"/>
      <c r="D6452" s="2" t="str">
        <f t="shared" si="99"/>
        <v>OK</v>
      </c>
      <c r="E6452" s="4" t="s">
        <v>1994</v>
      </c>
    </row>
    <row r="6453" spans="1:5" x14ac:dyDescent="0.2">
      <c r="A6453" s="125">
        <v>6392</v>
      </c>
      <c r="B6453" s="1831"/>
      <c r="D6453" s="2" t="str">
        <f t="shared" si="99"/>
        <v>OK</v>
      </c>
      <c r="E6453" s="4" t="s">
        <v>1994</v>
      </c>
    </row>
    <row r="6454" spans="1:5" x14ac:dyDescent="0.2">
      <c r="A6454" s="125">
        <v>6393</v>
      </c>
      <c r="B6454" s="1831"/>
      <c r="D6454" s="2" t="str">
        <f t="shared" si="99"/>
        <v>OK</v>
      </c>
      <c r="E6454" s="4" t="s">
        <v>1994</v>
      </c>
    </row>
    <row r="6455" spans="1:5" x14ac:dyDescent="0.2">
      <c r="A6455" s="125">
        <v>6394</v>
      </c>
      <c r="B6455" s="1831"/>
      <c r="D6455" s="2" t="str">
        <f t="shared" si="99"/>
        <v>OK</v>
      </c>
      <c r="E6455" s="4" t="s">
        <v>1994</v>
      </c>
    </row>
    <row r="6456" spans="1:5" x14ac:dyDescent="0.2">
      <c r="A6456" s="125">
        <v>6395</v>
      </c>
      <c r="B6456" s="1831"/>
      <c r="D6456" s="2" t="str">
        <f t="shared" si="99"/>
        <v>OK</v>
      </c>
      <c r="E6456" s="4" t="s">
        <v>1994</v>
      </c>
    </row>
    <row r="6457" spans="1:5" x14ac:dyDescent="0.2">
      <c r="A6457" s="125">
        <v>6396</v>
      </c>
      <c r="B6457" s="1831"/>
      <c r="D6457" s="2" t="str">
        <f t="shared" si="99"/>
        <v>OK</v>
      </c>
      <c r="E6457" s="4" t="s">
        <v>1994</v>
      </c>
    </row>
    <row r="6458" spans="1:5" x14ac:dyDescent="0.2">
      <c r="A6458" s="125">
        <v>6397</v>
      </c>
      <c r="B6458" s="1831"/>
      <c r="D6458" s="2" t="str">
        <f t="shared" si="99"/>
        <v>OK</v>
      </c>
      <c r="E6458" s="4" t="s">
        <v>1994</v>
      </c>
    </row>
    <row r="6459" spans="1:5" x14ac:dyDescent="0.2">
      <c r="A6459" s="125">
        <v>6398</v>
      </c>
      <c r="B6459" s="1831"/>
      <c r="D6459" s="2" t="str">
        <f t="shared" si="99"/>
        <v>OK</v>
      </c>
      <c r="E6459" s="4" t="s">
        <v>1994</v>
      </c>
    </row>
    <row r="6460" spans="1:5" x14ac:dyDescent="0.2">
      <c r="A6460" s="125">
        <v>6399</v>
      </c>
      <c r="B6460" s="1831"/>
      <c r="D6460" s="2" t="str">
        <f t="shared" si="99"/>
        <v>OK</v>
      </c>
      <c r="E6460" s="4" t="s">
        <v>1994</v>
      </c>
    </row>
    <row r="6461" spans="1:5" x14ac:dyDescent="0.2">
      <c r="A6461" s="125">
        <v>6400</v>
      </c>
      <c r="B6461" s="1831"/>
      <c r="D6461" s="2" t="str">
        <f t="shared" si="99"/>
        <v>OK</v>
      </c>
      <c r="E6461" s="4" t="s">
        <v>1994</v>
      </c>
    </row>
    <row r="6462" spans="1:5" x14ac:dyDescent="0.2">
      <c r="A6462" s="125">
        <v>6401</v>
      </c>
      <c r="B6462" s="1831"/>
      <c r="D6462" s="2" t="str">
        <f t="shared" si="99"/>
        <v>OK</v>
      </c>
      <c r="E6462" s="4" t="s">
        <v>1994</v>
      </c>
    </row>
    <row r="6463" spans="1:5" x14ac:dyDescent="0.2">
      <c r="A6463" s="125">
        <v>6402</v>
      </c>
      <c r="B6463" s="1831"/>
      <c r="D6463" s="2" t="str">
        <f t="shared" ref="D6463:D6526" si="100">IF(ISBLANK(B6463),"OK",IF(A6463-B6463=0,"OK","Error?"))</f>
        <v>OK</v>
      </c>
      <c r="E6463" s="4" t="s">
        <v>1994</v>
      </c>
    </row>
    <row r="6464" spans="1:5" x14ac:dyDescent="0.2">
      <c r="A6464" s="125">
        <v>6403</v>
      </c>
      <c r="B6464" s="1831"/>
      <c r="D6464" s="2" t="str">
        <f t="shared" si="100"/>
        <v>OK</v>
      </c>
      <c r="E6464" s="4" t="s">
        <v>1994</v>
      </c>
    </row>
    <row r="6465" spans="1:5" x14ac:dyDescent="0.2">
      <c r="A6465" s="125">
        <v>6404</v>
      </c>
      <c r="B6465" s="1831"/>
      <c r="D6465" s="2" t="str">
        <f t="shared" si="100"/>
        <v>OK</v>
      </c>
      <c r="E6465" s="4" t="s">
        <v>1994</v>
      </c>
    </row>
    <row r="6466" spans="1:5" x14ac:dyDescent="0.2">
      <c r="A6466" s="125">
        <v>6405</v>
      </c>
      <c r="B6466" s="1831"/>
      <c r="D6466" s="2" t="str">
        <f t="shared" si="100"/>
        <v>OK</v>
      </c>
      <c r="E6466" s="4" t="s">
        <v>1994</v>
      </c>
    </row>
    <row r="6467" spans="1:5" x14ac:dyDescent="0.2">
      <c r="A6467" s="125">
        <v>6406</v>
      </c>
      <c r="B6467" s="1831"/>
      <c r="D6467" s="2" t="str">
        <f t="shared" si="100"/>
        <v>OK</v>
      </c>
      <c r="E6467" s="4" t="s">
        <v>1994</v>
      </c>
    </row>
    <row r="6468" spans="1:5" x14ac:dyDescent="0.2">
      <c r="A6468" s="125">
        <v>6407</v>
      </c>
      <c r="B6468" s="1831"/>
      <c r="D6468" s="2" t="str">
        <f t="shared" si="100"/>
        <v>OK</v>
      </c>
      <c r="E6468" s="4" t="s">
        <v>1994</v>
      </c>
    </row>
    <row r="6469" spans="1:5" x14ac:dyDescent="0.2">
      <c r="A6469" s="125">
        <v>6408</v>
      </c>
      <c r="B6469" s="1831"/>
      <c r="D6469" s="2" t="str">
        <f t="shared" si="100"/>
        <v>OK</v>
      </c>
      <c r="E6469" s="4" t="s">
        <v>1994</v>
      </c>
    </row>
    <row r="6470" spans="1:5" x14ac:dyDescent="0.2">
      <c r="A6470" s="125">
        <v>6409</v>
      </c>
      <c r="B6470" s="1831"/>
      <c r="D6470" s="2" t="str">
        <f t="shared" si="100"/>
        <v>OK</v>
      </c>
      <c r="E6470" s="4" t="s">
        <v>1994</v>
      </c>
    </row>
    <row r="6471" spans="1:5" x14ac:dyDescent="0.2">
      <c r="A6471" s="125">
        <v>6410</v>
      </c>
      <c r="B6471" s="1831"/>
      <c r="D6471" s="2" t="str">
        <f t="shared" si="100"/>
        <v>OK</v>
      </c>
      <c r="E6471" s="4" t="s">
        <v>1994</v>
      </c>
    </row>
    <row r="6472" spans="1:5" x14ac:dyDescent="0.2">
      <c r="A6472" s="125">
        <v>6411</v>
      </c>
      <c r="B6472" s="1831"/>
      <c r="D6472" s="2" t="str">
        <f t="shared" si="100"/>
        <v>OK</v>
      </c>
      <c r="E6472" s="4" t="s">
        <v>1994</v>
      </c>
    </row>
    <row r="6473" spans="1:5" x14ac:dyDescent="0.2">
      <c r="A6473" s="125">
        <v>6412</v>
      </c>
      <c r="B6473" s="1831"/>
      <c r="D6473" s="2" t="str">
        <f t="shared" si="100"/>
        <v>OK</v>
      </c>
      <c r="E6473" s="4" t="s">
        <v>1994</v>
      </c>
    </row>
    <row r="6474" spans="1:5" x14ac:dyDescent="0.2">
      <c r="A6474" s="125">
        <v>6413</v>
      </c>
      <c r="B6474" s="1831"/>
      <c r="D6474" s="2" t="str">
        <f t="shared" si="100"/>
        <v>OK</v>
      </c>
      <c r="E6474" s="4" t="s">
        <v>1994</v>
      </c>
    </row>
    <row r="6475" spans="1:5" x14ac:dyDescent="0.2">
      <c r="A6475" s="125">
        <v>6414</v>
      </c>
      <c r="B6475" s="1831"/>
      <c r="D6475" s="2" t="str">
        <f t="shared" si="100"/>
        <v>OK</v>
      </c>
      <c r="E6475" s="4" t="s">
        <v>1994</v>
      </c>
    </row>
    <row r="6476" spans="1:5" x14ac:dyDescent="0.2">
      <c r="A6476" s="125">
        <v>6415</v>
      </c>
      <c r="B6476" s="1831"/>
      <c r="D6476" s="2" t="str">
        <f t="shared" si="100"/>
        <v>OK</v>
      </c>
      <c r="E6476" s="4" t="s">
        <v>1994</v>
      </c>
    </row>
    <row r="6477" spans="1:5" x14ac:dyDescent="0.2">
      <c r="A6477" s="125">
        <v>6416</v>
      </c>
      <c r="B6477" s="1831"/>
      <c r="D6477" s="2" t="str">
        <f t="shared" si="100"/>
        <v>OK</v>
      </c>
      <c r="E6477" s="4" t="s">
        <v>1994</v>
      </c>
    </row>
    <row r="6478" spans="1:5" x14ac:dyDescent="0.2">
      <c r="A6478" s="125">
        <v>6417</v>
      </c>
      <c r="B6478" s="1831"/>
      <c r="D6478" s="2" t="str">
        <f t="shared" si="100"/>
        <v>OK</v>
      </c>
      <c r="E6478" s="4" t="s">
        <v>1994</v>
      </c>
    </row>
    <row r="6479" spans="1:5" x14ac:dyDescent="0.2">
      <c r="A6479" s="125">
        <v>6418</v>
      </c>
      <c r="B6479" s="1831"/>
      <c r="D6479" s="2" t="str">
        <f t="shared" si="100"/>
        <v>OK</v>
      </c>
      <c r="E6479" s="4" t="s">
        <v>1994</v>
      </c>
    </row>
    <row r="6480" spans="1:5" x14ac:dyDescent="0.2">
      <c r="A6480" s="125">
        <v>6419</v>
      </c>
      <c r="B6480" s="1831"/>
      <c r="D6480" s="2" t="str">
        <f t="shared" si="100"/>
        <v>OK</v>
      </c>
      <c r="E6480" s="4" t="s">
        <v>1994</v>
      </c>
    </row>
    <row r="6481" spans="1:5" x14ac:dyDescent="0.2">
      <c r="A6481" s="125">
        <v>6420</v>
      </c>
      <c r="B6481" s="1831"/>
      <c r="D6481" s="2" t="str">
        <f t="shared" si="100"/>
        <v>OK</v>
      </c>
      <c r="E6481" s="4" t="s">
        <v>1994</v>
      </c>
    </row>
    <row r="6482" spans="1:5" x14ac:dyDescent="0.2">
      <c r="A6482" s="125">
        <v>6421</v>
      </c>
      <c r="B6482" s="1831"/>
      <c r="D6482" s="2" t="str">
        <f t="shared" si="100"/>
        <v>OK</v>
      </c>
      <c r="E6482" s="4" t="s">
        <v>1994</v>
      </c>
    </row>
    <row r="6483" spans="1:5" x14ac:dyDescent="0.2">
      <c r="A6483" s="125">
        <v>6422</v>
      </c>
      <c r="B6483" s="1831"/>
      <c r="D6483" s="2" t="str">
        <f t="shared" si="100"/>
        <v>OK</v>
      </c>
      <c r="E6483" s="4" t="s">
        <v>1994</v>
      </c>
    </row>
    <row r="6484" spans="1:5" x14ac:dyDescent="0.2">
      <c r="A6484" s="125">
        <v>6423</v>
      </c>
      <c r="B6484" s="1831"/>
      <c r="D6484" s="2" t="str">
        <f t="shared" si="100"/>
        <v>OK</v>
      </c>
      <c r="E6484" s="4" t="s">
        <v>1994</v>
      </c>
    </row>
    <row r="6485" spans="1:5" x14ac:dyDescent="0.2">
      <c r="A6485" s="125">
        <v>6424</v>
      </c>
      <c r="B6485" s="1831"/>
      <c r="D6485" s="2" t="str">
        <f t="shared" si="100"/>
        <v>OK</v>
      </c>
      <c r="E6485" s="4" t="s">
        <v>1994</v>
      </c>
    </row>
    <row r="6486" spans="1:5" x14ac:dyDescent="0.2">
      <c r="A6486" s="125">
        <v>6425</v>
      </c>
      <c r="B6486" s="1831"/>
      <c r="D6486" s="2" t="str">
        <f t="shared" si="100"/>
        <v>OK</v>
      </c>
      <c r="E6486" s="4" t="s">
        <v>1994</v>
      </c>
    </row>
    <row r="6487" spans="1:5" x14ac:dyDescent="0.2">
      <c r="A6487" s="125">
        <v>6426</v>
      </c>
      <c r="B6487" s="1831"/>
      <c r="D6487" s="2" t="str">
        <f t="shared" si="100"/>
        <v>OK</v>
      </c>
      <c r="E6487" s="4" t="s">
        <v>1994</v>
      </c>
    </row>
    <row r="6488" spans="1:5" x14ac:dyDescent="0.2">
      <c r="A6488" s="125">
        <v>6427</v>
      </c>
      <c r="B6488" s="1831"/>
      <c r="D6488" s="2" t="str">
        <f t="shared" si="100"/>
        <v>OK</v>
      </c>
      <c r="E6488" s="4" t="s">
        <v>1994</v>
      </c>
    </row>
    <row r="6489" spans="1:5" x14ac:dyDescent="0.2">
      <c r="A6489" s="125">
        <v>6428</v>
      </c>
      <c r="B6489" s="1831"/>
      <c r="D6489" s="2" t="str">
        <f t="shared" si="100"/>
        <v>OK</v>
      </c>
      <c r="E6489" s="4" t="s">
        <v>1994</v>
      </c>
    </row>
    <row r="6490" spans="1:5" x14ac:dyDescent="0.2">
      <c r="A6490" s="125">
        <v>6429</v>
      </c>
      <c r="B6490" s="1831"/>
      <c r="D6490" s="2" t="str">
        <f t="shared" si="100"/>
        <v>OK</v>
      </c>
      <c r="E6490" s="4" t="s">
        <v>1994</v>
      </c>
    </row>
    <row r="6491" spans="1:5" x14ac:dyDescent="0.2">
      <c r="A6491" s="125">
        <v>6430</v>
      </c>
      <c r="B6491" s="1831"/>
      <c r="D6491" s="2" t="str">
        <f t="shared" si="100"/>
        <v>OK</v>
      </c>
      <c r="E6491" s="4" t="s">
        <v>1994</v>
      </c>
    </row>
    <row r="6492" spans="1:5" x14ac:dyDescent="0.2">
      <c r="A6492" s="125">
        <v>6431</v>
      </c>
      <c r="B6492" s="1831"/>
      <c r="D6492" s="2" t="str">
        <f t="shared" si="100"/>
        <v>OK</v>
      </c>
      <c r="E6492" s="4" t="s">
        <v>1994</v>
      </c>
    </row>
    <row r="6493" spans="1:5" x14ac:dyDescent="0.2">
      <c r="A6493" s="125">
        <v>6432</v>
      </c>
      <c r="B6493" s="1831"/>
      <c r="D6493" s="2" t="str">
        <f t="shared" si="100"/>
        <v>OK</v>
      </c>
      <c r="E6493" s="4" t="s">
        <v>1994</v>
      </c>
    </row>
    <row r="6494" spans="1:5" x14ac:dyDescent="0.2">
      <c r="A6494" s="125">
        <v>6433</v>
      </c>
      <c r="B6494" s="1831"/>
      <c r="D6494" s="2" t="str">
        <f t="shared" si="100"/>
        <v>OK</v>
      </c>
      <c r="E6494" s="4" t="s">
        <v>1994</v>
      </c>
    </row>
    <row r="6495" spans="1:5" x14ac:dyDescent="0.2">
      <c r="A6495" s="125">
        <v>6434</v>
      </c>
      <c r="B6495" s="1831"/>
      <c r="D6495" s="2" t="str">
        <f t="shared" si="100"/>
        <v>OK</v>
      </c>
      <c r="E6495" s="4" t="s">
        <v>1994</v>
      </c>
    </row>
    <row r="6496" spans="1:5" x14ac:dyDescent="0.2">
      <c r="A6496" s="125">
        <v>6435</v>
      </c>
      <c r="B6496" s="1831"/>
      <c r="D6496" s="2" t="str">
        <f t="shared" si="100"/>
        <v>OK</v>
      </c>
      <c r="E6496" s="4" t="s">
        <v>1994</v>
      </c>
    </row>
    <row r="6497" spans="1:5" x14ac:dyDescent="0.2">
      <c r="A6497" s="125">
        <v>6436</v>
      </c>
      <c r="B6497" s="1831"/>
      <c r="D6497" s="2" t="str">
        <f t="shared" si="100"/>
        <v>OK</v>
      </c>
      <c r="E6497" s="4" t="s">
        <v>1994</v>
      </c>
    </row>
    <row r="6498" spans="1:5" x14ac:dyDescent="0.2">
      <c r="A6498" s="125">
        <v>6437</v>
      </c>
      <c r="B6498" s="1831"/>
      <c r="D6498" s="2" t="str">
        <f t="shared" si="100"/>
        <v>OK</v>
      </c>
      <c r="E6498" s="4" t="s">
        <v>1994</v>
      </c>
    </row>
    <row r="6499" spans="1:5" x14ac:dyDescent="0.2">
      <c r="A6499" s="125">
        <v>6438</v>
      </c>
      <c r="B6499" s="1831"/>
      <c r="D6499" s="2" t="str">
        <f t="shared" si="100"/>
        <v>OK</v>
      </c>
      <c r="E6499" s="4" t="s">
        <v>1994</v>
      </c>
    </row>
    <row r="6500" spans="1:5" x14ac:dyDescent="0.2">
      <c r="A6500" s="125">
        <v>6439</v>
      </c>
      <c r="B6500" s="1831"/>
      <c r="D6500" s="2" t="str">
        <f t="shared" si="100"/>
        <v>OK</v>
      </c>
      <c r="E6500" s="4" t="s">
        <v>1994</v>
      </c>
    </row>
    <row r="6501" spans="1:5" x14ac:dyDescent="0.2">
      <c r="A6501" s="125">
        <v>6440</v>
      </c>
      <c r="B6501" s="1831"/>
      <c r="D6501" s="2" t="str">
        <f t="shared" si="100"/>
        <v>OK</v>
      </c>
      <c r="E6501" s="4" t="s">
        <v>1994</v>
      </c>
    </row>
    <row r="6502" spans="1:5" x14ac:dyDescent="0.2">
      <c r="A6502" s="125">
        <v>6441</v>
      </c>
      <c r="B6502" s="1831"/>
      <c r="D6502" s="2" t="str">
        <f t="shared" si="100"/>
        <v>OK</v>
      </c>
      <c r="E6502" s="4" t="s">
        <v>1994</v>
      </c>
    </row>
    <row r="6503" spans="1:5" x14ac:dyDescent="0.2">
      <c r="A6503" s="125">
        <v>6442</v>
      </c>
      <c r="B6503" s="1831"/>
      <c r="D6503" s="2" t="str">
        <f t="shared" si="100"/>
        <v>OK</v>
      </c>
      <c r="E6503" s="4" t="s">
        <v>1994</v>
      </c>
    </row>
    <row r="6504" spans="1:5" x14ac:dyDescent="0.2">
      <c r="A6504" s="125">
        <v>6443</v>
      </c>
      <c r="B6504" s="1831"/>
      <c r="D6504" s="2" t="str">
        <f t="shared" si="100"/>
        <v>OK</v>
      </c>
      <c r="E6504" s="4" t="s">
        <v>1994</v>
      </c>
    </row>
    <row r="6505" spans="1:5" x14ac:dyDescent="0.2">
      <c r="A6505" s="125">
        <v>6444</v>
      </c>
      <c r="B6505" s="1831"/>
      <c r="D6505" s="2" t="str">
        <f t="shared" si="100"/>
        <v>OK</v>
      </c>
      <c r="E6505" s="4" t="s">
        <v>1994</v>
      </c>
    </row>
    <row r="6506" spans="1:5" x14ac:dyDescent="0.2">
      <c r="A6506" s="125">
        <v>6445</v>
      </c>
      <c r="B6506" s="1831"/>
      <c r="D6506" s="2" t="str">
        <f t="shared" si="100"/>
        <v>OK</v>
      </c>
      <c r="E6506" s="4" t="s">
        <v>1994</v>
      </c>
    </row>
    <row r="6507" spans="1:5" x14ac:dyDescent="0.2">
      <c r="A6507" s="125">
        <v>6446</v>
      </c>
      <c r="B6507" s="1831"/>
      <c r="D6507" s="2" t="str">
        <f t="shared" si="100"/>
        <v>OK</v>
      </c>
      <c r="E6507" s="4" t="s">
        <v>1994</v>
      </c>
    </row>
    <row r="6508" spans="1:5" x14ac:dyDescent="0.2">
      <c r="A6508" s="125">
        <v>6447</v>
      </c>
      <c r="B6508" s="1831"/>
      <c r="D6508" s="2" t="str">
        <f t="shared" si="100"/>
        <v>OK</v>
      </c>
      <c r="E6508" s="4" t="s">
        <v>1994</v>
      </c>
    </row>
    <row r="6509" spans="1:5" x14ac:dyDescent="0.2">
      <c r="A6509" s="125">
        <v>6448</v>
      </c>
      <c r="B6509" s="1831"/>
      <c r="D6509" s="2" t="str">
        <f t="shared" si="100"/>
        <v>OK</v>
      </c>
      <c r="E6509" s="4" t="s">
        <v>1994</v>
      </c>
    </row>
    <row r="6510" spans="1:5" x14ac:dyDescent="0.2">
      <c r="A6510" s="125">
        <v>6449</v>
      </c>
      <c r="B6510" s="1831"/>
      <c r="D6510" s="2" t="str">
        <f t="shared" si="100"/>
        <v>OK</v>
      </c>
      <c r="E6510" s="4" t="s">
        <v>1994</v>
      </c>
    </row>
    <row r="6511" spans="1:5" x14ac:dyDescent="0.2">
      <c r="A6511" s="125">
        <v>6450</v>
      </c>
      <c r="B6511" s="1831"/>
      <c r="D6511" s="2" t="str">
        <f t="shared" si="100"/>
        <v>OK</v>
      </c>
      <c r="E6511" s="4" t="s">
        <v>1994</v>
      </c>
    </row>
    <row r="6512" spans="1:5" x14ac:dyDescent="0.2">
      <c r="A6512" s="125">
        <v>6451</v>
      </c>
      <c r="B6512" s="1831"/>
      <c r="D6512" s="2" t="str">
        <f t="shared" si="100"/>
        <v>OK</v>
      </c>
      <c r="E6512" s="4" t="s">
        <v>1994</v>
      </c>
    </row>
    <row r="6513" spans="1:5" x14ac:dyDescent="0.2">
      <c r="A6513" s="125">
        <v>6452</v>
      </c>
      <c r="B6513" s="1831"/>
      <c r="D6513" s="2" t="str">
        <f t="shared" si="100"/>
        <v>OK</v>
      </c>
      <c r="E6513" s="4" t="s">
        <v>1994</v>
      </c>
    </row>
    <row r="6514" spans="1:5" x14ac:dyDescent="0.2">
      <c r="A6514" s="125">
        <v>6453</v>
      </c>
      <c r="B6514" s="1831"/>
      <c r="D6514" s="2" t="str">
        <f t="shared" si="100"/>
        <v>OK</v>
      </c>
      <c r="E6514" s="4" t="s">
        <v>1994</v>
      </c>
    </row>
    <row r="6515" spans="1:5" x14ac:dyDescent="0.2">
      <c r="A6515" s="125">
        <v>6454</v>
      </c>
      <c r="B6515" s="1831"/>
      <c r="D6515" s="2" t="str">
        <f t="shared" si="100"/>
        <v>OK</v>
      </c>
      <c r="E6515" s="4" t="s">
        <v>1994</v>
      </c>
    </row>
    <row r="6516" spans="1:5" x14ac:dyDescent="0.2">
      <c r="A6516" s="125">
        <v>6455</v>
      </c>
      <c r="B6516" s="1831"/>
      <c r="D6516" s="2" t="str">
        <f t="shared" si="100"/>
        <v>OK</v>
      </c>
      <c r="E6516" s="4" t="s">
        <v>1994</v>
      </c>
    </row>
    <row r="6517" spans="1:5" x14ac:dyDescent="0.2">
      <c r="A6517" s="125">
        <v>6456</v>
      </c>
      <c r="B6517" s="1831"/>
      <c r="D6517" s="2" t="str">
        <f t="shared" si="100"/>
        <v>OK</v>
      </c>
      <c r="E6517" s="4" t="s">
        <v>1994</v>
      </c>
    </row>
    <row r="6518" spans="1:5" x14ac:dyDescent="0.2">
      <c r="A6518" s="125">
        <v>6457</v>
      </c>
      <c r="B6518" s="1831"/>
      <c r="D6518" s="2" t="str">
        <f t="shared" si="100"/>
        <v>OK</v>
      </c>
      <c r="E6518" s="4" t="s">
        <v>1994</v>
      </c>
    </row>
    <row r="6519" spans="1:5" x14ac:dyDescent="0.2">
      <c r="A6519" s="125">
        <v>6458</v>
      </c>
      <c r="B6519" s="1831"/>
      <c r="D6519" s="2" t="str">
        <f t="shared" si="100"/>
        <v>OK</v>
      </c>
      <c r="E6519" s="4" t="s">
        <v>1994</v>
      </c>
    </row>
    <row r="6520" spans="1:5" x14ac:dyDescent="0.2">
      <c r="A6520" s="125">
        <v>6459</v>
      </c>
      <c r="B6520" s="1831"/>
      <c r="D6520" s="2" t="str">
        <f t="shared" si="100"/>
        <v>OK</v>
      </c>
      <c r="E6520" s="4" t="s">
        <v>1994</v>
      </c>
    </row>
    <row r="6521" spans="1:5" x14ac:dyDescent="0.2">
      <c r="A6521" s="125">
        <v>6460</v>
      </c>
      <c r="B6521" s="1831"/>
      <c r="D6521" s="2" t="str">
        <f t="shared" si="100"/>
        <v>OK</v>
      </c>
      <c r="E6521" s="4" t="s">
        <v>1994</v>
      </c>
    </row>
    <row r="6522" spans="1:5" x14ac:dyDescent="0.2">
      <c r="A6522" s="125">
        <v>6461</v>
      </c>
      <c r="B6522" s="1831"/>
      <c r="D6522" s="2" t="str">
        <f t="shared" si="100"/>
        <v>OK</v>
      </c>
      <c r="E6522" s="4" t="s">
        <v>1994</v>
      </c>
    </row>
    <row r="6523" spans="1:5" x14ac:dyDescent="0.2">
      <c r="A6523" s="125">
        <v>6462</v>
      </c>
      <c r="B6523" s="1831"/>
      <c r="D6523" s="2" t="str">
        <f t="shared" si="100"/>
        <v>OK</v>
      </c>
      <c r="E6523" s="4" t="s">
        <v>1994</v>
      </c>
    </row>
    <row r="6524" spans="1:5" x14ac:dyDescent="0.2">
      <c r="A6524" s="125">
        <v>6463</v>
      </c>
      <c r="B6524" s="1831"/>
      <c r="D6524" s="2" t="str">
        <f t="shared" si="100"/>
        <v>OK</v>
      </c>
      <c r="E6524" s="4" t="s">
        <v>1994</v>
      </c>
    </row>
    <row r="6525" spans="1:5" x14ac:dyDescent="0.2">
      <c r="A6525" s="125">
        <v>6464</v>
      </c>
      <c r="B6525" s="1831"/>
      <c r="D6525" s="2" t="str">
        <f t="shared" si="100"/>
        <v>OK</v>
      </c>
      <c r="E6525" s="4" t="s">
        <v>1994</v>
      </c>
    </row>
    <row r="6526" spans="1:5" x14ac:dyDescent="0.2">
      <c r="A6526" s="125">
        <v>6465</v>
      </c>
      <c r="B6526" s="1831"/>
      <c r="D6526" s="2" t="str">
        <f t="shared" si="100"/>
        <v>OK</v>
      </c>
      <c r="E6526" s="4" t="s">
        <v>1994</v>
      </c>
    </row>
    <row r="6527" spans="1:5" x14ac:dyDescent="0.2">
      <c r="A6527" s="125">
        <v>6466</v>
      </c>
      <c r="B6527" s="1831"/>
      <c r="D6527" s="2" t="str">
        <f t="shared" ref="D6527:D6590" si="101">IF(ISBLANK(B6527),"OK",IF(A6527-B6527=0,"OK","Error?"))</f>
        <v>OK</v>
      </c>
      <c r="E6527" s="4" t="s">
        <v>1994</v>
      </c>
    </row>
    <row r="6528" spans="1:5" x14ac:dyDescent="0.2">
      <c r="A6528" s="125">
        <v>6467</v>
      </c>
      <c r="B6528" s="1831"/>
      <c r="D6528" s="2" t="str">
        <f t="shared" si="101"/>
        <v>OK</v>
      </c>
      <c r="E6528" s="4" t="s">
        <v>1994</v>
      </c>
    </row>
    <row r="6529" spans="1:5" x14ac:dyDescent="0.2">
      <c r="A6529" s="125">
        <v>6468</v>
      </c>
      <c r="B6529" s="1831"/>
      <c r="D6529" s="2" t="str">
        <f t="shared" si="101"/>
        <v>OK</v>
      </c>
      <c r="E6529" s="4" t="s">
        <v>1994</v>
      </c>
    </row>
    <row r="6530" spans="1:5" x14ac:dyDescent="0.2">
      <c r="A6530" s="125">
        <v>6469</v>
      </c>
      <c r="B6530" s="1831"/>
      <c r="D6530" s="2" t="str">
        <f t="shared" si="101"/>
        <v>OK</v>
      </c>
      <c r="E6530" s="4" t="s">
        <v>1994</v>
      </c>
    </row>
    <row r="6531" spans="1:5" x14ac:dyDescent="0.2">
      <c r="A6531" s="125">
        <v>6470</v>
      </c>
      <c r="B6531" s="1831"/>
      <c r="D6531" s="2" t="str">
        <f t="shared" si="101"/>
        <v>OK</v>
      </c>
      <c r="E6531" s="4" t="s">
        <v>1994</v>
      </c>
    </row>
    <row r="6532" spans="1:5" x14ac:dyDescent="0.2">
      <c r="A6532" s="125">
        <v>6471</v>
      </c>
      <c r="B6532" s="1831"/>
      <c r="D6532" s="2" t="str">
        <f t="shared" si="101"/>
        <v>OK</v>
      </c>
      <c r="E6532" s="4" t="s">
        <v>1994</v>
      </c>
    </row>
    <row r="6533" spans="1:5" x14ac:dyDescent="0.2">
      <c r="A6533" s="125">
        <v>6472</v>
      </c>
      <c r="B6533" s="1831"/>
      <c r="D6533" s="2" t="str">
        <f t="shared" si="101"/>
        <v>OK</v>
      </c>
      <c r="E6533" s="4" t="s">
        <v>1994</v>
      </c>
    </row>
    <row r="6534" spans="1:5" x14ac:dyDescent="0.2">
      <c r="A6534" s="125">
        <v>6473</v>
      </c>
      <c r="B6534" s="1831"/>
      <c r="D6534" s="2" t="str">
        <f t="shared" si="101"/>
        <v>OK</v>
      </c>
      <c r="E6534" s="4" t="s">
        <v>1994</v>
      </c>
    </row>
    <row r="6535" spans="1:5" x14ac:dyDescent="0.2">
      <c r="A6535" s="125">
        <v>6474</v>
      </c>
      <c r="B6535" s="1831"/>
      <c r="D6535" s="2" t="str">
        <f t="shared" si="101"/>
        <v>OK</v>
      </c>
      <c r="E6535" s="4" t="s">
        <v>1994</v>
      </c>
    </row>
    <row r="6536" spans="1:5" x14ac:dyDescent="0.2">
      <c r="A6536" s="125">
        <v>6475</v>
      </c>
      <c r="B6536" s="1831"/>
      <c r="D6536" s="2" t="str">
        <f t="shared" si="101"/>
        <v>OK</v>
      </c>
      <c r="E6536" s="4" t="s">
        <v>1994</v>
      </c>
    </row>
    <row r="6537" spans="1:5" x14ac:dyDescent="0.2">
      <c r="A6537" s="125">
        <v>6476</v>
      </c>
      <c r="B6537" s="1831"/>
      <c r="D6537" s="2" t="str">
        <f t="shared" si="101"/>
        <v>OK</v>
      </c>
      <c r="E6537" s="4" t="s">
        <v>1994</v>
      </c>
    </row>
    <row r="6538" spans="1:5" x14ac:dyDescent="0.2">
      <c r="A6538" s="125">
        <v>6477</v>
      </c>
      <c r="B6538" s="1831"/>
      <c r="D6538" s="2" t="str">
        <f t="shared" si="101"/>
        <v>OK</v>
      </c>
      <c r="E6538" s="4" t="s">
        <v>1994</v>
      </c>
    </row>
    <row r="6539" spans="1:5" x14ac:dyDescent="0.2">
      <c r="A6539" s="125">
        <v>6478</v>
      </c>
      <c r="B6539" s="1831"/>
      <c r="D6539" s="2" t="str">
        <f t="shared" si="101"/>
        <v>OK</v>
      </c>
      <c r="E6539" s="4" t="s">
        <v>1994</v>
      </c>
    </row>
    <row r="6540" spans="1:5" x14ac:dyDescent="0.2">
      <c r="A6540" s="125">
        <v>6479</v>
      </c>
      <c r="B6540" s="1831"/>
      <c r="D6540" s="2" t="str">
        <f t="shared" si="101"/>
        <v>OK</v>
      </c>
      <c r="E6540" s="4" t="s">
        <v>1994</v>
      </c>
    </row>
    <row r="6541" spans="1:5" x14ac:dyDescent="0.2">
      <c r="A6541" s="125">
        <v>6480</v>
      </c>
      <c r="B6541" s="1831"/>
      <c r="D6541" s="2" t="str">
        <f t="shared" si="101"/>
        <v>OK</v>
      </c>
      <c r="E6541" s="4" t="s">
        <v>1994</v>
      </c>
    </row>
    <row r="6542" spans="1:5" x14ac:dyDescent="0.2">
      <c r="A6542" s="125">
        <v>6481</v>
      </c>
      <c r="B6542" s="1831"/>
      <c r="D6542" s="2" t="str">
        <f t="shared" si="101"/>
        <v>OK</v>
      </c>
      <c r="E6542" s="4" t="s">
        <v>1994</v>
      </c>
    </row>
    <row r="6543" spans="1:5" x14ac:dyDescent="0.2">
      <c r="A6543" s="125">
        <v>6482</v>
      </c>
      <c r="B6543" s="1831"/>
      <c r="D6543" s="2" t="str">
        <f t="shared" si="101"/>
        <v>OK</v>
      </c>
      <c r="E6543" s="4" t="s">
        <v>1994</v>
      </c>
    </row>
    <row r="6544" spans="1:5" x14ac:dyDescent="0.2">
      <c r="A6544" s="125">
        <v>6483</v>
      </c>
      <c r="B6544" s="1831"/>
      <c r="D6544" s="2" t="str">
        <f t="shared" si="101"/>
        <v>OK</v>
      </c>
      <c r="E6544" s="4" t="s">
        <v>1994</v>
      </c>
    </row>
    <row r="6545" spans="1:5" x14ac:dyDescent="0.2">
      <c r="A6545" s="125">
        <v>6484</v>
      </c>
      <c r="B6545" s="1831"/>
      <c r="D6545" s="2" t="str">
        <f t="shared" si="101"/>
        <v>OK</v>
      </c>
      <c r="E6545" s="4" t="s">
        <v>1994</v>
      </c>
    </row>
    <row r="6546" spans="1:5" x14ac:dyDescent="0.2">
      <c r="A6546" s="125">
        <v>6485</v>
      </c>
      <c r="B6546" s="1831"/>
      <c r="D6546" s="2" t="str">
        <f t="shared" si="101"/>
        <v>OK</v>
      </c>
      <c r="E6546" s="4" t="s">
        <v>1994</v>
      </c>
    </row>
    <row r="6547" spans="1:5" x14ac:dyDescent="0.2">
      <c r="A6547" s="125">
        <v>6486</v>
      </c>
      <c r="B6547" s="1831"/>
      <c r="D6547" s="2" t="str">
        <f t="shared" si="101"/>
        <v>OK</v>
      </c>
      <c r="E6547" s="4" t="s">
        <v>1994</v>
      </c>
    </row>
    <row r="6548" spans="1:5" x14ac:dyDescent="0.2">
      <c r="A6548" s="125">
        <v>6487</v>
      </c>
      <c r="B6548" s="1831"/>
      <c r="D6548" s="2" t="str">
        <f t="shared" si="101"/>
        <v>OK</v>
      </c>
      <c r="E6548" s="4" t="s">
        <v>1994</v>
      </c>
    </row>
    <row r="6549" spans="1:5" x14ac:dyDescent="0.2">
      <c r="A6549" s="125">
        <v>6488</v>
      </c>
      <c r="B6549" s="1831"/>
      <c r="D6549" s="2" t="str">
        <f t="shared" si="101"/>
        <v>OK</v>
      </c>
      <c r="E6549" s="4" t="s">
        <v>1994</v>
      </c>
    </row>
    <row r="6550" spans="1:5" x14ac:dyDescent="0.2">
      <c r="A6550" s="125">
        <v>6489</v>
      </c>
      <c r="B6550" s="1831"/>
      <c r="D6550" s="2" t="str">
        <f t="shared" si="101"/>
        <v>OK</v>
      </c>
      <c r="E6550" s="4" t="s">
        <v>1994</v>
      </c>
    </row>
    <row r="6551" spans="1:5" x14ac:dyDescent="0.2">
      <c r="A6551" s="125">
        <v>6490</v>
      </c>
      <c r="B6551" s="1831"/>
      <c r="D6551" s="2" t="str">
        <f t="shared" si="101"/>
        <v>OK</v>
      </c>
      <c r="E6551" s="4" t="s">
        <v>1994</v>
      </c>
    </row>
    <row r="6552" spans="1:5" x14ac:dyDescent="0.2">
      <c r="A6552" s="125">
        <v>6491</v>
      </c>
      <c r="B6552" s="1831"/>
      <c r="D6552" s="2" t="str">
        <f t="shared" si="101"/>
        <v>OK</v>
      </c>
      <c r="E6552" s="4" t="s">
        <v>1994</v>
      </c>
    </row>
    <row r="6553" spans="1:5" x14ac:dyDescent="0.2">
      <c r="A6553" s="125">
        <v>6492</v>
      </c>
      <c r="B6553" s="1831"/>
      <c r="D6553" s="2" t="str">
        <f t="shared" si="101"/>
        <v>OK</v>
      </c>
      <c r="E6553" s="4" t="s">
        <v>1994</v>
      </c>
    </row>
    <row r="6554" spans="1:5" x14ac:dyDescent="0.2">
      <c r="A6554" s="125">
        <v>6493</v>
      </c>
      <c r="B6554" s="1831"/>
      <c r="D6554" s="2" t="str">
        <f t="shared" si="101"/>
        <v>OK</v>
      </c>
      <c r="E6554" s="4" t="s">
        <v>1994</v>
      </c>
    </row>
    <row r="6555" spans="1:5" x14ac:dyDescent="0.2">
      <c r="A6555" s="125">
        <v>6494</v>
      </c>
      <c r="B6555" s="1831"/>
      <c r="D6555" s="2" t="str">
        <f t="shared" si="101"/>
        <v>OK</v>
      </c>
      <c r="E6555" s="4" t="s">
        <v>1994</v>
      </c>
    </row>
    <row r="6556" spans="1:5" x14ac:dyDescent="0.2">
      <c r="A6556" s="125">
        <v>6495</v>
      </c>
      <c r="B6556" s="1831"/>
      <c r="D6556" s="2" t="str">
        <f t="shared" si="101"/>
        <v>OK</v>
      </c>
      <c r="E6556" s="4" t="s">
        <v>1994</v>
      </c>
    </row>
    <row r="6557" spans="1:5" x14ac:dyDescent="0.2">
      <c r="A6557" s="125">
        <v>6496</v>
      </c>
      <c r="B6557" s="1831"/>
      <c r="D6557" s="2" t="str">
        <f t="shared" si="101"/>
        <v>OK</v>
      </c>
      <c r="E6557" s="4" t="s">
        <v>1994</v>
      </c>
    </row>
    <row r="6558" spans="1:5" x14ac:dyDescent="0.2">
      <c r="A6558" s="125">
        <v>6497</v>
      </c>
      <c r="B6558" s="1831"/>
      <c r="D6558" s="2" t="str">
        <f t="shared" si="101"/>
        <v>OK</v>
      </c>
      <c r="E6558" s="4" t="s">
        <v>1994</v>
      </c>
    </row>
    <row r="6559" spans="1:5" x14ac:dyDescent="0.2">
      <c r="A6559" s="125">
        <v>6498</v>
      </c>
      <c r="B6559" s="1831"/>
      <c r="D6559" s="2" t="str">
        <f t="shared" si="101"/>
        <v>OK</v>
      </c>
      <c r="E6559" s="4" t="s">
        <v>1994</v>
      </c>
    </row>
    <row r="6560" spans="1:5" x14ac:dyDescent="0.2">
      <c r="A6560" s="125">
        <v>6499</v>
      </c>
      <c r="B6560" s="1831"/>
      <c r="D6560" s="2" t="str">
        <f t="shared" si="101"/>
        <v>OK</v>
      </c>
      <c r="E6560" s="4" t="s">
        <v>1994</v>
      </c>
    </row>
    <row r="6561" spans="1:5" x14ac:dyDescent="0.2">
      <c r="A6561" s="125">
        <v>6500</v>
      </c>
      <c r="B6561" s="1831"/>
      <c r="D6561" s="2" t="str">
        <f t="shared" si="101"/>
        <v>OK</v>
      </c>
      <c r="E6561" s="4" t="s">
        <v>1994</v>
      </c>
    </row>
    <row r="6562" spans="1:5" x14ac:dyDescent="0.2">
      <c r="A6562" s="125">
        <v>6501</v>
      </c>
      <c r="B6562" s="1831"/>
      <c r="D6562" s="2" t="str">
        <f t="shared" si="101"/>
        <v>OK</v>
      </c>
      <c r="E6562" s="4" t="s">
        <v>1994</v>
      </c>
    </row>
    <row r="6563" spans="1:5" x14ac:dyDescent="0.2">
      <c r="A6563" s="125">
        <v>6502</v>
      </c>
      <c r="B6563" s="1831"/>
      <c r="D6563" s="2" t="str">
        <f t="shared" si="101"/>
        <v>OK</v>
      </c>
      <c r="E6563" s="4" t="s">
        <v>1994</v>
      </c>
    </row>
    <row r="6564" spans="1:5" x14ac:dyDescent="0.2">
      <c r="A6564" s="125">
        <v>6503</v>
      </c>
      <c r="B6564" s="1831"/>
      <c r="D6564" s="2" t="str">
        <f t="shared" si="101"/>
        <v>OK</v>
      </c>
      <c r="E6564" s="4" t="s">
        <v>1994</v>
      </c>
    </row>
    <row r="6565" spans="1:5" x14ac:dyDescent="0.2">
      <c r="A6565" s="125">
        <v>6504</v>
      </c>
      <c r="B6565" s="1831"/>
      <c r="D6565" s="2" t="str">
        <f t="shared" si="101"/>
        <v>OK</v>
      </c>
      <c r="E6565" s="4" t="s">
        <v>1994</v>
      </c>
    </row>
    <row r="6566" spans="1:5" x14ac:dyDescent="0.2">
      <c r="A6566" s="125">
        <v>6505</v>
      </c>
      <c r="B6566" s="1831"/>
      <c r="D6566" s="2" t="str">
        <f t="shared" si="101"/>
        <v>OK</v>
      </c>
      <c r="E6566" s="4" t="s">
        <v>1994</v>
      </c>
    </row>
    <row r="6567" spans="1:5" x14ac:dyDescent="0.2">
      <c r="A6567" s="125">
        <v>6506</v>
      </c>
      <c r="B6567" s="1831"/>
      <c r="D6567" s="2" t="str">
        <f t="shared" si="101"/>
        <v>OK</v>
      </c>
      <c r="E6567" s="4" t="s">
        <v>1994</v>
      </c>
    </row>
    <row r="6568" spans="1:5" x14ac:dyDescent="0.2">
      <c r="A6568" s="125">
        <v>6507</v>
      </c>
      <c r="B6568" s="1831"/>
      <c r="D6568" s="2" t="str">
        <f t="shared" si="101"/>
        <v>OK</v>
      </c>
      <c r="E6568" s="4" t="s">
        <v>1994</v>
      </c>
    </row>
    <row r="6569" spans="1:5" x14ac:dyDescent="0.2">
      <c r="A6569" s="125">
        <v>6508</v>
      </c>
      <c r="B6569" s="1831"/>
      <c r="D6569" s="2" t="str">
        <f t="shared" si="101"/>
        <v>OK</v>
      </c>
      <c r="E6569" s="4" t="s">
        <v>1994</v>
      </c>
    </row>
    <row r="6570" spans="1:5" x14ac:dyDescent="0.2">
      <c r="A6570" s="125">
        <v>6509</v>
      </c>
      <c r="B6570" s="1831"/>
      <c r="D6570" s="2" t="str">
        <f t="shared" si="101"/>
        <v>OK</v>
      </c>
      <c r="E6570" s="4" t="s">
        <v>1994</v>
      </c>
    </row>
    <row r="6571" spans="1:5" x14ac:dyDescent="0.2">
      <c r="A6571" s="125">
        <v>6510</v>
      </c>
      <c r="B6571" s="1831"/>
      <c r="D6571" s="2" t="str">
        <f t="shared" si="101"/>
        <v>OK</v>
      </c>
      <c r="E6571" s="4" t="s">
        <v>1994</v>
      </c>
    </row>
    <row r="6572" spans="1:5" x14ac:dyDescent="0.2">
      <c r="A6572" s="125">
        <v>6511</v>
      </c>
      <c r="B6572" s="1831"/>
      <c r="D6572" s="2" t="str">
        <f t="shared" si="101"/>
        <v>OK</v>
      </c>
      <c r="E6572" s="4" t="s">
        <v>1994</v>
      </c>
    </row>
    <row r="6573" spans="1:5" x14ac:dyDescent="0.2">
      <c r="A6573" s="125">
        <v>6512</v>
      </c>
      <c r="B6573" s="1831"/>
      <c r="D6573" s="2" t="str">
        <f t="shared" si="101"/>
        <v>OK</v>
      </c>
      <c r="E6573" s="4" t="s">
        <v>1994</v>
      </c>
    </row>
    <row r="6574" spans="1:5" x14ac:dyDescent="0.2">
      <c r="A6574" s="125">
        <v>6513</v>
      </c>
      <c r="B6574" s="1831"/>
      <c r="D6574" s="2" t="str">
        <f t="shared" si="101"/>
        <v>OK</v>
      </c>
      <c r="E6574" s="4" t="s">
        <v>1994</v>
      </c>
    </row>
    <row r="6575" spans="1:5" x14ac:dyDescent="0.2">
      <c r="A6575" s="125">
        <v>6514</v>
      </c>
      <c r="B6575" s="1831"/>
      <c r="D6575" s="2" t="str">
        <f t="shared" si="101"/>
        <v>OK</v>
      </c>
      <c r="E6575" s="4" t="s">
        <v>1994</v>
      </c>
    </row>
    <row r="6576" spans="1:5" x14ac:dyDescent="0.2">
      <c r="A6576" s="125">
        <v>6515</v>
      </c>
      <c r="B6576" s="1831"/>
      <c r="D6576" s="2" t="str">
        <f t="shared" si="101"/>
        <v>OK</v>
      </c>
      <c r="E6576" s="4" t="s">
        <v>1994</v>
      </c>
    </row>
    <row r="6577" spans="1:5" x14ac:dyDescent="0.2">
      <c r="A6577" s="125">
        <v>6516</v>
      </c>
      <c r="B6577" s="1831"/>
      <c r="D6577" s="2" t="str">
        <f t="shared" si="101"/>
        <v>OK</v>
      </c>
      <c r="E6577" s="4" t="s">
        <v>1994</v>
      </c>
    </row>
    <row r="6578" spans="1:5" x14ac:dyDescent="0.2">
      <c r="A6578" s="125">
        <v>6517</v>
      </c>
      <c r="B6578" s="1831"/>
      <c r="D6578" s="2" t="str">
        <f t="shared" si="101"/>
        <v>OK</v>
      </c>
      <c r="E6578" s="4" t="s">
        <v>1994</v>
      </c>
    </row>
    <row r="6579" spans="1:5" x14ac:dyDescent="0.2">
      <c r="A6579" s="125">
        <v>6518</v>
      </c>
      <c r="B6579" s="1831"/>
      <c r="D6579" s="2" t="str">
        <f t="shared" si="101"/>
        <v>OK</v>
      </c>
      <c r="E6579" s="4" t="s">
        <v>1994</v>
      </c>
    </row>
    <row r="6580" spans="1:5" x14ac:dyDescent="0.2">
      <c r="A6580" s="125">
        <v>6519</v>
      </c>
      <c r="B6580" s="1831"/>
      <c r="D6580" s="2" t="str">
        <f t="shared" si="101"/>
        <v>OK</v>
      </c>
      <c r="E6580" s="4" t="s">
        <v>1994</v>
      </c>
    </row>
    <row r="6581" spans="1:5" x14ac:dyDescent="0.2">
      <c r="A6581" s="125">
        <v>6520</v>
      </c>
      <c r="B6581" s="1831"/>
      <c r="D6581" s="2" t="str">
        <f t="shared" si="101"/>
        <v>OK</v>
      </c>
      <c r="E6581" s="4" t="s">
        <v>1994</v>
      </c>
    </row>
    <row r="6582" spans="1:5" x14ac:dyDescent="0.2">
      <c r="A6582" s="125">
        <v>6521</v>
      </c>
      <c r="B6582" s="1831"/>
      <c r="D6582" s="2" t="str">
        <f t="shared" si="101"/>
        <v>OK</v>
      </c>
      <c r="E6582" s="4" t="s">
        <v>1994</v>
      </c>
    </row>
    <row r="6583" spans="1:5" x14ac:dyDescent="0.2">
      <c r="A6583" s="125">
        <v>6522</v>
      </c>
      <c r="B6583" s="1831"/>
      <c r="D6583" s="2" t="str">
        <f t="shared" si="101"/>
        <v>OK</v>
      </c>
      <c r="E6583" s="4" t="s">
        <v>1994</v>
      </c>
    </row>
    <row r="6584" spans="1:5" x14ac:dyDescent="0.2">
      <c r="A6584" s="125">
        <v>6523</v>
      </c>
      <c r="B6584" s="1831"/>
      <c r="D6584" s="2" t="str">
        <f t="shared" si="101"/>
        <v>OK</v>
      </c>
      <c r="E6584" s="4" t="s">
        <v>1994</v>
      </c>
    </row>
    <row r="6585" spans="1:5" x14ac:dyDescent="0.2">
      <c r="A6585" s="125">
        <v>6524</v>
      </c>
      <c r="B6585" s="1831"/>
      <c r="D6585" s="2" t="str">
        <f t="shared" si="101"/>
        <v>OK</v>
      </c>
      <c r="E6585" s="4" t="s">
        <v>1994</v>
      </c>
    </row>
    <row r="6586" spans="1:5" x14ac:dyDescent="0.2">
      <c r="A6586" s="125">
        <v>6525</v>
      </c>
      <c r="B6586" s="1831"/>
      <c r="D6586" s="2" t="str">
        <f t="shared" si="101"/>
        <v>OK</v>
      </c>
      <c r="E6586" s="4" t="s">
        <v>1994</v>
      </c>
    </row>
    <row r="6587" spans="1:5" x14ac:dyDescent="0.2">
      <c r="A6587" s="125">
        <v>6526</v>
      </c>
      <c r="B6587" s="1831"/>
      <c r="D6587" s="2" t="str">
        <f t="shared" si="101"/>
        <v>OK</v>
      </c>
      <c r="E6587" s="4" t="s">
        <v>1994</v>
      </c>
    </row>
    <row r="6588" spans="1:5" x14ac:dyDescent="0.2">
      <c r="A6588" s="125">
        <v>6527</v>
      </c>
      <c r="B6588" s="1831"/>
      <c r="D6588" s="2" t="str">
        <f t="shared" si="101"/>
        <v>OK</v>
      </c>
      <c r="E6588" s="4" t="s">
        <v>1994</v>
      </c>
    </row>
    <row r="6589" spans="1:5" x14ac:dyDescent="0.2">
      <c r="A6589" s="125">
        <v>6528</v>
      </c>
      <c r="B6589" s="1831"/>
      <c r="D6589" s="2" t="str">
        <f t="shared" si="101"/>
        <v>OK</v>
      </c>
      <c r="E6589" s="4" t="s">
        <v>1994</v>
      </c>
    </row>
    <row r="6590" spans="1:5" x14ac:dyDescent="0.2">
      <c r="A6590" s="125">
        <v>6529</v>
      </c>
      <c r="B6590" s="1831"/>
      <c r="D6590" s="2" t="str">
        <f t="shared" si="101"/>
        <v>OK</v>
      </c>
      <c r="E6590" s="4" t="s">
        <v>1994</v>
      </c>
    </row>
    <row r="6591" spans="1:5" x14ac:dyDescent="0.2">
      <c r="A6591" s="125">
        <v>6530</v>
      </c>
      <c r="B6591" s="1831"/>
      <c r="D6591" s="2" t="str">
        <f t="shared" ref="D6591:D6654" si="102">IF(ISBLANK(B6591),"OK",IF(A6591-B6591=0,"OK","Error?"))</f>
        <v>OK</v>
      </c>
      <c r="E6591" s="4" t="s">
        <v>1994</v>
      </c>
    </row>
    <row r="6592" spans="1:5" x14ac:dyDescent="0.2">
      <c r="A6592" s="125">
        <v>6531</v>
      </c>
      <c r="B6592" s="1831"/>
      <c r="D6592" s="2" t="str">
        <f t="shared" si="102"/>
        <v>OK</v>
      </c>
      <c r="E6592" s="4" t="s">
        <v>1994</v>
      </c>
    </row>
    <row r="6593" spans="1:5" x14ac:dyDescent="0.2">
      <c r="A6593" s="125">
        <v>6532</v>
      </c>
      <c r="B6593" s="1831"/>
      <c r="D6593" s="2" t="str">
        <f t="shared" si="102"/>
        <v>OK</v>
      </c>
      <c r="E6593" s="4" t="s">
        <v>1994</v>
      </c>
    </row>
    <row r="6594" spans="1:5" x14ac:dyDescent="0.2">
      <c r="A6594" s="125">
        <v>6533</v>
      </c>
      <c r="B6594" s="1831"/>
      <c r="D6594" s="2" t="str">
        <f t="shared" si="102"/>
        <v>OK</v>
      </c>
      <c r="E6594" s="4" t="s">
        <v>1994</v>
      </c>
    </row>
    <row r="6595" spans="1:5" x14ac:dyDescent="0.2">
      <c r="A6595" s="125">
        <v>6534</v>
      </c>
      <c r="B6595" s="1831"/>
      <c r="D6595" s="2" t="str">
        <f t="shared" si="102"/>
        <v>OK</v>
      </c>
      <c r="E6595" s="4" t="s">
        <v>1994</v>
      </c>
    </row>
    <row r="6596" spans="1:5" x14ac:dyDescent="0.2">
      <c r="A6596" s="125">
        <v>6535</v>
      </c>
      <c r="B6596" s="1831"/>
      <c r="D6596" s="2" t="str">
        <f t="shared" si="102"/>
        <v>OK</v>
      </c>
      <c r="E6596" s="4" t="s">
        <v>1994</v>
      </c>
    </row>
    <row r="6597" spans="1:5" x14ac:dyDescent="0.2">
      <c r="A6597" s="125">
        <v>6536</v>
      </c>
      <c r="B6597" s="1831"/>
      <c r="D6597" s="2" t="str">
        <f t="shared" si="102"/>
        <v>OK</v>
      </c>
      <c r="E6597" s="4" t="s">
        <v>1994</v>
      </c>
    </row>
    <row r="6598" spans="1:5" x14ac:dyDescent="0.2">
      <c r="A6598" s="125">
        <v>6537</v>
      </c>
      <c r="B6598" s="1831"/>
      <c r="D6598" s="2" t="str">
        <f t="shared" si="102"/>
        <v>OK</v>
      </c>
      <c r="E6598" s="4" t="s">
        <v>1994</v>
      </c>
    </row>
    <row r="6599" spans="1:5" x14ac:dyDescent="0.2">
      <c r="A6599" s="125">
        <v>6538</v>
      </c>
      <c r="B6599" s="1831"/>
      <c r="D6599" s="2" t="str">
        <f t="shared" si="102"/>
        <v>OK</v>
      </c>
      <c r="E6599" s="4" t="s">
        <v>1994</v>
      </c>
    </row>
    <row r="6600" spans="1:5" x14ac:dyDescent="0.2">
      <c r="A6600" s="125">
        <v>6539</v>
      </c>
      <c r="B6600" s="1831"/>
      <c r="D6600" s="2" t="str">
        <f t="shared" si="102"/>
        <v>OK</v>
      </c>
      <c r="E6600" s="4" t="s">
        <v>1994</v>
      </c>
    </row>
    <row r="6601" spans="1:5" x14ac:dyDescent="0.2">
      <c r="A6601" s="125">
        <v>6540</v>
      </c>
      <c r="B6601" s="1831"/>
      <c r="D6601" s="2" t="str">
        <f t="shared" si="102"/>
        <v>OK</v>
      </c>
      <c r="E6601" s="4" t="s">
        <v>1994</v>
      </c>
    </row>
    <row r="6602" spans="1:5" x14ac:dyDescent="0.2">
      <c r="A6602" s="125">
        <v>6541</v>
      </c>
      <c r="B6602" s="1831"/>
      <c r="D6602" s="2" t="str">
        <f t="shared" si="102"/>
        <v>OK</v>
      </c>
      <c r="E6602" s="4" t="s">
        <v>1994</v>
      </c>
    </row>
    <row r="6603" spans="1:5" x14ac:dyDescent="0.2">
      <c r="A6603" s="125">
        <v>6542</v>
      </c>
      <c r="B6603" s="1831"/>
      <c r="D6603" s="2" t="str">
        <f t="shared" si="102"/>
        <v>OK</v>
      </c>
      <c r="E6603" s="4" t="s">
        <v>1994</v>
      </c>
    </row>
    <row r="6604" spans="1:5" x14ac:dyDescent="0.2">
      <c r="A6604" s="125">
        <v>6543</v>
      </c>
      <c r="B6604" s="1831"/>
      <c r="D6604" s="2" t="str">
        <f t="shared" si="102"/>
        <v>OK</v>
      </c>
      <c r="E6604" s="4" t="s">
        <v>1994</v>
      </c>
    </row>
    <row r="6605" spans="1:5" x14ac:dyDescent="0.2">
      <c r="A6605" s="125">
        <v>6544</v>
      </c>
      <c r="B6605" s="1831"/>
      <c r="D6605" s="2" t="str">
        <f t="shared" si="102"/>
        <v>OK</v>
      </c>
      <c r="E6605" s="4" t="s">
        <v>1994</v>
      </c>
    </row>
    <row r="6606" spans="1:5" x14ac:dyDescent="0.2">
      <c r="A6606" s="125">
        <v>6545</v>
      </c>
      <c r="B6606" s="1831"/>
      <c r="D6606" s="2" t="str">
        <f t="shared" si="102"/>
        <v>OK</v>
      </c>
      <c r="E6606" s="4" t="s">
        <v>1994</v>
      </c>
    </row>
    <row r="6607" spans="1:5" x14ac:dyDescent="0.2">
      <c r="A6607" s="125">
        <v>6546</v>
      </c>
      <c r="B6607" s="1831"/>
      <c r="D6607" s="2" t="str">
        <f t="shared" si="102"/>
        <v>OK</v>
      </c>
      <c r="E6607" s="4" t="s">
        <v>1994</v>
      </c>
    </row>
    <row r="6608" spans="1:5" x14ac:dyDescent="0.2">
      <c r="A6608" s="125">
        <v>6547</v>
      </c>
      <c r="B6608" s="1831"/>
      <c r="D6608" s="2" t="str">
        <f t="shared" si="102"/>
        <v>OK</v>
      </c>
      <c r="E6608" s="4" t="s">
        <v>1994</v>
      </c>
    </row>
    <row r="6609" spans="1:5" x14ac:dyDescent="0.2">
      <c r="A6609" s="125">
        <v>6548</v>
      </c>
      <c r="B6609" s="1831"/>
      <c r="D6609" s="2" t="str">
        <f t="shared" si="102"/>
        <v>OK</v>
      </c>
      <c r="E6609" s="4" t="s">
        <v>1994</v>
      </c>
    </row>
    <row r="6610" spans="1:5" x14ac:dyDescent="0.2">
      <c r="A6610" s="125">
        <v>6549</v>
      </c>
      <c r="B6610" s="1831"/>
      <c r="D6610" s="2" t="str">
        <f t="shared" si="102"/>
        <v>OK</v>
      </c>
      <c r="E6610" s="4" t="s">
        <v>1994</v>
      </c>
    </row>
    <row r="6611" spans="1:5" x14ac:dyDescent="0.2">
      <c r="A6611" s="125">
        <v>6550</v>
      </c>
      <c r="B6611" s="1831"/>
      <c r="D6611" s="2" t="str">
        <f t="shared" si="102"/>
        <v>OK</v>
      </c>
      <c r="E6611" s="4" t="s">
        <v>1994</v>
      </c>
    </row>
    <row r="6612" spans="1:5" x14ac:dyDescent="0.2">
      <c r="A6612" s="125">
        <v>6551</v>
      </c>
      <c r="B6612" s="1831"/>
      <c r="D6612" s="2" t="str">
        <f t="shared" si="102"/>
        <v>OK</v>
      </c>
      <c r="E6612" s="4" t="s">
        <v>1994</v>
      </c>
    </row>
    <row r="6613" spans="1:5" x14ac:dyDescent="0.2">
      <c r="A6613" s="125">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238137</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1898</v>
      </c>
    </row>
    <row r="6842" spans="1:5" x14ac:dyDescent="0.2">
      <c r="A6842" s="125">
        <v>6781</v>
      </c>
      <c r="B6842" s="1831"/>
      <c r="D6842" s="2" t="str">
        <f t="shared" si="105"/>
        <v>OK</v>
      </c>
      <c r="E6842" s="1" t="s">
        <v>1898</v>
      </c>
    </row>
    <row r="6843" spans="1:5" x14ac:dyDescent="0.2">
      <c r="A6843" s="125">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294475</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136063</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136063</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136063</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136063</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8747</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8747</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8747</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234485</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8747</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212570</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13318</v>
      </c>
      <c r="D7073" s="2" t="str">
        <f t="shared" si="109"/>
        <v>Error?</v>
      </c>
    </row>
    <row r="7074" spans="1:4" x14ac:dyDescent="0.2">
      <c r="A7074">
        <v>7013</v>
      </c>
      <c r="B7074" s="1831">
        <f>'Expenditures 15-22'!K216</f>
        <v>13318</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35053</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35053</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35747</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35747</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-2934</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-2934</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61183</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61183</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105436</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105436</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234485</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234485</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234485</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234485</v>
      </c>
      <c r="D7224" s="2" t="str">
        <f t="shared" si="111"/>
        <v>Error?</v>
      </c>
    </row>
    <row r="7225" spans="1:4" x14ac:dyDescent="0.2">
      <c r="A7225">
        <v>7164</v>
      </c>
      <c r="B7225" s="1831">
        <f>'Expenditures 15-22'!K343</f>
        <v>-21915</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44426</v>
      </c>
      <c r="D7246" s="2" t="str">
        <f t="shared" si="112"/>
        <v>Error?</v>
      </c>
    </row>
    <row r="7247" spans="1:4" x14ac:dyDescent="0.2">
      <c r="A7247">
        <f t="shared" si="113"/>
        <v>7186</v>
      </c>
      <c r="B7247" s="1831">
        <f>'Expenditures 15-22'!E7</f>
        <v>1165</v>
      </c>
      <c r="D7247" s="2" t="str">
        <f t="shared" si="112"/>
        <v>Error?</v>
      </c>
    </row>
    <row r="7248" spans="1:4" x14ac:dyDescent="0.2">
      <c r="A7248">
        <f t="shared" si="113"/>
        <v>7187</v>
      </c>
      <c r="B7248" s="1831">
        <f>'Expenditures 15-22'!F7</f>
        <v>10747</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144810</v>
      </c>
      <c r="D7624" s="2" t="str">
        <f t="shared" si="124"/>
        <v>Error?</v>
      </c>
      <c r="E7624" s="2" t="s">
        <v>19</v>
      </c>
    </row>
    <row r="7625" spans="1:5" x14ac:dyDescent="0.2">
      <c r="A7625">
        <f t="shared" si="123"/>
        <v>7564</v>
      </c>
      <c r="B7625" s="1831">
        <f>'Cap Outlay Deprec 26'!I17</f>
        <v>14481</v>
      </c>
      <c r="D7625" s="2" t="str">
        <f t="shared" si="124"/>
        <v>Error?</v>
      </c>
      <c r="E7625" s="2" t="s">
        <v>19</v>
      </c>
    </row>
    <row r="7626" spans="1:5" x14ac:dyDescent="0.2">
      <c r="A7626" s="125">
        <f t="shared" si="123"/>
        <v>7565</v>
      </c>
      <c r="B7626" s="1831"/>
      <c r="D7626" s="2" t="str">
        <f t="shared" si="124"/>
        <v>OK</v>
      </c>
      <c r="E7626" s="4" t="s">
        <v>1323</v>
      </c>
    </row>
    <row r="7627" spans="1:5" x14ac:dyDescent="0.2">
      <c r="A7627" s="125">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1323</v>
      </c>
    </row>
    <row r="7630" spans="1:5" x14ac:dyDescent="0.2">
      <c r="A7630" s="125">
        <f t="shared" ref="A7630:A7650" si="125">A7629+1</f>
        <v>7569</v>
      </c>
      <c r="B7630" s="1831"/>
      <c r="D7630" s="2" t="str">
        <f t="shared" si="124"/>
        <v>OK</v>
      </c>
      <c r="E7630" s="4" t="s">
        <v>1323</v>
      </c>
    </row>
    <row r="7631" spans="1:5" x14ac:dyDescent="0.2">
      <c r="A7631">
        <f t="shared" si="125"/>
        <v>7570</v>
      </c>
      <c r="B7631" s="1831">
        <f>'Cap Outlay Deprec 26'!I18</f>
        <v>493602</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1323</v>
      </c>
    </row>
    <row r="7634" spans="1:6" x14ac:dyDescent="0.2">
      <c r="A7634" s="125">
        <f t="shared" si="125"/>
        <v>7573</v>
      </c>
      <c r="B7634" s="1831"/>
      <c r="D7634" s="2" t="str">
        <f t="shared" si="124"/>
        <v>OK</v>
      </c>
      <c r="E7634" s="4" t="s">
        <v>1323</v>
      </c>
    </row>
    <row r="7635" spans="1:6" x14ac:dyDescent="0.2">
      <c r="A7635" s="125">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1995</v>
      </c>
    </row>
    <row r="7641" spans="1:6" x14ac:dyDescent="0.2">
      <c r="A7641" s="125">
        <f t="shared" si="125"/>
        <v>7580</v>
      </c>
      <c r="B7641" s="1832"/>
      <c r="D7641" s="2" t="str">
        <f t="shared" si="124"/>
        <v>OK</v>
      </c>
      <c r="E7641" s="4" t="s">
        <v>1995</v>
      </c>
    </row>
    <row r="7642" spans="1:6" x14ac:dyDescent="0.2">
      <c r="A7642" s="125">
        <f t="shared" si="125"/>
        <v>7581</v>
      </c>
      <c r="B7642" s="1832"/>
      <c r="D7642" s="2" t="str">
        <f t="shared" si="124"/>
        <v>OK</v>
      </c>
      <c r="E7642" s="4" t="s">
        <v>1995</v>
      </c>
    </row>
    <row r="7643" spans="1:6" x14ac:dyDescent="0.2">
      <c r="A7643" s="125">
        <f t="shared" si="125"/>
        <v>7582</v>
      </c>
      <c r="B7643" s="1832"/>
      <c r="D7643" s="2" t="str">
        <f t="shared" si="124"/>
        <v>OK</v>
      </c>
      <c r="E7643" s="4" t="s">
        <v>1995</v>
      </c>
    </row>
    <row r="7644" spans="1:6" x14ac:dyDescent="0.2">
      <c r="A7644" s="125">
        <f t="shared" si="125"/>
        <v>7583</v>
      </c>
      <c r="B7644" s="1832"/>
      <c r="D7644" s="2" t="str">
        <f t="shared" si="124"/>
        <v>OK</v>
      </c>
      <c r="E7644" s="4" t="s">
        <v>1995</v>
      </c>
    </row>
    <row r="7645" spans="1:6" x14ac:dyDescent="0.2">
      <c r="A7645" s="125">
        <f t="shared" si="125"/>
        <v>7584</v>
      </c>
      <c r="B7645" s="1832"/>
      <c r="D7645" s="2" t="str">
        <f t="shared" si="124"/>
        <v>OK</v>
      </c>
      <c r="E7645" s="4" t="s">
        <v>1995</v>
      </c>
    </row>
    <row r="7646" spans="1:6" x14ac:dyDescent="0.2">
      <c r="A7646" s="125">
        <f t="shared" si="125"/>
        <v>7585</v>
      </c>
      <c r="B7646" s="1832"/>
      <c r="D7646" s="2" t="str">
        <f t="shared" si="124"/>
        <v>OK</v>
      </c>
      <c r="E7646" s="4" t="s">
        <v>1995</v>
      </c>
    </row>
    <row r="7647" spans="1:6" x14ac:dyDescent="0.2">
      <c r="A7647" s="125">
        <f t="shared" si="125"/>
        <v>7586</v>
      </c>
      <c r="B7647" s="1832"/>
      <c r="D7647" s="2" t="str">
        <f t="shared" si="124"/>
        <v>OK</v>
      </c>
      <c r="E7647" s="4" t="s">
        <v>1995</v>
      </c>
    </row>
    <row r="7648" spans="1:6" x14ac:dyDescent="0.2">
      <c r="A7648" s="125">
        <f t="shared" si="125"/>
        <v>7587</v>
      </c>
      <c r="B7648" s="1832"/>
      <c r="D7648" s="2" t="str">
        <f t="shared" si="124"/>
        <v>OK</v>
      </c>
      <c r="E7648" s="4" t="s">
        <v>1995</v>
      </c>
    </row>
    <row r="7649" spans="1:5" x14ac:dyDescent="0.2">
      <c r="A7649" s="125">
        <f t="shared" si="125"/>
        <v>7588</v>
      </c>
      <c r="B7649" s="1832"/>
      <c r="D7649" s="2" t="str">
        <f t="shared" si="124"/>
        <v>OK</v>
      </c>
      <c r="E7649" s="4" t="s">
        <v>1995</v>
      </c>
    </row>
    <row r="7650" spans="1:5" x14ac:dyDescent="0.2">
      <c r="A7650" s="125">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11691</v>
      </c>
      <c r="D7657" s="2" t="str">
        <f t="shared" si="124"/>
        <v>Error?</v>
      </c>
      <c r="E7657" s="2" t="s">
        <v>822</v>
      </c>
    </row>
    <row r="7658" spans="1:5" x14ac:dyDescent="0.2">
      <c r="A7658">
        <v>7597</v>
      </c>
      <c r="B7658" s="1831">
        <f>'Acct Summary 7-8'!D57</f>
        <v>8456</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1509</v>
      </c>
      <c r="D7666" s="2" t="str">
        <f t="shared" si="124"/>
        <v>Error?</v>
      </c>
      <c r="E7666" s="2" t="s">
        <v>822</v>
      </c>
    </row>
    <row r="7667" spans="1:5" x14ac:dyDescent="0.2">
      <c r="A7667">
        <v>7606</v>
      </c>
      <c r="B7667" s="1831">
        <f>'Acct Summary 7-8'!D61</f>
        <v>1536</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22758</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50000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325041</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5">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200000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140000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5">
        <v>7695</v>
      </c>
      <c r="B7756" s="1831"/>
      <c r="D7756" s="2" t="str">
        <f t="shared" si="127"/>
        <v>OK</v>
      </c>
      <c r="E7756" s="4" t="s">
        <v>1322</v>
      </c>
      <c r="F7756" t="s">
        <v>1428</v>
      </c>
    </row>
    <row r="7757" spans="1:6" x14ac:dyDescent="0.2">
      <c r="A7757" s="125">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48841</v>
      </c>
      <c r="D7759" s="2" t="str">
        <f t="shared" si="127"/>
        <v>Error?</v>
      </c>
      <c r="E7759" s="4" t="s">
        <v>1322</v>
      </c>
    </row>
    <row r="7760" spans="1:6" x14ac:dyDescent="0.2">
      <c r="A7760">
        <v>7699</v>
      </c>
      <c r="B7760" s="1831">
        <f>'Aud Quest 2'!J90</f>
        <v>48841</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5">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5">
        <v>7736</v>
      </c>
      <c r="B7797" s="1831"/>
      <c r="D7797" s="2" t="str">
        <f t="shared" si="127"/>
        <v>OK</v>
      </c>
      <c r="E7797" s="4" t="s">
        <v>1979</v>
      </c>
    </row>
    <row r="7798" spans="1:5" x14ac:dyDescent="0.2">
      <c r="A7798" s="125">
        <v>7737</v>
      </c>
      <c r="B7798" s="1831"/>
      <c r="D7798" s="2" t="str">
        <f t="shared" si="127"/>
        <v>OK</v>
      </c>
      <c r="E7798" s="4" t="s">
        <v>1979</v>
      </c>
    </row>
    <row r="7799" spans="1:5" x14ac:dyDescent="0.2">
      <c r="A7799" s="125">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5850000</v>
      </c>
      <c r="D7817" s="2" t="str">
        <f t="shared" si="128"/>
        <v>Error?</v>
      </c>
      <c r="E7817" s="4" t="s">
        <v>1966</v>
      </c>
    </row>
    <row r="7818" spans="1:5" x14ac:dyDescent="0.2">
      <c r="A7818">
        <v>7757</v>
      </c>
      <c r="B7818" s="1831">
        <f>'PCTC-OEPP 27-28'!F172</f>
        <v>96457.03</v>
      </c>
      <c r="D7818" s="2" t="str">
        <f t="shared" si="128"/>
        <v>Error?</v>
      </c>
      <c r="E7818" s="4" t="s">
        <v>1980</v>
      </c>
    </row>
    <row r="7819" spans="1:5" x14ac:dyDescent="0.2">
      <c r="A7819">
        <v>7758</v>
      </c>
      <c r="B7819" s="1831">
        <f>'PCTC-OEPP 27-28'!F173</f>
        <v>11275.07</v>
      </c>
      <c r="D7819" s="2" t="str">
        <f t="shared" si="128"/>
        <v>Error?</v>
      </c>
      <c r="E7819" s="4" t="s">
        <v>1980</v>
      </c>
    </row>
    <row r="7820" spans="1:5" x14ac:dyDescent="0.2">
      <c r="A7820">
        <v>7759</v>
      </c>
      <c r="B7820" s="1831">
        <f>'ICR Computation 30'!E40</f>
        <v>-192696.59</v>
      </c>
      <c r="D7820" s="2" t="str">
        <f t="shared" si="128"/>
        <v>Error?</v>
      </c>
    </row>
    <row r="7821" spans="1:5" x14ac:dyDescent="0.2">
      <c r="A7821">
        <v>7760</v>
      </c>
      <c r="B7821" s="1831">
        <f>'ICR Computation 30'!G40</f>
        <v>-192696.59</v>
      </c>
      <c r="D7821" s="2" t="str">
        <f t="shared" si="128"/>
        <v>Error?</v>
      </c>
    </row>
    <row r="7822" spans="1:5" x14ac:dyDescent="0.2">
      <c r="A7822" s="1">
        <v>7761</v>
      </c>
      <c r="B7822" s="1831">
        <f>'PCTC-OEPP 27-28'!F14</f>
        <v>8401975</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294475</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49359</v>
      </c>
      <c r="D7830" s="2" t="str">
        <f t="shared" si="129"/>
        <v>Error?</v>
      </c>
      <c r="E7830" s="4" t="s">
        <v>1998</v>
      </c>
    </row>
    <row r="7831" spans="1:5" x14ac:dyDescent="0.2">
      <c r="A7831">
        <v>7770</v>
      </c>
      <c r="B7831" s="1831">
        <f>'PCTC-OEPP 27-28'!F52</f>
        <v>22269</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2129955</v>
      </c>
      <c r="D7834" s="2" t="str">
        <f t="shared" si="129"/>
        <v>Error?</v>
      </c>
      <c r="E7834" s="4" t="s">
        <v>1998</v>
      </c>
    </row>
    <row r="7835" spans="1:5" x14ac:dyDescent="0.2">
      <c r="A7835">
        <v>7774</v>
      </c>
      <c r="B7835" s="1831">
        <f>'PCTC-OEPP 27-28'!F78</f>
        <v>6272020</v>
      </c>
      <c r="D7835" s="2" t="str">
        <f t="shared" si="129"/>
        <v>Error?</v>
      </c>
      <c r="E7835" s="4" t="s">
        <v>1998</v>
      </c>
    </row>
    <row r="7836" spans="1:5" x14ac:dyDescent="0.2">
      <c r="A7836" s="125">
        <v>7775</v>
      </c>
      <c r="B7836" s="1831"/>
      <c r="D7836" s="2" t="str">
        <f t="shared" si="129"/>
        <v>OK</v>
      </c>
      <c r="E7836" s="4" t="s">
        <v>2000</v>
      </c>
    </row>
    <row r="7837" spans="1:5" x14ac:dyDescent="0.2">
      <c r="A7837">
        <v>7776</v>
      </c>
      <c r="B7837" s="1831">
        <f>'PCTC-OEPP 27-28'!F80</f>
        <v>16461.994750656169</v>
      </c>
      <c r="D7837" s="2" t="str">
        <f t="shared" si="129"/>
        <v>Error?</v>
      </c>
      <c r="E7837" s="4" t="s">
        <v>1998</v>
      </c>
    </row>
    <row r="7838" spans="1:5" x14ac:dyDescent="0.2">
      <c r="A7838">
        <v>7777</v>
      </c>
      <c r="B7838" s="1831">
        <f>'PCTC-OEPP 27-28'!F96</f>
        <v>5608</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12787</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183171</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258145</v>
      </c>
      <c r="D7858" s="2" t="str">
        <f t="shared" si="129"/>
        <v>Error?</v>
      </c>
      <c r="E7858" s="4" t="s">
        <v>1998</v>
      </c>
    </row>
    <row r="7859" spans="1:5" x14ac:dyDescent="0.2">
      <c r="A7859">
        <v>7798</v>
      </c>
      <c r="B7859" s="1831">
        <f>'PCTC-OEPP 27-28'!F127</f>
        <v>132917</v>
      </c>
      <c r="D7859" s="2" t="str">
        <f t="shared" si="129"/>
        <v>Error?</v>
      </c>
      <c r="E7859" s="4" t="s">
        <v>1998</v>
      </c>
    </row>
    <row r="7860" spans="1:5" x14ac:dyDescent="0.2">
      <c r="A7860">
        <v>7799</v>
      </c>
      <c r="B7860" s="1831">
        <f>'PCTC-OEPP 27-28'!F128</f>
        <v>14440</v>
      </c>
      <c r="D7860" s="2" t="str">
        <f t="shared" si="129"/>
        <v>Error?</v>
      </c>
      <c r="E7860" s="4" t="s">
        <v>1998</v>
      </c>
    </row>
    <row r="7861" spans="1:5" x14ac:dyDescent="0.2">
      <c r="A7861">
        <v>7800</v>
      </c>
      <c r="B7861" s="1831">
        <f>'PCTC-OEPP 27-28'!F129</f>
        <v>113416</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22397</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77305</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931187.1</v>
      </c>
      <c r="D7877" s="2" t="str">
        <f t="shared" si="129"/>
        <v>Error?</v>
      </c>
      <c r="E7877" s="4" t="s">
        <v>1998</v>
      </c>
    </row>
    <row r="7878" spans="1:5" x14ac:dyDescent="0.2">
      <c r="A7878">
        <v>7817</v>
      </c>
      <c r="B7878" s="1831">
        <f>'PCTC-OEPP 27-28'!F176</f>
        <v>5340832.9000000004</v>
      </c>
      <c r="D7878" s="2" t="str">
        <f t="shared" si="129"/>
        <v>Error?</v>
      </c>
      <c r="E7878" s="4" t="s">
        <v>1998</v>
      </c>
    </row>
    <row r="7879" spans="1:5" x14ac:dyDescent="0.2">
      <c r="A7879">
        <v>7818</v>
      </c>
      <c r="B7879" s="1831">
        <f>'PCTC-OEPP 27-28'!F178</f>
        <v>5834434.9000000004</v>
      </c>
      <c r="D7879" s="2" t="str">
        <f t="shared" si="129"/>
        <v>Error?</v>
      </c>
      <c r="E7879" s="4" t="s">
        <v>1998</v>
      </c>
    </row>
    <row r="7880" spans="1:5" x14ac:dyDescent="0.2">
      <c r="A7880">
        <v>7819</v>
      </c>
      <c r="B7880" s="1831">
        <f>'PCTC-OEPP 27-28'!F180</f>
        <v>15313.477427821523</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28515625" defaultRowHeight="12.75" x14ac:dyDescent="0.2"/>
  <cols>
    <col min="1" max="1" width="7.7109375" style="958" customWidth="1"/>
    <col min="2" max="2" width="2.28515625" style="954" customWidth="1"/>
    <col min="3" max="3" width="9.28515625" style="958"/>
    <col min="4" max="4" width="13" style="958" customWidth="1"/>
    <col min="5" max="5" width="16" style="958" customWidth="1"/>
    <col min="6" max="6" width="4.28515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7109375" style="958" customWidth="1"/>
    <col min="13" max="13" width="2.7109375" style="958" customWidth="1"/>
    <col min="14" max="14" width="13.28515625" style="958" customWidth="1"/>
    <col min="15" max="15" width="7.28515625" style="958" customWidth="1"/>
    <col min="16" max="16" width="7" style="958" customWidth="1"/>
    <col min="17" max="19" width="9.7109375" style="958" customWidth="1"/>
    <col min="20" max="16384" width="9.28515625" style="958"/>
  </cols>
  <sheetData>
    <row r="1" spans="1:29" x14ac:dyDescent="0.2">
      <c r="A1" s="953"/>
      <c r="C1" s="953"/>
      <c r="D1" s="953"/>
      <c r="E1" s="953"/>
      <c r="F1" s="955"/>
      <c r="G1" s="955"/>
      <c r="H1" s="953"/>
      <c r="I1" s="953"/>
      <c r="J1" s="953"/>
      <c r="K1" s="953"/>
      <c r="L1" s="956"/>
      <c r="M1" s="957"/>
    </row>
    <row r="2" spans="1:29" ht="13.5" customHeight="1" x14ac:dyDescent="0.2">
      <c r="A2" s="2516" t="s">
        <v>1181</v>
      </c>
      <c r="B2" s="2516"/>
      <c r="C2" s="2516"/>
      <c r="D2" s="2516"/>
      <c r="E2" s="2516"/>
      <c r="F2" s="2516"/>
      <c r="G2" s="2516"/>
      <c r="H2" s="2516"/>
      <c r="I2" s="2516"/>
      <c r="J2" s="2516"/>
      <c r="K2" s="2516"/>
      <c r="L2" s="2516"/>
    </row>
    <row r="3" spans="1:29" ht="13.5" customHeight="1" x14ac:dyDescent="0.2">
      <c r="A3" s="2548" t="s">
        <v>1180</v>
      </c>
      <c r="B3" s="2548"/>
      <c r="C3" s="2548"/>
      <c r="D3" s="2548"/>
      <c r="E3" s="2548"/>
      <c r="F3" s="2548"/>
      <c r="G3" s="2548"/>
      <c r="H3" s="2548"/>
      <c r="I3" s="2548"/>
      <c r="J3" s="2548"/>
      <c r="K3" s="2548"/>
      <c r="L3" s="2548"/>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9" t="str">
        <f>COVER!A17</f>
        <v xml:space="preserve"> Lindop SD 92</v>
      </c>
      <c r="B7" s="2540"/>
      <c r="C7" s="2540"/>
      <c r="D7" s="2541"/>
      <c r="E7" s="2542">
        <f>COVER!A13</f>
        <v>6016092002</v>
      </c>
      <c r="F7" s="2543"/>
      <c r="G7" s="2549" t="str">
        <f>COVER!T23</f>
        <v>066-005340</v>
      </c>
      <c r="H7" s="2550"/>
      <c r="I7" s="2550"/>
      <c r="J7" s="2550"/>
      <c r="K7" s="2550"/>
      <c r="L7" s="2551"/>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52"/>
      <c r="B9" s="2553"/>
      <c r="C9" s="2553"/>
      <c r="D9" s="2553"/>
      <c r="E9" s="2553"/>
      <c r="F9" s="2554"/>
      <c r="G9" s="2522" t="str">
        <f>COVER!T13</f>
        <v>EVANS, MARSHALL &amp; PEASE, P.C.</v>
      </c>
      <c r="H9" s="2555"/>
      <c r="I9" s="2555"/>
      <c r="J9" s="2555"/>
      <c r="K9" s="2555"/>
      <c r="L9" s="2556"/>
    </row>
    <row r="10" spans="1:29" ht="13.5" customHeight="1" x14ac:dyDescent="0.2">
      <c r="A10" s="2528">
        <f>COVER!A38</f>
        <v>0</v>
      </c>
      <c r="B10" s="2529"/>
      <c r="C10" s="2529"/>
      <c r="D10" s="2529"/>
      <c r="E10" s="2529"/>
      <c r="F10" s="2530"/>
      <c r="G10" s="2522" t="str">
        <f>COVER!T17</f>
        <v>1875 HICKS ROAD</v>
      </c>
      <c r="H10" s="2523"/>
      <c r="I10" s="2523"/>
      <c r="J10" s="2523"/>
      <c r="K10" s="2523"/>
      <c r="L10" s="2524"/>
    </row>
    <row r="11" spans="1:29" ht="13.5" customHeight="1" x14ac:dyDescent="0.2">
      <c r="A11" s="962" t="s">
        <v>1502</v>
      </c>
      <c r="B11" s="963"/>
      <c r="C11" s="964"/>
      <c r="D11" s="969"/>
      <c r="E11" s="964"/>
      <c r="F11" s="968"/>
      <c r="G11" s="2522" t="str">
        <f>COVER!T19</f>
        <v>ROLLING MEADOWS</v>
      </c>
      <c r="H11" s="2523"/>
      <c r="I11" s="2523"/>
      <c r="J11" s="2523"/>
      <c r="K11" s="2523"/>
      <c r="L11" s="2524"/>
    </row>
    <row r="12" spans="1:29" ht="13.5" customHeight="1" x14ac:dyDescent="0.2">
      <c r="A12" s="2531" t="s">
        <v>1501</v>
      </c>
      <c r="B12" s="2532"/>
      <c r="C12" s="2532"/>
      <c r="D12" s="2532"/>
      <c r="E12" s="2532"/>
      <c r="F12" s="2533"/>
      <c r="G12" s="2525"/>
      <c r="H12" s="2526"/>
      <c r="I12" s="2526"/>
      <c r="J12" s="2526"/>
      <c r="K12" s="2526"/>
      <c r="L12" s="2527"/>
    </row>
    <row r="13" spans="1:29" ht="13.5" customHeight="1" x14ac:dyDescent="0.2">
      <c r="A13" s="2522"/>
      <c r="B13" s="2523"/>
      <c r="C13" s="2523"/>
      <c r="D13" s="2523"/>
      <c r="E13" s="2523"/>
      <c r="F13" s="2524"/>
      <c r="G13" s="2517" t="s">
        <v>1503</v>
      </c>
      <c r="H13" s="2518"/>
      <c r="I13" s="2534" t="str">
        <f>COVER!T25</f>
        <v>CHRIS@EMPCPA.COM</v>
      </c>
      <c r="J13" s="2535"/>
      <c r="K13" s="2535"/>
      <c r="L13" s="2536"/>
    </row>
    <row r="14" spans="1:29" ht="13.5" customHeight="1" x14ac:dyDescent="0.2">
      <c r="A14" s="2522" t="str">
        <f>COVER!A19</f>
        <v>2400 SOUTH 18TH AVENUE</v>
      </c>
      <c r="B14" s="2523"/>
      <c r="C14" s="2523"/>
      <c r="D14" s="2523"/>
      <c r="E14" s="2523"/>
      <c r="F14" s="2524"/>
      <c r="G14" s="973" t="s">
        <v>1175</v>
      </c>
      <c r="H14" s="971"/>
      <c r="I14" s="971"/>
      <c r="J14" s="971"/>
      <c r="K14" s="971"/>
      <c r="L14" s="972"/>
    </row>
    <row r="15" spans="1:29" ht="13.5" customHeight="1" x14ac:dyDescent="0.2">
      <c r="A15" s="2522" t="str">
        <f>COVER!A21</f>
        <v>BROADVIEW</v>
      </c>
      <c r="B15" s="2523"/>
      <c r="C15" s="2523"/>
      <c r="D15" s="2523"/>
      <c r="E15" s="2523"/>
      <c r="F15" s="2524"/>
      <c r="G15" s="2519" t="str">
        <f>COVER!T15</f>
        <v>CHRISTOPHER M. SCALET, CPA</v>
      </c>
      <c r="H15" s="2520"/>
      <c r="I15" s="2520"/>
      <c r="J15" s="2520"/>
      <c r="K15" s="2520"/>
      <c r="L15" s="2521"/>
    </row>
    <row r="16" spans="1:29" ht="12.4" customHeight="1" x14ac:dyDescent="0.2">
      <c r="A16" s="2545">
        <f>COVER!A25</f>
        <v>60153</v>
      </c>
      <c r="B16" s="2546"/>
      <c r="C16" s="2546"/>
      <c r="D16" s="2546"/>
      <c r="E16" s="2546"/>
      <c r="F16" s="2547"/>
      <c r="G16" s="2557"/>
      <c r="H16" s="2558"/>
      <c r="I16" s="2558"/>
      <c r="J16" s="2558"/>
      <c r="K16" s="2558"/>
      <c r="L16" s="2559"/>
    </row>
    <row r="17" spans="1:13" ht="12.4" customHeight="1" x14ac:dyDescent="0.2">
      <c r="A17" s="2560"/>
      <c r="B17" s="2546"/>
      <c r="C17" s="2546"/>
      <c r="D17" s="2546"/>
      <c r="E17" s="2546"/>
      <c r="F17" s="2547"/>
      <c r="G17" s="973" t="s">
        <v>1174</v>
      </c>
      <c r="H17" s="971"/>
      <c r="I17" s="971"/>
      <c r="J17" s="971"/>
      <c r="K17" s="975" t="s">
        <v>1173</v>
      </c>
      <c r="L17" s="968"/>
      <c r="M17" s="961"/>
    </row>
    <row r="18" spans="1:13" ht="12.4" customHeight="1" x14ac:dyDescent="0.2">
      <c r="A18" s="2528"/>
      <c r="B18" s="2529"/>
      <c r="C18" s="2529"/>
      <c r="D18" s="2529"/>
      <c r="E18" s="2529"/>
      <c r="F18" s="2530"/>
      <c r="G18" s="2539" t="str">
        <f>COVER!T21</f>
        <v>847-221-5700</v>
      </c>
      <c r="H18" s="2540"/>
      <c r="I18" s="2540"/>
      <c r="J18" s="2540"/>
      <c r="K18" s="2539" t="str">
        <f>COVER!X21</f>
        <v>547-221-5701</v>
      </c>
      <c r="L18" s="2544"/>
    </row>
    <row r="19" spans="1:13" ht="12.4" customHeight="1" x14ac:dyDescent="0.2">
      <c r="A19" s="976"/>
      <c r="C19" s="976"/>
      <c r="D19" s="976"/>
      <c r="E19" s="976"/>
      <c r="F19" s="976"/>
      <c r="G19" s="976"/>
      <c r="H19" s="976"/>
      <c r="I19" s="976"/>
      <c r="J19" s="976"/>
      <c r="K19" s="976"/>
      <c r="L19" s="976"/>
    </row>
    <row r="20" spans="1:13" ht="12.4" customHeight="1" x14ac:dyDescent="0.2">
      <c r="A20" s="976"/>
      <c r="C20" s="976"/>
      <c r="D20" s="976"/>
      <c r="E20" s="976"/>
      <c r="F20" s="976"/>
      <c r="G20" s="976"/>
      <c r="H20" s="976"/>
      <c r="I20" s="976"/>
      <c r="J20" s="976" t="s">
        <v>1159</v>
      </c>
      <c r="K20" s="954" t="s">
        <v>1159</v>
      </c>
    </row>
    <row r="21" spans="1:13" ht="12.4" customHeight="1" x14ac:dyDescent="0.2">
      <c r="A21" s="977" t="s">
        <v>1676</v>
      </c>
    </row>
    <row r="22" spans="1:13" ht="12.4" customHeight="1" x14ac:dyDescent="0.2">
      <c r="A22" s="978"/>
    </row>
    <row r="23" spans="1:13" ht="12.4"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4" customHeight="1" x14ac:dyDescent="0.2">
      <c r="B26" s="979"/>
      <c r="C26" s="980" t="s">
        <v>1677</v>
      </c>
    </row>
    <row r="27" spans="1:13" s="976" customFormat="1" ht="9" customHeight="1" x14ac:dyDescent="0.2">
      <c r="B27" s="981"/>
      <c r="C27" s="980"/>
    </row>
    <row r="28" spans="1:13" s="976" customFormat="1" ht="12.4" customHeight="1" x14ac:dyDescent="0.2">
      <c r="A28" s="983"/>
      <c r="B28" s="979"/>
      <c r="C28" s="980" t="s">
        <v>1678</v>
      </c>
    </row>
    <row r="29" spans="1:13" s="976" customFormat="1" ht="9" customHeight="1" x14ac:dyDescent="0.2">
      <c r="A29" s="983"/>
      <c r="B29" s="981"/>
      <c r="C29" s="980"/>
    </row>
    <row r="30" spans="1:13" s="976" customFormat="1" ht="12.4" customHeight="1" x14ac:dyDescent="0.2">
      <c r="B30" s="979"/>
      <c r="C30" s="980" t="s">
        <v>1545</v>
      </c>
      <c r="D30" s="974"/>
      <c r="E30" s="974"/>
    </row>
    <row r="31" spans="1:13" s="976" customFormat="1" ht="9" customHeight="1" x14ac:dyDescent="0.2">
      <c r="B31" s="981"/>
      <c r="C31" s="980"/>
      <c r="D31" s="974"/>
      <c r="E31" s="974"/>
    </row>
    <row r="32" spans="1:13" s="976" customFormat="1" ht="12.4"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4"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3.1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4" customHeight="1" x14ac:dyDescent="0.2">
      <c r="B46" s="979"/>
      <c r="C46" s="987" t="s">
        <v>1551</v>
      </c>
      <c r="D46" s="974"/>
      <c r="E46" s="974"/>
      <c r="F46" s="974"/>
      <c r="G46" s="974"/>
      <c r="H46" s="974"/>
    </row>
    <row r="47" spans="1:8" ht="9" customHeight="1" x14ac:dyDescent="0.2"/>
    <row r="48" spans="1:8" ht="12.4" customHeight="1" x14ac:dyDescent="0.2">
      <c r="B48" s="1540"/>
      <c r="C48" s="988" t="s">
        <v>1552</v>
      </c>
    </row>
    <row r="49" spans="1:12" ht="9" customHeight="1" x14ac:dyDescent="0.2"/>
    <row r="50" spans="1:12" ht="6" customHeight="1" x14ac:dyDescent="0.2">
      <c r="C50" s="988"/>
    </row>
    <row r="51" spans="1:12" ht="12.4" customHeight="1" x14ac:dyDescent="0.2">
      <c r="A51" s="986"/>
    </row>
    <row r="52" spans="1:12" ht="12.4" customHeight="1" x14ac:dyDescent="0.2"/>
    <row r="53" spans="1:12" ht="12.4" customHeight="1" x14ac:dyDescent="0.2"/>
    <row r="54" spans="1:12" ht="12.4" customHeight="1" x14ac:dyDescent="0.2"/>
    <row r="55" spans="1:12" ht="12.4"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28515625" style="997" customWidth="1"/>
    <col min="6" max="16384" width="10.7109375" style="997"/>
  </cols>
  <sheetData>
    <row r="1" spans="1:11" s="990" customFormat="1" ht="12.75" x14ac:dyDescent="0.2">
      <c r="A1" s="2561" t="str">
        <f>'Single Audit Cover'!A7</f>
        <v xml:space="preserve"> Lindop SD 92</v>
      </c>
      <c r="B1" s="2562"/>
      <c r="C1" s="2562"/>
      <c r="D1" s="2562"/>
    </row>
    <row r="2" spans="1:11" s="990" customFormat="1" ht="12.75" x14ac:dyDescent="0.2">
      <c r="A2" s="2563">
        <f>'Single Audit Cover'!E7</f>
        <v>6016092002</v>
      </c>
      <c r="B2" s="2564"/>
      <c r="C2" s="2564"/>
      <c r="D2" s="2564"/>
    </row>
    <row r="3" spans="1:11" s="990" customFormat="1" ht="12.75" x14ac:dyDescent="0.2">
      <c r="A3" s="2561" t="s">
        <v>1496</v>
      </c>
      <c r="B3" s="2562"/>
      <c r="C3" s="2562"/>
      <c r="D3" s="2562"/>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71093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66" t="str">
        <f>'Single Audit Cover'!A7</f>
        <v xml:space="preserve"> Lindop SD 92</v>
      </c>
      <c r="B1" s="2566"/>
      <c r="C1" s="2566"/>
      <c r="D1" s="2566"/>
      <c r="E1" s="2566"/>
    </row>
    <row r="2" spans="1:5" x14ac:dyDescent="0.2">
      <c r="A2" s="2567">
        <f>'Single Audit Cover'!E7</f>
        <v>6016092002</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5" t="s">
        <v>1232</v>
      </c>
    </row>
    <row r="10" spans="1:5" x14ac:dyDescent="0.2">
      <c r="A10" s="1036" t="s">
        <v>1231</v>
      </c>
      <c r="B10" s="1037" t="s">
        <v>1230</v>
      </c>
      <c r="C10" s="1037"/>
      <c r="D10" s="1038">
        <f>SUM('Acct Summary 7-8'!C7:K7)</f>
        <v>623359</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-77305</v>
      </c>
    </row>
    <row r="19" spans="1:4" ht="13.5" thickBot="1" x14ac:dyDescent="0.25">
      <c r="A19" s="1040" t="s">
        <v>1224</v>
      </c>
      <c r="D19" s="1041">
        <f>SUM(D10:D17)</f>
        <v>546054</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8"/>
      <c r="B24" s="2568"/>
      <c r="D24" s="1043"/>
    </row>
    <row r="25" spans="1:4" x14ac:dyDescent="0.2">
      <c r="A25" s="2565"/>
      <c r="B25" s="2565"/>
      <c r="D25" s="1043"/>
    </row>
    <row r="26" spans="1:4" x14ac:dyDescent="0.2">
      <c r="A26" s="2565"/>
      <c r="B26" s="2565"/>
      <c r="D26" s="1043"/>
    </row>
    <row r="27" spans="1:4" x14ac:dyDescent="0.2">
      <c r="A27" s="2565"/>
      <c r="B27" s="2565"/>
      <c r="D27" s="1043"/>
    </row>
    <row r="28" spans="1:4" x14ac:dyDescent="0.2">
      <c r="A28" s="2565"/>
      <c r="B28" s="2565"/>
      <c r="D28" s="1043"/>
    </row>
    <row r="29" spans="1:4" x14ac:dyDescent="0.2">
      <c r="A29" s="2565"/>
      <c r="B29" s="2565"/>
      <c r="D29" s="1043"/>
    </row>
    <row r="30" spans="1:4" x14ac:dyDescent="0.2">
      <c r="A30" s="2565"/>
      <c r="B30" s="2565"/>
      <c r="D30" s="1043"/>
    </row>
    <row r="32" spans="1:4" x14ac:dyDescent="0.2">
      <c r="A32" s="1035" t="s">
        <v>1222</v>
      </c>
      <c r="D32" s="1038">
        <f>SUM(D19:D30)</f>
        <v>546054</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65"/>
      <c r="B40" s="2565"/>
      <c r="D40" s="1043"/>
    </row>
    <row r="41" spans="1:4" x14ac:dyDescent="0.2">
      <c r="A41" s="2565"/>
      <c r="B41" s="2565"/>
      <c r="D41" s="1046"/>
    </row>
    <row r="42" spans="1:4" x14ac:dyDescent="0.2">
      <c r="A42" s="2565"/>
      <c r="B42" s="2565"/>
      <c r="D42" s="1046"/>
    </row>
    <row r="43" spans="1:4" x14ac:dyDescent="0.2">
      <c r="A43" s="2565"/>
      <c r="B43" s="2565"/>
      <c r="D43" s="1046"/>
    </row>
    <row r="44" spans="1:4" x14ac:dyDescent="0.2">
      <c r="A44" s="2565"/>
      <c r="B44" s="2565"/>
      <c r="D44" s="1046"/>
    </row>
    <row r="45" spans="1:4" x14ac:dyDescent="0.2">
      <c r="A45" s="2565"/>
      <c r="B45" s="2565"/>
      <c r="D45" s="1046"/>
    </row>
    <row r="47" spans="1:4" x14ac:dyDescent="0.2">
      <c r="B47" s="1047" t="s">
        <v>1216</v>
      </c>
      <c r="C47" s="1047"/>
      <c r="D47" s="1048">
        <f>SUM(D35:D45)</f>
        <v>0</v>
      </c>
    </row>
    <row r="49" spans="2:4" x14ac:dyDescent="0.2">
      <c r="B49" s="1047" t="s">
        <v>1215</v>
      </c>
      <c r="C49" s="1047"/>
      <c r="D49" s="1048">
        <f>D32-D47</f>
        <v>546054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28515625" style="294" customWidth="1"/>
    <col min="2" max="2" width="32.71093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48" t="str">
        <f>'Single Audit Cover'!A7</f>
        <v xml:space="preserve"> Lindop SD 92</v>
      </c>
      <c r="C1" s="2570"/>
      <c r="D1" s="2570"/>
      <c r="E1" s="2570"/>
      <c r="F1" s="2570"/>
      <c r="G1" s="2570"/>
      <c r="H1" s="2570"/>
      <c r="I1" s="2570"/>
      <c r="J1" s="2570"/>
      <c r="K1" s="2570"/>
      <c r="L1" s="2570"/>
      <c r="M1" s="2570"/>
    </row>
    <row r="2" spans="2:14" ht="15" x14ac:dyDescent="0.2">
      <c r="B2" s="2571">
        <f>'Single Audit Cover'!E7</f>
        <v>6016092002</v>
      </c>
      <c r="C2" s="2571"/>
      <c r="D2" s="2571"/>
      <c r="E2" s="2571"/>
      <c r="F2" s="2571"/>
      <c r="G2" s="2571"/>
      <c r="H2" s="2571"/>
      <c r="I2" s="2571"/>
      <c r="J2" s="2571"/>
      <c r="K2" s="2571"/>
      <c r="L2" s="2571"/>
      <c r="M2" s="2571"/>
      <c r="N2" s="1077"/>
    </row>
    <row r="3" spans="2:14" ht="15" x14ac:dyDescent="0.2">
      <c r="B3" s="2572" t="s">
        <v>1208</v>
      </c>
      <c r="C3" s="2572"/>
      <c r="D3" s="2572"/>
      <c r="E3" s="2572"/>
      <c r="F3" s="2572"/>
      <c r="G3" s="2572"/>
      <c r="H3" s="2572"/>
      <c r="I3" s="2572"/>
      <c r="J3" s="2572"/>
      <c r="K3" s="2572"/>
      <c r="L3" s="2572"/>
      <c r="M3" s="2572"/>
      <c r="N3" s="1077"/>
    </row>
    <row r="4" spans="2:14" ht="15" x14ac:dyDescent="0.2">
      <c r="B4" s="2573" t="str">
        <f>'Single Audit Cover'!A4</f>
        <v>Year Ending June 30, 2020</v>
      </c>
      <c r="C4" s="2573"/>
      <c r="D4" s="2573"/>
      <c r="E4" s="2573"/>
      <c r="F4" s="2573"/>
      <c r="G4" s="2573"/>
      <c r="H4" s="2573"/>
      <c r="I4" s="2573"/>
      <c r="J4" s="2573"/>
      <c r="K4" s="2573"/>
      <c r="L4" s="2573"/>
      <c r="M4" s="2573"/>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4.1500000000000004"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4.1500000000000004"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4.1500000000000004"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83" t="str">
        <f>'Single Audit Cover'!A7</f>
        <v xml:space="preserve"> Lindop SD 92</v>
      </c>
      <c r="B1" s="2583"/>
      <c r="C1" s="2583"/>
      <c r="D1" s="2583"/>
      <c r="E1" s="2583"/>
      <c r="F1" s="2583"/>
    </row>
    <row r="2" spans="1:7" ht="13.5" customHeight="1" x14ac:dyDescent="0.2">
      <c r="A2" s="2571">
        <f>'Single Audit Cover'!E7</f>
        <v>6016092002</v>
      </c>
      <c r="B2" s="2571"/>
      <c r="C2" s="2571"/>
      <c r="D2" s="2571"/>
      <c r="E2" s="2571"/>
      <c r="F2" s="2571"/>
      <c r="G2" s="1050"/>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4"/>
      <c r="D5" s="294"/>
    </row>
    <row r="6" spans="1:7" ht="13.5" customHeight="1" x14ac:dyDescent="0.2">
      <c r="A6" s="1051" t="s">
        <v>1705</v>
      </c>
      <c r="C6" s="294"/>
      <c r="D6" s="294"/>
    </row>
    <row r="7" spans="1:7" ht="61.15" customHeight="1" x14ac:dyDescent="0.2">
      <c r="A7" s="2582" t="s">
        <v>1706</v>
      </c>
      <c r="B7" s="2582"/>
      <c r="C7" s="2582"/>
      <c r="D7" s="2582"/>
      <c r="E7" s="2582"/>
      <c r="F7" s="2582"/>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82" t="s">
        <v>1708</v>
      </c>
      <c r="B13" s="2582"/>
      <c r="C13" s="2582"/>
      <c r="D13" s="2582"/>
      <c r="E13" s="2582"/>
      <c r="F13" s="2582"/>
    </row>
    <row r="14" spans="1:7" ht="9.75" customHeight="1" x14ac:dyDescent="0.2">
      <c r="C14" s="1035"/>
      <c r="D14" s="1035"/>
    </row>
    <row r="15" spans="1:7" ht="13.5" customHeight="1" x14ac:dyDescent="0.2">
      <c r="C15" s="1475" t="s">
        <v>1259</v>
      </c>
      <c r="D15" s="2580" t="s">
        <v>1258</v>
      </c>
      <c r="E15" s="2580"/>
      <c r="F15" s="2580"/>
    </row>
    <row r="16" spans="1:7" ht="13.5" customHeight="1" x14ac:dyDescent="0.2">
      <c r="A16" s="1057"/>
      <c r="B16" s="1051" t="s">
        <v>1257</v>
      </c>
      <c r="C16" s="1475" t="s">
        <v>1256</v>
      </c>
      <c r="D16" s="2581" t="s">
        <v>1571</v>
      </c>
      <c r="E16" s="2581"/>
      <c r="F16" s="2581"/>
    </row>
    <row r="17" spans="1:6" ht="20.65" customHeight="1" x14ac:dyDescent="0.2">
      <c r="A17" s="1058"/>
      <c r="B17" s="1059"/>
      <c r="C17" s="1060"/>
      <c r="D17" s="2575"/>
      <c r="E17" s="2575"/>
      <c r="F17" s="2575"/>
    </row>
    <row r="18" spans="1:6" ht="20.65" customHeight="1" x14ac:dyDescent="0.2">
      <c r="A18" s="1058"/>
      <c r="B18" s="1059"/>
      <c r="C18" s="1060"/>
      <c r="D18" s="2575"/>
      <c r="E18" s="2575"/>
      <c r="F18" s="2575"/>
    </row>
    <row r="19" spans="1:6" ht="20.65" customHeight="1" x14ac:dyDescent="0.2">
      <c r="A19" s="1058"/>
      <c r="B19" s="1059"/>
      <c r="C19" s="1060"/>
      <c r="D19" s="2575"/>
      <c r="E19" s="2575"/>
      <c r="F19" s="2575"/>
    </row>
    <row r="20" spans="1:6" ht="20.65" customHeight="1" x14ac:dyDescent="0.2">
      <c r="A20" s="1058"/>
      <c r="B20" s="1059"/>
      <c r="C20" s="1060"/>
      <c r="D20" s="2575"/>
      <c r="E20" s="2575"/>
      <c r="F20" s="2575"/>
    </row>
    <row r="21" spans="1:6" ht="20.65" customHeight="1" x14ac:dyDescent="0.2">
      <c r="A21" s="1058"/>
      <c r="B21" s="1059"/>
      <c r="C21" s="1060"/>
      <c r="D21" s="2575"/>
      <c r="E21" s="2575"/>
      <c r="F21" s="2575"/>
    </row>
    <row r="22" spans="1:6" ht="20.65" customHeight="1" x14ac:dyDescent="0.2">
      <c r="A22" s="1058"/>
      <c r="B22" s="1059"/>
      <c r="C22" s="1060"/>
      <c r="D22" s="2575"/>
      <c r="E22" s="2575"/>
      <c r="F22" s="2575"/>
    </row>
    <row r="23" spans="1:6" ht="20.65" customHeight="1" x14ac:dyDescent="0.2">
      <c r="A23" s="1058"/>
      <c r="B23" s="1059"/>
      <c r="C23" s="1060"/>
      <c r="D23" s="2575"/>
      <c r="E23" s="2575"/>
      <c r="F23" s="2575"/>
    </row>
    <row r="24" spans="1:6" ht="20.65" customHeight="1" x14ac:dyDescent="0.2">
      <c r="A24" s="1058"/>
      <c r="B24" s="1059"/>
      <c r="C24" s="1060"/>
      <c r="D24" s="2575"/>
      <c r="E24" s="2575"/>
      <c r="F24" s="2575"/>
    </row>
    <row r="25" spans="1:6" ht="20.65" customHeight="1" x14ac:dyDescent="0.2">
      <c r="A25" s="1058"/>
      <c r="B25" s="1059"/>
      <c r="C25" s="1060"/>
      <c r="D25" s="2575"/>
      <c r="E25" s="2575"/>
      <c r="F25" s="2575"/>
    </row>
    <row r="26" spans="1:6" ht="20.65" customHeight="1" x14ac:dyDescent="0.2">
      <c r="A26" s="1058"/>
      <c r="B26" s="1059"/>
      <c r="C26" s="1060"/>
      <c r="D26" s="2575"/>
      <c r="E26" s="2575"/>
      <c r="F26" s="2575"/>
    </row>
    <row r="27" spans="1:6" ht="20.65" customHeight="1" x14ac:dyDescent="0.2">
      <c r="A27" s="1058"/>
      <c r="B27" s="1059"/>
      <c r="C27" s="1060"/>
      <c r="D27" s="2575"/>
      <c r="E27" s="2575"/>
      <c r="F27" s="2575"/>
    </row>
    <row r="28" spans="1:6" ht="20.65" customHeight="1" x14ac:dyDescent="0.2">
      <c r="A28" s="1058"/>
      <c r="B28" s="1059"/>
      <c r="C28" s="1060"/>
      <c r="D28" s="2575"/>
      <c r="E28" s="2575"/>
      <c r="F28" s="2575"/>
    </row>
    <row r="29" spans="1:6" ht="20.65" customHeight="1" x14ac:dyDescent="0.2">
      <c r="A29" s="1058"/>
      <c r="B29" s="1059"/>
      <c r="C29" s="1060"/>
      <c r="D29" s="2575"/>
      <c r="E29" s="2575"/>
      <c r="F29" s="2575"/>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576" t="s">
        <v>1709</v>
      </c>
      <c r="B32" s="2576"/>
      <c r="C32" s="2576"/>
      <c r="D32" s="2576"/>
      <c r="E32" s="2576"/>
      <c r="F32" s="2576"/>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577">
        <f>+C33+C34</f>
        <v>0</v>
      </c>
      <c r="F34" s="2578"/>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79" t="s">
        <v>1573</v>
      </c>
      <c r="C49" s="2579"/>
      <c r="D49" s="2579"/>
      <c r="E49" s="1167"/>
    </row>
    <row r="50" spans="1:5" s="1075" customFormat="1" ht="3.75" customHeight="1" x14ac:dyDescent="0.2">
      <c r="A50" s="1074"/>
      <c r="B50" s="1474"/>
      <c r="C50" s="1474"/>
      <c r="D50" s="1474"/>
      <c r="E50" s="1167"/>
    </row>
    <row r="51" spans="1:5" s="1075" customFormat="1" ht="20.25" customHeight="1" x14ac:dyDescent="0.2">
      <c r="A51" s="1076">
        <v>6</v>
      </c>
      <c r="B51" s="2574" t="s">
        <v>1534</v>
      </c>
      <c r="C51" s="2574"/>
      <c r="D51" s="2574"/>
    </row>
    <row r="52" spans="1:5" ht="14.25" customHeight="1" x14ac:dyDescent="0.2">
      <c r="A52" s="1076"/>
      <c r="B52" s="2574"/>
      <c r="C52" s="2574"/>
      <c r="D52" s="257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8" colorId="8" zoomScaleNormal="100" workbookViewId="0">
      <selection activeCell="E84" sqref="E84"/>
    </sheetView>
  </sheetViews>
  <sheetFormatPr defaultColWidth="9.28515625" defaultRowHeight="12.75" x14ac:dyDescent="0.2"/>
  <cols>
    <col min="1" max="1" width="1.5703125" style="196" customWidth="1"/>
    <col min="2" max="2" width="2.7109375" style="197" customWidth="1"/>
    <col min="3" max="3" width="4.28515625" style="198" customWidth="1"/>
    <col min="4" max="4" width="40" style="196" customWidth="1"/>
    <col min="5" max="6" width="12.5703125" style="196" customWidth="1"/>
    <col min="7" max="7" width="11.7109375" style="196" customWidth="1"/>
    <col min="8" max="8" width="12" style="196" customWidth="1"/>
    <col min="9" max="9" width="11.7109375" style="196" customWidth="1"/>
    <col min="10" max="10" width="11.28515625" style="196" customWidth="1"/>
    <col min="11" max="16384" width="9.28515625" style="196"/>
  </cols>
  <sheetData>
    <row r="1" spans="1:11" ht="14.25" customHeight="1" x14ac:dyDescent="0.2">
      <c r="E1" s="199"/>
      <c r="F1" s="200"/>
    </row>
    <row r="2" spans="1:11" s="175" customFormat="1" ht="12.4" customHeight="1" x14ac:dyDescent="0.2">
      <c r="A2" s="2158" t="s">
        <v>1158</v>
      </c>
      <c r="B2" s="2158"/>
      <c r="C2" s="2158"/>
      <c r="D2" s="2158"/>
      <c r="E2" s="2158"/>
      <c r="F2" s="2158"/>
      <c r="G2" s="2158"/>
      <c r="H2" s="2158"/>
      <c r="I2" s="2158"/>
      <c r="J2" s="2158"/>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72" t="s">
        <v>1616</v>
      </c>
      <c r="B35" s="2173"/>
      <c r="C35" s="2173"/>
      <c r="D35" s="2173"/>
      <c r="E35" s="2174"/>
      <c r="F35" s="2174"/>
      <c r="G35" s="2174"/>
      <c r="H35" s="2174"/>
      <c r="I35" s="2174"/>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72" t="s">
        <v>310</v>
      </c>
      <c r="B47" s="2175"/>
      <c r="C47" s="2175"/>
      <c r="D47" s="2175"/>
      <c r="E47" s="2176"/>
      <c r="F47" s="2176"/>
      <c r="G47" s="2176"/>
      <c r="H47" s="2176"/>
      <c r="I47" s="2176"/>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2051</v>
      </c>
      <c r="C53" s="173">
        <v>22</v>
      </c>
      <c r="D53" s="241" t="s">
        <v>1445</v>
      </c>
      <c r="E53" s="242"/>
      <c r="F53" s="243"/>
      <c r="G53" s="243" t="s">
        <v>1444</v>
      </c>
      <c r="H53" s="244">
        <v>33512</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9"/>
      <c r="C57" s="2180"/>
      <c r="D57" s="2180"/>
      <c r="E57" s="2180"/>
      <c r="F57" s="2180"/>
      <c r="G57" s="2180"/>
      <c r="H57" s="2180"/>
      <c r="I57" s="2180"/>
      <c r="J57" s="2181"/>
    </row>
    <row r="58" spans="1:10" s="175" customFormat="1" x14ac:dyDescent="0.2">
      <c r="A58" s="247"/>
      <c r="B58" s="2182"/>
      <c r="C58" s="2183"/>
      <c r="D58" s="2183"/>
      <c r="E58" s="2183"/>
      <c r="F58" s="2183"/>
      <c r="G58" s="2183"/>
      <c r="H58" s="2183"/>
      <c r="I58" s="2183"/>
      <c r="J58" s="2184"/>
    </row>
    <row r="59" spans="1:10" s="175" customFormat="1" x14ac:dyDescent="0.2">
      <c r="A59" s="247"/>
      <c r="B59" s="2182"/>
      <c r="C59" s="2183"/>
      <c r="D59" s="2183"/>
      <c r="E59" s="2183"/>
      <c r="F59" s="2183"/>
      <c r="G59" s="2183"/>
      <c r="H59" s="2183"/>
      <c r="I59" s="2183"/>
      <c r="J59" s="2184"/>
    </row>
    <row r="60" spans="1:10" s="175" customFormat="1" x14ac:dyDescent="0.2">
      <c r="A60" s="247"/>
      <c r="B60" s="2182"/>
      <c r="C60" s="2183"/>
      <c r="D60" s="2183"/>
      <c r="E60" s="2183"/>
      <c r="F60" s="2183"/>
      <c r="G60" s="2183"/>
      <c r="H60" s="2183"/>
      <c r="I60" s="2183"/>
      <c r="J60" s="2184"/>
    </row>
    <row r="61" spans="1:10" s="175" customFormat="1" x14ac:dyDescent="0.2">
      <c r="A61" s="247"/>
      <c r="B61" s="2182"/>
      <c r="C61" s="2183"/>
      <c r="D61" s="2183"/>
      <c r="E61" s="2183"/>
      <c r="F61" s="2183"/>
      <c r="G61" s="2183"/>
      <c r="H61" s="2183"/>
      <c r="I61" s="2183"/>
      <c r="J61" s="2184"/>
    </row>
    <row r="62" spans="1:10" s="175" customFormat="1" x14ac:dyDescent="0.2">
      <c r="A62" s="247"/>
      <c r="B62" s="2182"/>
      <c r="C62" s="2183"/>
      <c r="D62" s="2183"/>
      <c r="E62" s="2183"/>
      <c r="F62" s="2183"/>
      <c r="G62" s="2183"/>
      <c r="H62" s="2183"/>
      <c r="I62" s="2183"/>
      <c r="J62" s="2184"/>
    </row>
    <row r="63" spans="1:10" s="175" customFormat="1" x14ac:dyDescent="0.2">
      <c r="A63" s="247"/>
      <c r="B63" s="2182"/>
      <c r="C63" s="2183"/>
      <c r="D63" s="2183"/>
      <c r="E63" s="2183"/>
      <c r="F63" s="2183"/>
      <c r="G63" s="2183"/>
      <c r="H63" s="2183"/>
      <c r="I63" s="2183"/>
      <c r="J63" s="2184"/>
    </row>
    <row r="64" spans="1:10" s="175" customFormat="1" x14ac:dyDescent="0.2">
      <c r="A64" s="247"/>
      <c r="B64" s="2182"/>
      <c r="C64" s="2183"/>
      <c r="D64" s="2183"/>
      <c r="E64" s="2183"/>
      <c r="F64" s="2183"/>
      <c r="G64" s="2183"/>
      <c r="H64" s="2183"/>
      <c r="I64" s="2183"/>
      <c r="J64" s="2184"/>
    </row>
    <row r="65" spans="1:11" s="175" customFormat="1" x14ac:dyDescent="0.2">
      <c r="A65" s="247"/>
      <c r="B65" s="2182"/>
      <c r="C65" s="2183"/>
      <c r="D65" s="2183"/>
      <c r="E65" s="2183"/>
      <c r="F65" s="2183"/>
      <c r="G65" s="2183"/>
      <c r="H65" s="2183"/>
      <c r="I65" s="2183"/>
      <c r="J65" s="2184"/>
    </row>
    <row r="66" spans="1:11" s="175" customFormat="1" x14ac:dyDescent="0.2">
      <c r="A66" s="247"/>
      <c r="B66" s="2182"/>
      <c r="C66" s="2183"/>
      <c r="D66" s="2183"/>
      <c r="E66" s="2183"/>
      <c r="F66" s="2183"/>
      <c r="G66" s="2183"/>
      <c r="H66" s="2183"/>
      <c r="I66" s="2183"/>
      <c r="J66" s="2184"/>
    </row>
    <row r="67" spans="1:11" s="175" customFormat="1" ht="9" customHeight="1" x14ac:dyDescent="0.2">
      <c r="A67" s="248"/>
      <c r="B67" s="2185"/>
      <c r="C67" s="2186"/>
      <c r="D67" s="2186"/>
      <c r="E67" s="2186"/>
      <c r="F67" s="2186"/>
      <c r="G67" s="2186"/>
      <c r="H67" s="2186"/>
      <c r="I67" s="2186"/>
      <c r="J67" s="2187"/>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72" t="s">
        <v>1312</v>
      </c>
      <c r="B70" s="2175"/>
      <c r="C70" s="2175"/>
      <c r="D70" s="2175"/>
      <c r="E70" s="2176"/>
      <c r="F70" s="2176"/>
      <c r="G70" s="2176"/>
      <c r="H70" s="2176"/>
      <c r="I70" s="2176"/>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v>44072</v>
      </c>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7" t="s">
        <v>1309</v>
      </c>
      <c r="B83" s="2177"/>
      <c r="C83" s="2177"/>
      <c r="D83" s="2178"/>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8" t="s">
        <v>1989</v>
      </c>
      <c r="B85" s="2188"/>
      <c r="C85" s="2188"/>
      <c r="D85" s="2189"/>
      <c r="E85" s="1543"/>
      <c r="F85" s="1543"/>
      <c r="G85" s="1543"/>
      <c r="H85" s="1543"/>
      <c r="I85" s="1903"/>
      <c r="J85" s="1726">
        <f>SUM(E85:I85)</f>
        <v>0</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1310</v>
      </c>
      <c r="B87" s="270"/>
      <c r="C87" s="271"/>
      <c r="D87" s="268"/>
      <c r="E87" s="263"/>
      <c r="F87" s="263"/>
      <c r="G87" s="263"/>
      <c r="H87" s="263"/>
      <c r="I87" s="264"/>
      <c r="J87" s="1727"/>
    </row>
    <row r="88" spans="1:10" s="175" customFormat="1" ht="13.5" customHeight="1" x14ac:dyDescent="0.2">
      <c r="A88" s="2190" t="s">
        <v>1989</v>
      </c>
      <c r="B88" s="2191"/>
      <c r="C88" s="2191"/>
      <c r="D88" s="2192"/>
      <c r="E88" s="1543">
        <v>3185</v>
      </c>
      <c r="F88" s="1543"/>
      <c r="G88" s="1543">
        <v>2045</v>
      </c>
      <c r="H88" s="1543">
        <v>43611</v>
      </c>
      <c r="I88" s="1903"/>
      <c r="J88" s="1726">
        <f>SUM(E88:I88)</f>
        <v>48841</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4"/>
      <c r="J90" s="1728">
        <f>SUM(J85:J89)</f>
        <v>48841</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9"/>
      <c r="C102" s="2160"/>
      <c r="D102" s="2160"/>
      <c r="E102" s="2160"/>
      <c r="F102" s="2160"/>
      <c r="G102" s="2160"/>
      <c r="H102" s="2160"/>
      <c r="I102" s="2161"/>
    </row>
    <row r="103" spans="1:9" s="175" customFormat="1" ht="11.25" customHeight="1" x14ac:dyDescent="0.2">
      <c r="A103" s="293"/>
      <c r="B103" s="2162"/>
      <c r="C103" s="2163"/>
      <c r="D103" s="2163"/>
      <c r="E103" s="2163"/>
      <c r="F103" s="2163"/>
      <c r="G103" s="2163"/>
      <c r="H103" s="2163"/>
      <c r="I103" s="2164"/>
    </row>
    <row r="104" spans="1:9" s="175" customFormat="1" ht="11.25" customHeight="1" x14ac:dyDescent="0.2">
      <c r="A104" s="293"/>
      <c r="B104" s="2162"/>
      <c r="C104" s="2163"/>
      <c r="D104" s="2163"/>
      <c r="E104" s="2163"/>
      <c r="F104" s="2163"/>
      <c r="G104" s="2163"/>
      <c r="H104" s="2163"/>
      <c r="I104" s="2164"/>
    </row>
    <row r="105" spans="1:9" s="175" customFormat="1" x14ac:dyDescent="0.2">
      <c r="A105" s="293"/>
      <c r="B105" s="2162"/>
      <c r="C105" s="2163"/>
      <c r="D105" s="2163"/>
      <c r="E105" s="2163"/>
      <c r="F105" s="2163"/>
      <c r="G105" s="2163"/>
      <c r="H105" s="2163"/>
      <c r="I105" s="2164"/>
    </row>
    <row r="106" spans="1:9" s="175" customFormat="1" ht="11.25" customHeight="1" x14ac:dyDescent="0.2">
      <c r="A106" s="293"/>
      <c r="B106" s="2162"/>
      <c r="C106" s="2163"/>
      <c r="D106" s="2163"/>
      <c r="E106" s="2163"/>
      <c r="F106" s="2163"/>
      <c r="G106" s="2163"/>
      <c r="H106" s="2163"/>
      <c r="I106" s="2164"/>
    </row>
    <row r="107" spans="1:9" s="175" customFormat="1" ht="11.25" customHeight="1" x14ac:dyDescent="0.2">
      <c r="A107" s="293"/>
      <c r="B107" s="2162"/>
      <c r="C107" s="2163"/>
      <c r="D107" s="2163"/>
      <c r="E107" s="2163"/>
      <c r="F107" s="2163"/>
      <c r="G107" s="2163"/>
      <c r="H107" s="2163"/>
      <c r="I107" s="2164"/>
    </row>
    <row r="108" spans="1:9" s="175" customFormat="1" ht="11.25" customHeight="1" x14ac:dyDescent="0.2">
      <c r="A108" s="293"/>
      <c r="B108" s="2162"/>
      <c r="C108" s="2163"/>
      <c r="D108" s="2163"/>
      <c r="E108" s="2163"/>
      <c r="F108" s="2163"/>
      <c r="G108" s="2163"/>
      <c r="H108" s="2163"/>
      <c r="I108" s="2164"/>
    </row>
    <row r="109" spans="1:9" s="175" customFormat="1" ht="11.25" customHeight="1" x14ac:dyDescent="0.2">
      <c r="A109" s="293"/>
      <c r="B109" s="2162"/>
      <c r="C109" s="2163"/>
      <c r="D109" s="2163"/>
      <c r="E109" s="2163"/>
      <c r="F109" s="2163"/>
      <c r="G109" s="2163"/>
      <c r="H109" s="2163"/>
      <c r="I109" s="2164"/>
    </row>
    <row r="110" spans="1:9" s="175" customFormat="1" ht="11.25" customHeight="1" x14ac:dyDescent="0.2">
      <c r="A110" s="293"/>
      <c r="B110" s="2162"/>
      <c r="C110" s="2163"/>
      <c r="D110" s="2163"/>
      <c r="E110" s="2163"/>
      <c r="F110" s="2163"/>
      <c r="G110" s="2163"/>
      <c r="H110" s="2163"/>
      <c r="I110" s="2164"/>
    </row>
    <row r="111" spans="1:9" s="175" customFormat="1" ht="11.25" customHeight="1" x14ac:dyDescent="0.2">
      <c r="A111" s="293"/>
      <c r="B111" s="2162"/>
      <c r="C111" s="2163"/>
      <c r="D111" s="2163"/>
      <c r="E111" s="2163"/>
      <c r="F111" s="2163"/>
      <c r="G111" s="2163"/>
      <c r="H111" s="2163"/>
      <c r="I111" s="2164"/>
    </row>
    <row r="112" spans="1:9" s="175" customFormat="1" ht="11.25" customHeight="1" x14ac:dyDescent="0.2">
      <c r="A112" s="293"/>
      <c r="B112" s="2165"/>
      <c r="C112" s="2166"/>
      <c r="D112" s="2166"/>
      <c r="E112" s="2166"/>
      <c r="F112" s="2166"/>
      <c r="G112" s="2166"/>
      <c r="H112" s="2166"/>
      <c r="I112" s="2167"/>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8" t="s">
        <v>2066</v>
      </c>
      <c r="D114" s="2168"/>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9" t="s">
        <v>1319</v>
      </c>
      <c r="D117" s="2170"/>
      <c r="E117" s="2171"/>
      <c r="F117" s="2171"/>
      <c r="G117" s="2171"/>
      <c r="H117" s="2171"/>
      <c r="I117" s="281"/>
    </row>
    <row r="118" spans="1:9" s="175" customFormat="1" ht="24" customHeight="1" x14ac:dyDescent="0.2">
      <c r="A118" s="293"/>
      <c r="B118" s="293"/>
      <c r="C118" s="293"/>
      <c r="D118" s="300"/>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28515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28515625" style="294" customWidth="1"/>
    <col min="12" max="12" width="4.5703125" style="294" customWidth="1"/>
    <col min="13" max="16384" width="9.28515625" style="294"/>
  </cols>
  <sheetData>
    <row r="1" spans="2:10" s="294" customFormat="1" ht="12.75" customHeight="1" x14ac:dyDescent="0.2">
      <c r="B1" s="2597" t="str">
        <f>'Single Audit Cover'!A7</f>
        <v xml:space="preserve"> Lindop SD 92</v>
      </c>
      <c r="C1" s="2598"/>
      <c r="D1" s="2598"/>
      <c r="E1" s="2598"/>
      <c r="F1" s="2598"/>
      <c r="G1" s="2598"/>
      <c r="H1" s="2598"/>
      <c r="I1" s="2598"/>
      <c r="J1" s="1177"/>
    </row>
    <row r="2" spans="2:10" s="294" customFormat="1" ht="12.75" customHeight="1" x14ac:dyDescent="0.2">
      <c r="B2" s="2599">
        <f>'Single Audit Cover'!E7</f>
        <v>6016092002</v>
      </c>
      <c r="C2" s="2600"/>
      <c r="D2" s="2600"/>
      <c r="E2" s="2600"/>
      <c r="F2" s="2600"/>
      <c r="G2" s="2600"/>
      <c r="H2" s="2600"/>
      <c r="I2" s="2600"/>
      <c r="J2" s="1177"/>
    </row>
    <row r="3" spans="2:10" s="294" customFormat="1" ht="12.75" customHeight="1" x14ac:dyDescent="0.2">
      <c r="B3" s="2601" t="s">
        <v>1274</v>
      </c>
      <c r="C3" s="2602"/>
      <c r="D3" s="2602"/>
      <c r="E3" s="2602"/>
      <c r="F3" s="2602"/>
      <c r="G3" s="2602"/>
      <c r="H3" s="2602"/>
      <c r="I3" s="2602"/>
      <c r="J3" s="1178"/>
    </row>
    <row r="4" spans="2:10" s="294" customFormat="1" ht="12.75" customHeight="1" x14ac:dyDescent="0.2">
      <c r="B4" s="2601" t="str">
        <f>'Single Audit Cover'!A4</f>
        <v>Year Ending June 30, 2020</v>
      </c>
      <c r="C4" s="2602"/>
      <c r="D4" s="2602"/>
      <c r="E4" s="2602"/>
      <c r="F4" s="2602"/>
      <c r="G4" s="2602"/>
      <c r="H4" s="2602"/>
      <c r="I4" s="2602"/>
    </row>
    <row r="5" spans="2:10" s="294" customFormat="1" ht="6.4" customHeight="1" x14ac:dyDescent="0.2">
      <c r="B5" s="1179" t="s">
        <v>1159</v>
      </c>
      <c r="C5" s="1069"/>
      <c r="D5" s="1069"/>
      <c r="E5" s="1152"/>
      <c r="F5" s="299"/>
      <c r="G5" s="299"/>
      <c r="H5" s="299"/>
      <c r="I5" s="299"/>
    </row>
    <row r="6" spans="2:10" s="294" customFormat="1" ht="6.4" customHeight="1" x14ac:dyDescent="0.2">
      <c r="B6" s="1180"/>
      <c r="C6" s="1148"/>
      <c r="D6" s="1148"/>
      <c r="E6" s="1149"/>
      <c r="F6" s="1148"/>
      <c r="G6" s="1148"/>
      <c r="H6" s="1148"/>
      <c r="I6" s="1148"/>
    </row>
    <row r="7" spans="2:10" s="294" customFormat="1" ht="13.5" customHeight="1" x14ac:dyDescent="0.2">
      <c r="B7" s="2601" t="s">
        <v>1273</v>
      </c>
      <c r="C7" s="2602"/>
      <c r="D7" s="2602"/>
      <c r="E7" s="2602"/>
      <c r="F7" s="2602"/>
      <c r="G7" s="2602"/>
      <c r="H7" s="2602"/>
      <c r="I7" s="2602"/>
    </row>
    <row r="8" spans="2:10" s="294" customFormat="1" ht="6.4"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603"/>
      <c r="D11" s="2603"/>
      <c r="E11" s="1187"/>
      <c r="F11" s="1187"/>
      <c r="G11" s="1187"/>
    </row>
    <row r="12" spans="2:10" s="294" customFormat="1" ht="11.6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65"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65"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65"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604"/>
      <c r="E29" s="2604"/>
      <c r="F29" s="2604"/>
      <c r="G29" s="2604"/>
      <c r="H29" s="2604"/>
      <c r="I29" s="2604"/>
    </row>
    <row r="30" spans="2:9" s="294" customFormat="1" x14ac:dyDescent="0.2">
      <c r="B30" s="1137"/>
      <c r="C30" s="299"/>
      <c r="D30" s="1188" t="s">
        <v>1725</v>
      </c>
      <c r="E30" s="1189"/>
      <c r="F30" s="1189"/>
      <c r="G30" s="1189"/>
      <c r="H30" s="1189"/>
      <c r="I30" s="1189"/>
    </row>
    <row r="31" spans="2:9" s="294" customFormat="1" ht="10.15"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5" t="s">
        <v>1728</v>
      </c>
      <c r="D37" s="2606"/>
      <c r="E37" s="2606"/>
      <c r="F37" s="2607"/>
      <c r="G37" s="2605" t="s">
        <v>1575</v>
      </c>
      <c r="H37" s="2606"/>
      <c r="I37" s="2607"/>
    </row>
    <row r="38" spans="2:9" ht="16.5" customHeight="1" x14ac:dyDescent="0.2">
      <c r="B38" s="1199"/>
      <c r="C38" s="2593"/>
      <c r="D38" s="2594"/>
      <c r="E38" s="2594"/>
      <c r="F38" s="2595"/>
      <c r="G38" s="2608"/>
      <c r="H38" s="2609"/>
      <c r="I38" s="2610"/>
    </row>
    <row r="39" spans="2:9" ht="16.5" customHeight="1" x14ac:dyDescent="0.2">
      <c r="B39" s="1199"/>
      <c r="C39" s="2593"/>
      <c r="D39" s="2594"/>
      <c r="E39" s="2594"/>
      <c r="F39" s="2595"/>
      <c r="G39" s="2596"/>
      <c r="H39" s="2596"/>
      <c r="I39" s="2596"/>
    </row>
    <row r="40" spans="2:9" ht="16.5" customHeight="1" x14ac:dyDescent="0.2">
      <c r="B40" s="1199"/>
      <c r="C40" s="2593"/>
      <c r="D40" s="2594"/>
      <c r="E40" s="2594"/>
      <c r="F40" s="2595"/>
      <c r="G40" s="2596"/>
      <c r="H40" s="2596"/>
      <c r="I40" s="2596"/>
    </row>
    <row r="41" spans="2:9" ht="16.5" customHeight="1" x14ac:dyDescent="0.2">
      <c r="B41" s="1199"/>
      <c r="C41" s="2593"/>
      <c r="D41" s="2594"/>
      <c r="E41" s="2594"/>
      <c r="F41" s="2595"/>
      <c r="G41" s="2596"/>
      <c r="H41" s="2596"/>
      <c r="I41" s="2596"/>
    </row>
    <row r="42" spans="2:9" ht="16.5" customHeight="1" x14ac:dyDescent="0.2">
      <c r="B42" s="1199"/>
      <c r="C42" s="2593"/>
      <c r="D42" s="2594"/>
      <c r="E42" s="2594"/>
      <c r="F42" s="2595"/>
      <c r="G42" s="2596"/>
      <c r="H42" s="2596"/>
      <c r="I42" s="2596"/>
    </row>
    <row r="43" spans="2:9" ht="16.5" customHeight="1" x14ac:dyDescent="0.2">
      <c r="B43" s="1199"/>
      <c r="C43" s="2586" t="s">
        <v>1576</v>
      </c>
      <c r="D43" s="2587"/>
      <c r="E43" s="2587"/>
      <c r="F43" s="2588"/>
      <c r="G43" s="2589">
        <f>SUM(G38:I42)</f>
        <v>0</v>
      </c>
      <c r="H43" s="2589"/>
      <c r="I43" s="2589"/>
    </row>
    <row r="44" spans="2:9" ht="12.75" customHeight="1" x14ac:dyDescent="0.2"/>
    <row r="45" spans="2:9" ht="12.75" customHeight="1" x14ac:dyDescent="0.2">
      <c r="B45" s="1916" t="str">
        <f>"Total Federal Expenditures for 7/1/"&amp;MID('AFR20'!E2,3,2)-1&amp;"-6/30/"&amp;MID('AFR20'!E2,3,2)</f>
        <v>Total Federal Expenditures for 7/1/19-6/30/20</v>
      </c>
      <c r="C45" s="1917"/>
      <c r="D45" s="2590">
        <v>0</v>
      </c>
      <c r="E45" s="2591"/>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10.15" customHeight="1" x14ac:dyDescent="0.2"/>
    <row r="49" spans="1:9" x14ac:dyDescent="0.2">
      <c r="B49" s="1137" t="s">
        <v>1262</v>
      </c>
      <c r="C49" s="1057"/>
      <c r="D49" s="1057"/>
      <c r="E49" s="2592"/>
      <c r="F49" s="2592"/>
      <c r="G49" s="2592"/>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4.1500000000000004" customHeight="1" x14ac:dyDescent="0.2">
      <c r="A57" s="1213"/>
      <c r="B57" s="1217"/>
      <c r="C57" s="1213"/>
      <c r="D57" s="1213"/>
    </row>
    <row r="58" spans="1:9" s="1216" customFormat="1" ht="13.5" customHeight="1" x14ac:dyDescent="0.2">
      <c r="A58" s="1213"/>
      <c r="B58" s="1218" t="s">
        <v>1730</v>
      </c>
      <c r="C58" s="1219"/>
      <c r="D58" s="1219"/>
    </row>
    <row r="59" spans="1:9" s="1216" customFormat="1" ht="4.1500000000000004" customHeight="1" x14ac:dyDescent="0.2">
      <c r="A59" s="1213"/>
      <c r="B59" s="1218"/>
      <c r="C59" s="1219"/>
      <c r="D59" s="1219"/>
    </row>
    <row r="60" spans="1:9" s="1216" customFormat="1" ht="13.5" customHeight="1" x14ac:dyDescent="0.2">
      <c r="A60" s="1213"/>
      <c r="B60" s="1218" t="s">
        <v>1731</v>
      </c>
      <c r="C60" s="1219"/>
      <c r="D60" s="1219"/>
    </row>
    <row r="61" spans="1:9" s="1216" customFormat="1" ht="4.1500000000000004"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28515625" defaultRowHeight="12.75" x14ac:dyDescent="0.2"/>
  <cols>
    <col min="1" max="1" width="1.5703125" style="294" customWidth="1"/>
    <col min="2" max="2" width="21.42578125" style="294" customWidth="1"/>
    <col min="3" max="3" width="6.28515625" style="294" customWidth="1"/>
    <col min="4" max="4" width="4.4257812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28515625" style="294"/>
  </cols>
  <sheetData>
    <row r="1" spans="1:13" ht="11.1" customHeight="1" x14ac:dyDescent="0.2">
      <c r="B1" s="2597" t="str">
        <f>'Single Audit Cover'!A7</f>
        <v xml:space="preserve"> Lindop SD 92</v>
      </c>
      <c r="C1" s="2597"/>
      <c r="D1" s="2597"/>
      <c r="E1" s="2597"/>
      <c r="F1" s="2597"/>
      <c r="G1" s="2597"/>
      <c r="H1" s="2597"/>
      <c r="I1" s="2597"/>
      <c r="J1" s="2597"/>
      <c r="K1" s="2597"/>
      <c r="L1" s="1143"/>
      <c r="M1" s="1143"/>
    </row>
    <row r="2" spans="1:13" ht="12" customHeight="1" x14ac:dyDescent="0.2">
      <c r="B2" s="2599">
        <f>'Single Audit Cover'!E7</f>
        <v>6016092002</v>
      </c>
      <c r="C2" s="2599"/>
      <c r="D2" s="2599"/>
      <c r="E2" s="2599"/>
      <c r="F2" s="2599"/>
      <c r="G2" s="2599"/>
      <c r="H2" s="2599"/>
      <c r="I2" s="2599"/>
      <c r="J2" s="2599"/>
      <c r="K2" s="2599"/>
      <c r="L2" s="1144"/>
      <c r="M2" s="1145"/>
    </row>
    <row r="3" spans="1:13" ht="10.35" customHeight="1" x14ac:dyDescent="0.2">
      <c r="B3" s="2613" t="s">
        <v>1274</v>
      </c>
      <c r="C3" s="2613"/>
      <c r="D3" s="2613"/>
      <c r="E3" s="2613"/>
      <c r="F3" s="2613"/>
      <c r="G3" s="2613"/>
      <c r="H3" s="2613"/>
      <c r="I3" s="2613"/>
      <c r="J3" s="2613"/>
      <c r="K3" s="2613"/>
      <c r="L3" s="1146"/>
      <c r="M3" s="1146"/>
    </row>
    <row r="4" spans="1:13" ht="14.25" customHeight="1" x14ac:dyDescent="0.2">
      <c r="B4" s="2614" t="str">
        <f>'Single Audit Cover'!A4</f>
        <v>Year Ending June 30, 2020</v>
      </c>
      <c r="C4" s="2614"/>
      <c r="D4" s="2614"/>
      <c r="E4" s="2614"/>
      <c r="F4" s="2614"/>
      <c r="G4" s="2614"/>
      <c r="H4" s="2614"/>
      <c r="I4" s="2614"/>
      <c r="J4" s="2614"/>
      <c r="K4" s="2614"/>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4" t="s">
        <v>1285</v>
      </c>
      <c r="C7" s="2614"/>
      <c r="D7" s="2615"/>
      <c r="E7" s="2615"/>
      <c r="F7" s="2615"/>
      <c r="G7" s="2615"/>
      <c r="H7" s="2615"/>
      <c r="I7" s="2615"/>
      <c r="J7" s="2615"/>
      <c r="K7" s="2615"/>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2"/>
      <c r="C14" s="2612"/>
      <c r="D14" s="2612"/>
      <c r="E14" s="2612"/>
      <c r="F14" s="2612"/>
      <c r="G14" s="2612"/>
      <c r="H14" s="2612"/>
      <c r="I14" s="2612"/>
      <c r="J14" s="2612"/>
      <c r="K14" s="2612"/>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2"/>
      <c r="C17" s="2612"/>
      <c r="D17" s="2612"/>
      <c r="E17" s="2612"/>
      <c r="F17" s="2612"/>
      <c r="G17" s="2612"/>
      <c r="H17" s="2612"/>
      <c r="I17" s="2612"/>
      <c r="J17" s="2612"/>
      <c r="K17" s="2612"/>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6"/>
      <c r="C20" s="2616"/>
      <c r="D20" s="2612"/>
      <c r="E20" s="2612"/>
      <c r="F20" s="2612"/>
      <c r="G20" s="2612"/>
      <c r="H20" s="2612"/>
      <c r="I20" s="2612"/>
      <c r="J20" s="2612"/>
      <c r="K20" s="2612"/>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2"/>
      <c r="C23" s="2612"/>
      <c r="D23" s="2612"/>
      <c r="E23" s="2612"/>
      <c r="F23" s="2612"/>
      <c r="G23" s="2612"/>
      <c r="H23" s="2612"/>
      <c r="I23" s="2612"/>
      <c r="J23" s="2612"/>
      <c r="K23" s="2612"/>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2"/>
      <c r="C26" s="2612"/>
      <c r="D26" s="2612"/>
      <c r="E26" s="2612"/>
      <c r="F26" s="2612"/>
      <c r="G26" s="2612"/>
      <c r="H26" s="2612"/>
      <c r="I26" s="2612"/>
      <c r="J26" s="2612"/>
      <c r="K26" s="2612"/>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1"/>
      <c r="C29" s="2611"/>
      <c r="D29" s="2612"/>
      <c r="E29" s="2612"/>
      <c r="F29" s="2612"/>
      <c r="G29" s="2612"/>
      <c r="H29" s="2612"/>
      <c r="I29" s="2612"/>
      <c r="J29" s="2612"/>
      <c r="K29" s="2612"/>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11"/>
      <c r="C32" s="2611"/>
      <c r="D32" s="2612"/>
      <c r="E32" s="2612"/>
      <c r="F32" s="2612"/>
      <c r="G32" s="2612"/>
      <c r="H32" s="2612"/>
      <c r="I32" s="2612"/>
      <c r="J32" s="2612"/>
      <c r="K32" s="2612"/>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28515625" defaultRowHeight="12.75" x14ac:dyDescent="0.2"/>
  <cols>
    <col min="1" max="1" width="1.5703125" style="294" customWidth="1"/>
    <col min="2" max="2" width="21.5703125" style="294" customWidth="1"/>
    <col min="3" max="3" width="6.28515625" style="294" customWidth="1"/>
    <col min="4" max="4" width="4.710937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28515625" style="294"/>
  </cols>
  <sheetData>
    <row r="1" spans="1:12" ht="12.75" customHeight="1" x14ac:dyDescent="0.2">
      <c r="B1" s="2620" t="str">
        <f>'Single Audit Cover'!A7</f>
        <v xml:space="preserve"> Lindop SD 92</v>
      </c>
      <c r="C1" s="2620"/>
      <c r="D1" s="2620"/>
      <c r="E1" s="2620"/>
      <c r="F1" s="2620"/>
      <c r="G1" s="2620"/>
      <c r="H1" s="2620"/>
      <c r="I1" s="2620"/>
      <c r="J1" s="2620"/>
      <c r="K1" s="2620"/>
      <c r="L1" s="1220"/>
    </row>
    <row r="2" spans="1:12" ht="12.75" customHeight="1" x14ac:dyDescent="0.2">
      <c r="B2" s="2621">
        <f>'Single Audit Cover'!E7</f>
        <v>6016092002</v>
      </c>
      <c r="C2" s="2621"/>
      <c r="D2" s="2621"/>
      <c r="E2" s="2621"/>
      <c r="F2" s="2621"/>
      <c r="G2" s="2621"/>
      <c r="H2" s="2621"/>
      <c r="I2" s="2621"/>
      <c r="J2" s="2621"/>
      <c r="K2" s="2621"/>
      <c r="L2" s="1221"/>
    </row>
    <row r="3" spans="1:12" ht="12.75" customHeight="1" x14ac:dyDescent="0.2">
      <c r="B3" s="2613" t="s">
        <v>1274</v>
      </c>
      <c r="C3" s="2613"/>
      <c r="D3" s="2613"/>
      <c r="E3" s="2613"/>
      <c r="F3" s="2613"/>
      <c r="G3" s="2613"/>
      <c r="H3" s="2613"/>
      <c r="I3" s="2613"/>
      <c r="J3" s="2613"/>
      <c r="K3" s="2613"/>
      <c r="L3" s="1146"/>
    </row>
    <row r="4" spans="1:12" ht="12.75" customHeight="1" x14ac:dyDescent="0.2">
      <c r="B4" s="2613" t="str">
        <f>'Single Audit Cover'!A4</f>
        <v>Year Ending June 30, 2020</v>
      </c>
      <c r="C4" s="2613"/>
      <c r="D4" s="2613"/>
      <c r="E4" s="2613"/>
      <c r="F4" s="2613"/>
      <c r="G4" s="2613"/>
      <c r="H4" s="2613"/>
      <c r="I4" s="2613"/>
      <c r="J4" s="2613"/>
      <c r="K4" s="2613"/>
      <c r="L4" s="1146"/>
    </row>
    <row r="5" spans="1:12" ht="5.25" customHeight="1" x14ac:dyDescent="0.2">
      <c r="B5" s="1035" t="s">
        <v>1159</v>
      </c>
      <c r="C5" s="1035"/>
      <c r="L5" s="299"/>
    </row>
    <row r="6" spans="1:12" ht="30.75" customHeight="1" x14ac:dyDescent="0.2">
      <c r="A6" s="299"/>
      <c r="B6" s="2622" t="s">
        <v>1297</v>
      </c>
      <c r="C6" s="2622"/>
      <c r="D6" s="2622"/>
      <c r="E6" s="2622"/>
      <c r="F6" s="2622"/>
      <c r="G6" s="2622"/>
      <c r="H6" s="2622"/>
      <c r="I6" s="2622"/>
      <c r="J6" s="2622"/>
      <c r="K6" s="2622"/>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8"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604"/>
      <c r="G12" s="2604"/>
      <c r="H12" s="2604"/>
      <c r="I12" s="2604"/>
      <c r="J12" s="2604"/>
      <c r="K12" s="2604"/>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17"/>
      <c r="E14" s="2617"/>
      <c r="F14" s="2617"/>
      <c r="H14" s="1229" t="s">
        <v>1292</v>
      </c>
      <c r="I14" s="2618"/>
      <c r="J14" s="2618"/>
      <c r="K14" s="2618"/>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18"/>
      <c r="E16" s="2618"/>
      <c r="F16" s="2618"/>
      <c r="G16" s="2618"/>
      <c r="H16" s="2618"/>
      <c r="I16" s="2618"/>
      <c r="J16" s="2618"/>
      <c r="K16" s="2618"/>
      <c r="L16" s="299"/>
    </row>
    <row r="17" spans="2:12" ht="13.5" customHeight="1" x14ac:dyDescent="0.2">
      <c r="B17" s="1155" t="s">
        <v>1290</v>
      </c>
      <c r="C17" s="1155"/>
      <c r="D17" s="2619"/>
      <c r="E17" s="2619"/>
      <c r="F17" s="2619"/>
      <c r="G17" s="2619"/>
      <c r="H17" s="2619"/>
      <c r="I17" s="2619"/>
      <c r="J17" s="2619"/>
      <c r="K17" s="2619"/>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12"/>
      <c r="C20" s="2612"/>
      <c r="D20" s="2612"/>
      <c r="E20" s="2612"/>
      <c r="F20" s="2612"/>
      <c r="G20" s="2612"/>
      <c r="H20" s="2612"/>
      <c r="I20" s="2612"/>
      <c r="J20" s="2612"/>
      <c r="K20" s="2612"/>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12"/>
      <c r="C23" s="2612"/>
      <c r="D23" s="2612"/>
      <c r="E23" s="2612"/>
      <c r="F23" s="2612"/>
      <c r="G23" s="2612"/>
      <c r="H23" s="2612"/>
      <c r="I23" s="2612"/>
      <c r="J23" s="2612"/>
      <c r="K23" s="2612"/>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12"/>
      <c r="C26" s="2612"/>
      <c r="D26" s="2612"/>
      <c r="E26" s="2612"/>
      <c r="F26" s="2612"/>
      <c r="G26" s="2612"/>
      <c r="H26" s="2612"/>
      <c r="I26" s="2612"/>
      <c r="J26" s="2612"/>
      <c r="K26" s="2612"/>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12"/>
      <c r="C29" s="2612"/>
      <c r="D29" s="2612"/>
      <c r="E29" s="2612"/>
      <c r="F29" s="2612"/>
      <c r="G29" s="2612"/>
      <c r="H29" s="2612"/>
      <c r="I29" s="2612"/>
      <c r="J29" s="2612"/>
      <c r="K29" s="2612"/>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12"/>
      <c r="C32" s="2612"/>
      <c r="D32" s="2612"/>
      <c r="E32" s="2612"/>
      <c r="F32" s="2612"/>
      <c r="G32" s="2612"/>
      <c r="H32" s="2612"/>
      <c r="I32" s="2612"/>
      <c r="J32" s="2612"/>
      <c r="K32" s="2612"/>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12"/>
      <c r="C35" s="2612"/>
      <c r="D35" s="2612"/>
      <c r="E35" s="2612"/>
      <c r="F35" s="2612"/>
      <c r="G35" s="2612"/>
      <c r="H35" s="2612"/>
      <c r="I35" s="2612"/>
      <c r="J35" s="2612"/>
      <c r="K35" s="2612"/>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12"/>
      <c r="C38" s="2612"/>
      <c r="D38" s="2612"/>
      <c r="E38" s="2612"/>
      <c r="F38" s="2612"/>
      <c r="G38" s="2612"/>
      <c r="H38" s="2612"/>
      <c r="I38" s="2612"/>
      <c r="J38" s="2612"/>
      <c r="K38" s="2612"/>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12"/>
      <c r="C41" s="2612"/>
      <c r="D41" s="2612"/>
      <c r="E41" s="2612"/>
      <c r="F41" s="2612"/>
      <c r="G41" s="2612"/>
      <c r="H41" s="2612"/>
      <c r="I41" s="2612"/>
      <c r="J41" s="2612"/>
      <c r="K41" s="2612"/>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28515625" defaultRowHeight="12.75" x14ac:dyDescent="0.2"/>
  <cols>
    <col min="1" max="1" width="1.5703125" style="294" customWidth="1"/>
    <col min="2" max="2" width="14.7109375" style="294" customWidth="1"/>
    <col min="3" max="3" width="40.7109375" style="294" customWidth="1"/>
    <col min="4" max="4" width="42.28515625" style="294" customWidth="1"/>
    <col min="5" max="5" width="8.28515625" style="294" customWidth="1"/>
    <col min="6" max="9" width="9.28515625" style="294"/>
    <col min="10" max="10" width="6.7109375" style="294" customWidth="1"/>
    <col min="11" max="16384" width="9.28515625" style="294"/>
  </cols>
  <sheetData>
    <row r="1" spans="2:5" s="1057" customFormat="1" ht="12.75" customHeight="1" x14ac:dyDescent="0.2">
      <c r="B1" s="2597" t="str">
        <f>'Single Audit Cover'!A7</f>
        <v xml:space="preserve"> Lindop SD 92</v>
      </c>
      <c r="C1" s="2597"/>
      <c r="D1" s="2597"/>
      <c r="E1" s="1239"/>
    </row>
    <row r="2" spans="2:5" s="1057" customFormat="1" ht="12.75" customHeight="1" x14ac:dyDescent="0.2">
      <c r="B2" s="2599">
        <f>'Single Audit Cover'!E7</f>
        <v>6016092002</v>
      </c>
      <c r="C2" s="2599"/>
      <c r="D2" s="2599"/>
      <c r="E2" s="1240"/>
    </row>
    <row r="3" spans="2:5" ht="12.75" customHeight="1" x14ac:dyDescent="0.2">
      <c r="B3" s="2613" t="s">
        <v>1743</v>
      </c>
      <c r="C3" s="2613"/>
      <c r="D3" s="2613"/>
      <c r="E3" s="1049"/>
    </row>
    <row r="4" spans="2:5" s="1057" customFormat="1" ht="12.75" customHeight="1" x14ac:dyDescent="0.2">
      <c r="B4" s="2623" t="str">
        <f>'Single Audit Cover'!A4</f>
        <v>Year Ending June 30, 2020</v>
      </c>
      <c r="C4" s="2623"/>
      <c r="D4" s="2623"/>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4" customHeight="1" x14ac:dyDescent="0.2">
      <c r="B44" s="1032" t="s">
        <v>1302</v>
      </c>
      <c r="C44" s="299"/>
    </row>
    <row r="45" spans="2:5" ht="12.4" customHeight="1" x14ac:dyDescent="0.2">
      <c r="B45" s="1253" t="s">
        <v>1746</v>
      </c>
    </row>
    <row r="46" spans="2:5" ht="12.4" customHeight="1" x14ac:dyDescent="0.2">
      <c r="B46" s="1253" t="s">
        <v>1747</v>
      </c>
    </row>
    <row r="47" spans="2:5" ht="12.4" customHeight="1" x14ac:dyDescent="0.2">
      <c r="B47" s="1254" t="s">
        <v>1301</v>
      </c>
    </row>
    <row r="48" spans="2:5" ht="12.4" customHeight="1" x14ac:dyDescent="0.2">
      <c r="B48" s="1254" t="s">
        <v>1300</v>
      </c>
    </row>
    <row r="49" spans="2:5" ht="12.4" customHeight="1" x14ac:dyDescent="0.2">
      <c r="B49" s="1254" t="s">
        <v>1299</v>
      </c>
    </row>
    <row r="50" spans="2:5" ht="12.4"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4" sqref="J34"/>
    </sheetView>
  </sheetViews>
  <sheetFormatPr defaultColWidth="9.28515625" defaultRowHeight="12" x14ac:dyDescent="0.2"/>
  <cols>
    <col min="1" max="1" width="4.71093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28515625" style="324"/>
  </cols>
  <sheetData>
    <row r="1" spans="1:14" ht="24" customHeight="1" x14ac:dyDescent="0.2">
      <c r="A1" s="2193" t="s">
        <v>383</v>
      </c>
      <c r="B1" s="2193"/>
      <c r="C1" s="2193"/>
      <c r="D1" s="2193"/>
      <c r="E1" s="2193"/>
      <c r="F1" s="2193"/>
      <c r="G1" s="2193"/>
      <c r="H1" s="2193"/>
      <c r="I1" s="2193"/>
      <c r="J1" s="2193"/>
      <c r="K1" s="2193"/>
      <c r="L1" s="2193"/>
      <c r="M1" s="2193"/>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270</v>
      </c>
      <c r="G7" s="216"/>
      <c r="H7" s="216"/>
      <c r="I7" s="216"/>
      <c r="J7" s="1549">
        <v>101464917</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4.9571999999999998E-2</v>
      </c>
      <c r="E10" s="332" t="s">
        <v>998</v>
      </c>
      <c r="F10" s="331">
        <v>5.4679999999999998E-3</v>
      </c>
      <c r="G10" s="332" t="s">
        <v>998</v>
      </c>
      <c r="H10" s="331">
        <v>1.1529999999999999E-3</v>
      </c>
      <c r="I10" s="332" t="s">
        <v>999</v>
      </c>
      <c r="J10" s="1423">
        <f>ROUND(D10+F10+H10,5)</f>
        <v>5.6189999999999997E-2</v>
      </c>
      <c r="K10" s="216"/>
      <c r="L10" s="331">
        <v>4.9399999999999997E-4</v>
      </c>
      <c r="M10" s="216"/>
    </row>
    <row r="11" spans="1:14" ht="7.5" customHeight="1" x14ac:dyDescent="0.2">
      <c r="B11" s="216"/>
      <c r="C11" s="216"/>
      <c r="D11" s="2203" t="str">
        <f>IF(SUM(J10)&lt;=0.0999999,"","Enter the Tax Rates by moving the decimal two places to the left.")</f>
        <v/>
      </c>
      <c r="E11" s="2204"/>
      <c r="F11" s="2204"/>
      <c r="G11" s="2204"/>
      <c r="H11" s="2204"/>
      <c r="I11" s="2204"/>
      <c r="J11" s="2204"/>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5">
        <f>SUM('Acct Summary 7-8'!C8,'Acct Summary 7-8'!D8,'Acct Summary 7-8'!F8,'Acct Summary 7-8'!I8)</f>
        <v>7609533</v>
      </c>
      <c r="E16" s="1546"/>
      <c r="F16" s="1545">
        <f>SUM('Acct Summary 7-8'!C17,'Acct Summary 7-8'!D17,'Acct Summary 7-8'!F17)</f>
        <v>7536118</v>
      </c>
      <c r="G16" s="1546"/>
      <c r="H16" s="1545">
        <f>SUM(D16-F16)</f>
        <v>73415</v>
      </c>
      <c r="I16" s="1547"/>
      <c r="J16" s="1545">
        <f>SUM('Acct Summary 7-8'!C81,'Acct Summary 7-8'!D81,'Acct Summary 7-8'!F81,'Acct Summary 7-8'!I81)</f>
        <v>9803704</v>
      </c>
      <c r="K16" s="216"/>
      <c r="L16" s="216"/>
      <c r="M16" s="216"/>
    </row>
    <row r="17" spans="1:13" ht="12.4" customHeight="1" x14ac:dyDescent="0.2">
      <c r="A17" s="326"/>
      <c r="B17" s="254" t="s">
        <v>8</v>
      </c>
      <c r="C17" s="231" t="s">
        <v>1379</v>
      </c>
      <c r="D17" s="216"/>
      <c r="E17" s="216"/>
      <c r="F17" s="216"/>
      <c r="G17" s="216"/>
      <c r="H17" s="216"/>
      <c r="I17" s="216"/>
      <c r="J17" s="216"/>
      <c r="K17" s="216"/>
      <c r="L17" s="216"/>
      <c r="M17" s="216"/>
    </row>
    <row r="18" spans="1:13" ht="12.4"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4"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424">
        <f>IF(B31="X",(J7*0.069),IF(B32="X",(J7*0.138),"Enter x in a.or b."))</f>
        <v>7001079.273000001</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4"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8">
        <f>'Assets-Liab 5-6'!N36</f>
        <v>1224794</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4"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94"/>
      <c r="C54" s="2195"/>
      <c r="D54" s="2195"/>
      <c r="E54" s="2195"/>
      <c r="F54" s="2195"/>
      <c r="G54" s="2195"/>
      <c r="H54" s="2195"/>
      <c r="I54" s="2195"/>
      <c r="J54" s="2195"/>
      <c r="K54" s="2195"/>
      <c r="L54" s="2196"/>
      <c r="M54" s="356"/>
    </row>
    <row r="55" spans="1:13" ht="12.75" customHeight="1" x14ac:dyDescent="0.2">
      <c r="B55" s="2197"/>
      <c r="C55" s="2198"/>
      <c r="D55" s="2198"/>
      <c r="E55" s="2198"/>
      <c r="F55" s="2198"/>
      <c r="G55" s="2198"/>
      <c r="H55" s="2198"/>
      <c r="I55" s="2198"/>
      <c r="J55" s="2198"/>
      <c r="K55" s="2198"/>
      <c r="L55" s="2199"/>
      <c r="M55" s="356"/>
    </row>
    <row r="56" spans="1:13" ht="12.75" customHeight="1" x14ac:dyDescent="0.2">
      <c r="B56" s="2197"/>
      <c r="C56" s="2198"/>
      <c r="D56" s="2198"/>
      <c r="E56" s="2198"/>
      <c r="F56" s="2198"/>
      <c r="G56" s="2198"/>
      <c r="H56" s="2198"/>
      <c r="I56" s="2198"/>
      <c r="J56" s="2198"/>
      <c r="K56" s="2198"/>
      <c r="L56" s="2199"/>
      <c r="M56" s="216"/>
    </row>
    <row r="57" spans="1:13" ht="12.75" customHeight="1" x14ac:dyDescent="0.2">
      <c r="B57" s="2197"/>
      <c r="C57" s="2198"/>
      <c r="D57" s="2198"/>
      <c r="E57" s="2198"/>
      <c r="F57" s="2198"/>
      <c r="G57" s="2198"/>
      <c r="H57" s="2198"/>
      <c r="I57" s="2198"/>
      <c r="J57" s="2198"/>
      <c r="K57" s="2198"/>
      <c r="L57" s="2199"/>
      <c r="M57" s="216"/>
    </row>
    <row r="58" spans="1:13" x14ac:dyDescent="0.2">
      <c r="B58" s="2200"/>
      <c r="C58" s="2201"/>
      <c r="D58" s="2201"/>
      <c r="E58" s="2201"/>
      <c r="F58" s="2201"/>
      <c r="G58" s="2201"/>
      <c r="H58" s="2201"/>
      <c r="I58" s="2201"/>
      <c r="J58" s="2201"/>
      <c r="K58" s="2201"/>
      <c r="L58" s="2202"/>
      <c r="M58" s="216"/>
    </row>
    <row r="59" spans="1:13" ht="6" customHeight="1" x14ac:dyDescent="0.2">
      <c r="B59" s="200"/>
      <c r="C59" s="200"/>
      <c r="D59" s="200"/>
      <c r="E59" s="200"/>
      <c r="F59" s="200"/>
      <c r="G59" s="200"/>
      <c r="H59" s="200"/>
      <c r="I59" s="200"/>
      <c r="J59" s="200"/>
      <c r="K59" s="200"/>
      <c r="L59" s="200"/>
      <c r="M59" s="216"/>
    </row>
    <row r="60" spans="1:13" ht="12.4" customHeight="1" x14ac:dyDescent="0.2">
      <c r="B60" s="200"/>
      <c r="C60" s="200"/>
      <c r="D60" s="200"/>
      <c r="E60" s="200"/>
      <c r="F60" s="200"/>
      <c r="G60" s="200"/>
      <c r="H60" s="200"/>
      <c r="I60" s="200"/>
      <c r="J60" s="200"/>
      <c r="K60" s="200"/>
      <c r="L60" s="200"/>
      <c r="M60" s="216"/>
    </row>
    <row r="61" spans="1:13" ht="12.75" customHeight="1" x14ac:dyDescent="0.15">
      <c r="A61" s="241"/>
      <c r="B61" s="357"/>
      <c r="C61" s="2205"/>
      <c r="D61" s="2206"/>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4" customHeight="1" x14ac:dyDescent="0.15">
      <c r="A63" s="359"/>
      <c r="B63" s="358"/>
      <c r="C63" s="358"/>
      <c r="D63" s="358"/>
      <c r="E63" s="358"/>
      <c r="F63" s="358"/>
      <c r="G63" s="358"/>
      <c r="H63" s="358"/>
      <c r="I63" s="358"/>
      <c r="J63" s="358"/>
      <c r="K63" s="358"/>
      <c r="L63" s="358"/>
      <c r="M63" s="216"/>
    </row>
    <row r="64" spans="1:13" ht="12.4"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4" customHeight="1" x14ac:dyDescent="0.2">
      <c r="A66" s="359"/>
      <c r="B66" s="340"/>
      <c r="C66" s="340"/>
      <c r="D66" s="340"/>
      <c r="E66" s="340"/>
      <c r="F66" s="340"/>
      <c r="G66" s="340"/>
      <c r="H66" s="340"/>
      <c r="I66" s="340"/>
      <c r="J66" s="340"/>
      <c r="K66" s="340"/>
      <c r="L66" s="340"/>
      <c r="M66" s="216"/>
    </row>
    <row r="67" spans="1:13" ht="12.4" customHeight="1" x14ac:dyDescent="0.2">
      <c r="A67" s="359"/>
      <c r="B67" s="216"/>
      <c r="C67" s="216"/>
      <c r="D67" s="216"/>
      <c r="E67" s="216"/>
      <c r="F67" s="216"/>
      <c r="G67" s="216"/>
      <c r="H67" s="216"/>
      <c r="I67" s="216"/>
      <c r="J67" s="216"/>
      <c r="K67" s="216"/>
      <c r="L67" s="216"/>
      <c r="M67" s="216"/>
    </row>
    <row r="68" spans="1:13" ht="12.4" customHeight="1" x14ac:dyDescent="0.2">
      <c r="B68" s="216"/>
      <c r="C68" s="216"/>
      <c r="D68" s="216"/>
      <c r="E68" s="216"/>
      <c r="F68" s="216"/>
      <c r="G68" s="216"/>
      <c r="H68" s="216"/>
      <c r="I68" s="216"/>
      <c r="J68" s="216"/>
      <c r="K68" s="216"/>
      <c r="L68" s="216"/>
      <c r="M68" s="216"/>
    </row>
    <row r="69" spans="1:13" ht="12.4" customHeight="1" x14ac:dyDescent="0.2">
      <c r="B69" s="216"/>
      <c r="C69" s="216"/>
      <c r="D69" s="216"/>
      <c r="E69" s="216"/>
      <c r="F69" s="216"/>
      <c r="G69" s="216"/>
      <c r="H69" s="216"/>
      <c r="I69" s="216"/>
      <c r="J69" s="216"/>
      <c r="K69" s="216"/>
      <c r="L69" s="216"/>
      <c r="M69" s="216"/>
    </row>
    <row r="70" spans="1:13" ht="12.4"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4"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28515625" defaultRowHeight="12" x14ac:dyDescent="0.2"/>
  <cols>
    <col min="1" max="1" width="2" style="361" customWidth="1"/>
    <col min="2" max="2" width="2.7109375" style="410" customWidth="1"/>
    <col min="3" max="3" width="15.28515625" style="361" customWidth="1"/>
    <col min="4" max="4" width="37.7109375" style="361" customWidth="1"/>
    <col min="5" max="5" width="1.7109375" style="361" customWidth="1"/>
    <col min="6" max="6" width="31.28515625" style="361" customWidth="1"/>
    <col min="7" max="7" width="1.7109375" style="361" customWidth="1"/>
    <col min="8" max="8" width="15.7109375" style="412" customWidth="1"/>
    <col min="9" max="9" width="2.7109375" style="361" customWidth="1"/>
    <col min="10" max="10" width="5.71093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7109375" style="361" customWidth="1"/>
    <col min="17" max="18" width="2.7109375" style="361" customWidth="1"/>
    <col min="19" max="16384" width="9.28515625" style="361"/>
  </cols>
  <sheetData>
    <row r="1" spans="1:18" ht="12.75" x14ac:dyDescent="0.2">
      <c r="A1" s="2208"/>
      <c r="B1" s="2209"/>
      <c r="C1" s="2209"/>
      <c r="D1" s="360"/>
      <c r="E1" s="360"/>
      <c r="F1" s="360"/>
      <c r="G1" s="360"/>
      <c r="H1" s="360"/>
      <c r="I1" s="360"/>
      <c r="J1" s="360"/>
      <c r="K1" s="360"/>
      <c r="L1" s="360"/>
      <c r="M1" s="360"/>
      <c r="N1" s="360"/>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1396</v>
      </c>
      <c r="B3" s="2213"/>
      <c r="C3" s="2213"/>
      <c r="D3" s="2213"/>
      <c r="E3" s="2213"/>
      <c r="F3" s="2213"/>
      <c r="G3" s="2213"/>
      <c r="H3" s="2213"/>
      <c r="I3" s="2213"/>
      <c r="J3" s="2213"/>
      <c r="K3" s="2213"/>
      <c r="L3" s="2213"/>
      <c r="M3" s="2213"/>
      <c r="N3" s="2213"/>
      <c r="O3" s="2213"/>
      <c r="P3" s="2213"/>
      <c r="Q3" s="2213"/>
      <c r="R3" s="2213"/>
    </row>
    <row r="4" spans="1:18" x14ac:dyDescent="0.2">
      <c r="A4" s="2214" t="s">
        <v>1537</v>
      </c>
      <c r="B4" s="2214"/>
      <c r="C4" s="2214"/>
      <c r="D4" s="2214"/>
      <c r="E4" s="2214"/>
      <c r="F4" s="2214"/>
      <c r="G4" s="2214"/>
      <c r="H4" s="2214"/>
      <c r="I4" s="2214"/>
      <c r="J4" s="2214"/>
      <c r="K4" s="2214"/>
      <c r="L4" s="2214"/>
      <c r="M4" s="2214"/>
      <c r="N4" s="2214"/>
      <c r="O4" s="2214"/>
      <c r="P4" s="2214"/>
      <c r="Q4" s="2214"/>
      <c r="R4" s="2214"/>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Lindop SD 92</v>
      </c>
      <c r="E7" s="367"/>
      <c r="G7" s="246"/>
      <c r="H7" s="363"/>
      <c r="I7" s="363"/>
      <c r="J7" s="363"/>
      <c r="K7" s="363"/>
      <c r="L7" s="306"/>
      <c r="M7" s="306"/>
      <c r="N7" s="306"/>
      <c r="O7" s="306"/>
      <c r="P7" s="306"/>
    </row>
    <row r="8" spans="1:18" ht="12.75" x14ac:dyDescent="0.2">
      <c r="A8" s="306"/>
      <c r="B8" s="306"/>
      <c r="C8" s="365" t="s">
        <v>1115</v>
      </c>
      <c r="D8" s="368">
        <f>COVER!A13</f>
        <v>6016092002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x14ac:dyDescent="0.2">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9803704</v>
      </c>
      <c r="I12" s="379"/>
      <c r="J12" s="379"/>
      <c r="K12" s="1558">
        <f>TRUNC((H12/H13*100000),5)/100000</f>
        <v>1.2883450272000001</v>
      </c>
      <c r="L12" s="380"/>
      <c r="M12" s="336" t="s">
        <v>1134</v>
      </c>
      <c r="N12" s="336"/>
      <c r="O12" s="1561">
        <v>0.35</v>
      </c>
      <c r="P12" s="212"/>
      <c r="Q12" s="212"/>
    </row>
    <row r="13" spans="1:18" s="381" customFormat="1" ht="12.75" x14ac:dyDescent="0.2">
      <c r="A13" s="212"/>
      <c r="B13" s="376"/>
      <c r="C13" s="2210" t="s">
        <v>1313</v>
      </c>
      <c r="D13" s="2211"/>
      <c r="E13" s="212"/>
      <c r="F13" s="382" t="s">
        <v>788</v>
      </c>
      <c r="G13" s="377"/>
      <c r="H13" s="1550">
        <f>SUM('Acct Summary 7-8'!C8+'Acct Summary 7-8'!D8+'Acct Summary 7-8'!F8+'Acct Summary 7-8'!I8)+H14</f>
        <v>7609533</v>
      </c>
      <c r="I13" s="379"/>
      <c r="J13" s="379"/>
      <c r="K13" s="1557"/>
      <c r="L13" s="212"/>
      <c r="M13" s="336" t="s">
        <v>1135</v>
      </c>
      <c r="N13" s="336"/>
      <c r="O13" s="1562">
        <f>(O11*O12)</f>
        <v>1.4</v>
      </c>
      <c r="P13" s="212"/>
      <c r="Q13" s="212"/>
      <c r="R13" s="384"/>
    </row>
    <row r="14" spans="1:18" s="381" customFormat="1" ht="12.75" x14ac:dyDescent="0.2">
      <c r="A14" s="212"/>
      <c r="B14" s="376"/>
      <c r="C14" s="234" t="s">
        <v>1380</v>
      </c>
      <c r="D14" s="385"/>
      <c r="E14" s="212"/>
      <c r="F14" s="382" t="s">
        <v>790</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65" customHeight="1" x14ac:dyDescent="0.2">
      <c r="A15" s="210"/>
      <c r="B15" s="372"/>
      <c r="C15" s="212" t="s">
        <v>1394</v>
      </c>
      <c r="D15" s="210"/>
      <c r="E15" s="210"/>
      <c r="F15" s="212"/>
      <c r="G15" s="386"/>
      <c r="H15" s="1551"/>
      <c r="I15" s="210"/>
      <c r="J15" s="210"/>
      <c r="K15" s="1551"/>
      <c r="L15" s="210"/>
      <c r="M15" s="387"/>
      <c r="N15" s="387"/>
      <c r="O15" s="1563"/>
      <c r="P15" s="210"/>
      <c r="Q15" s="210"/>
      <c r="R15" s="360"/>
    </row>
    <row r="16" spans="1:18" ht="12.75" x14ac:dyDescent="0.2">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x14ac:dyDescent="0.2">
      <c r="A17" s="212"/>
      <c r="B17" s="376"/>
      <c r="C17" s="212" t="s">
        <v>792</v>
      </c>
      <c r="D17" s="212"/>
      <c r="E17" s="212"/>
      <c r="F17" s="212" t="s">
        <v>441</v>
      </c>
      <c r="G17" s="377"/>
      <c r="H17" s="1550">
        <f>SUM('Acct Summary 7-8'!C17+'Acct Summary 7-8'!D17+'Acct Summary 7-8'!F17)</f>
        <v>7536118</v>
      </c>
      <c r="I17" s="379"/>
      <c r="J17" s="388"/>
      <c r="K17" s="1558">
        <f>TRUNC((H17/H18*100000),5)/100000</f>
        <v>0.99035223309999998</v>
      </c>
      <c r="L17" s="380"/>
      <c r="M17" s="389" t="s">
        <v>1161</v>
      </c>
      <c r="O17" s="1564" t="str">
        <f>IF(AND(O16="2", J20 &gt; 2),"1",IF(AND(O16 = "1", J20 &gt; 2),"2",IF(AND(O16="1", J20 &gt;1),"1","0")))</f>
        <v>0</v>
      </c>
      <c r="P17" s="212"/>
    </row>
    <row r="18" spans="1:18" s="381" customFormat="1" ht="11.25" x14ac:dyDescent="0.2">
      <c r="A18" s="212"/>
      <c r="B18" s="376"/>
      <c r="C18" s="2210" t="s">
        <v>1306</v>
      </c>
      <c r="D18" s="2211"/>
      <c r="E18" s="212"/>
      <c r="F18" s="390" t="s">
        <v>789</v>
      </c>
      <c r="G18" s="377"/>
      <c r="H18" s="1550">
        <f>SUM('Acct Summary 7-8'!C8+'Acct Summary 7-8'!D8+'Acct Summary 7-8'!F8+'Acct Summary 7-8'!I8)+H19</f>
        <v>7609533</v>
      </c>
      <c r="I18" s="379"/>
      <c r="J18" s="379"/>
      <c r="K18" s="1557"/>
      <c r="L18" s="212"/>
      <c r="M18" s="336" t="s">
        <v>1134</v>
      </c>
      <c r="N18" s="336"/>
      <c r="O18" s="1557">
        <v>0.35</v>
      </c>
      <c r="P18" s="212"/>
    </row>
    <row r="19" spans="1:18" s="381" customFormat="1" ht="11.25" x14ac:dyDescent="0.2">
      <c r="A19" s="212"/>
      <c r="B19" s="376"/>
      <c r="C19" s="234" t="s">
        <v>1380</v>
      </c>
      <c r="D19" s="385"/>
      <c r="E19" s="212"/>
      <c r="F19" s="390" t="s">
        <v>790</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x14ac:dyDescent="0.2">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65" customHeight="1" x14ac:dyDescent="0.2">
      <c r="A21" s="210"/>
      <c r="B21" s="372"/>
      <c r="C21" s="212" t="s">
        <v>472</v>
      </c>
      <c r="D21" s="210"/>
      <c r="E21" s="210"/>
      <c r="F21" s="210"/>
      <c r="G21" s="386"/>
      <c r="H21" s="1551"/>
      <c r="I21" s="210"/>
      <c r="J21" s="210"/>
      <c r="K21" s="1551"/>
      <c r="L21" s="210"/>
      <c r="M21" s="387"/>
      <c r="N21" s="387"/>
      <c r="O21" s="1563"/>
      <c r="P21" s="210"/>
      <c r="R21" s="360"/>
    </row>
    <row r="22" spans="1:18" ht="11.6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x14ac:dyDescent="0.2">
      <c r="A24" s="212"/>
      <c r="B24" s="376"/>
      <c r="C24" s="2207" t="s">
        <v>1395</v>
      </c>
      <c r="D24" s="2207"/>
      <c r="E24" s="212"/>
      <c r="F24" s="212" t="s">
        <v>442</v>
      </c>
      <c r="G24" s="377"/>
      <c r="H24" s="1550">
        <f>SUM('Assets-Liab 5-6'!C4+'Assets-Liab 5-6'!D4+'Assets-Liab 5-6'!F4+'Assets-Liab 5-6'!I4+'Assets-Liab 5-6'!C5+'Assets-Liab 5-6'!D5+'Assets-Liab 5-6'!F5+'Assets-Liab 5-6'!I5)</f>
        <v>7974422</v>
      </c>
      <c r="I24" s="393"/>
      <c r="J24" s="393"/>
      <c r="K24" s="1554">
        <f>TRUNC(((H24/H25*100000)/100000),2)</f>
        <v>380.93</v>
      </c>
      <c r="L24" s="394"/>
      <c r="M24" s="336" t="s">
        <v>1134</v>
      </c>
      <c r="N24" s="336"/>
      <c r="O24" s="1562">
        <v>0.1</v>
      </c>
      <c r="P24" s="212"/>
    </row>
    <row r="25" spans="1:18" s="381" customFormat="1" ht="12.75" x14ac:dyDescent="0.2">
      <c r="A25" s="212"/>
      <c r="B25" s="376"/>
      <c r="C25" s="212" t="s">
        <v>793</v>
      </c>
      <c r="D25" s="212"/>
      <c r="E25" s="212"/>
      <c r="F25" s="212" t="s">
        <v>443</v>
      </c>
      <c r="G25" s="377"/>
      <c r="H25" s="1554">
        <f>ROUND((H17/360),5)</f>
        <v>20933.661110000001</v>
      </c>
      <c r="I25" s="395"/>
      <c r="J25" s="395"/>
      <c r="K25" s="1557"/>
      <c r="L25" s="212"/>
      <c r="M25" s="336" t="s">
        <v>1135</v>
      </c>
      <c r="N25" s="336"/>
      <c r="O25" s="1562">
        <f>O23*O24</f>
        <v>0.4</v>
      </c>
      <c r="P25" s="212"/>
      <c r="R25" s="384"/>
    </row>
    <row r="26" spans="1:18" ht="12.4"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x14ac:dyDescent="0.2">
      <c r="A28" s="212"/>
      <c r="B28" s="376"/>
      <c r="C28" s="212" t="s">
        <v>1893</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x14ac:dyDescent="0.2">
      <c r="A29" s="212"/>
      <c r="B29" s="376"/>
      <c r="C29" s="212" t="s">
        <v>791</v>
      </c>
      <c r="D29" s="212"/>
      <c r="E29" s="212"/>
      <c r="F29" s="212" t="s">
        <v>795</v>
      </c>
      <c r="G29" s="377"/>
      <c r="H29" s="1556">
        <f>ROUND((0.85*'FP Info 3'!J7*'FP Info 3'!J10),5)</f>
        <v>4846116.6332999999</v>
      </c>
      <c r="I29" s="396"/>
      <c r="J29" s="396"/>
      <c r="K29" s="1557"/>
      <c r="L29" s="212"/>
      <c r="M29" s="336" t="s">
        <v>1135</v>
      </c>
      <c r="N29" s="336"/>
      <c r="O29" s="1562">
        <f>O27*O28</f>
        <v>0.4</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558</v>
      </c>
      <c r="C31" s="374"/>
      <c r="D31" s="210"/>
      <c r="E31" s="210"/>
      <c r="F31" s="210"/>
      <c r="G31" s="386"/>
      <c r="H31" s="1552" t="s">
        <v>155</v>
      </c>
      <c r="I31" s="313"/>
      <c r="J31" s="313"/>
      <c r="K31" s="1559" t="s">
        <v>488</v>
      </c>
      <c r="L31" s="313"/>
      <c r="M31" s="313" t="s">
        <v>1133</v>
      </c>
      <c r="N31" s="313"/>
      <c r="O31" s="1560" t="str">
        <f>IF(K32&gt;=75,"4",IF(K32&gt;=50,"3",IF(K32&gt;=25,"2",1)))</f>
        <v>4</v>
      </c>
      <c r="P31" s="210"/>
    </row>
    <row r="32" spans="1:18" s="381" customFormat="1" ht="11.25" x14ac:dyDescent="0.2">
      <c r="A32" s="212"/>
      <c r="B32" s="376"/>
      <c r="C32" s="212" t="s">
        <v>842</v>
      </c>
      <c r="D32" s="212"/>
      <c r="E32" s="212"/>
      <c r="F32" s="212"/>
      <c r="G32" s="377"/>
      <c r="H32" s="1550">
        <f>'FP Info 3'!H37</f>
        <v>1224794</v>
      </c>
      <c r="I32" s="391"/>
      <c r="J32" s="391"/>
      <c r="K32" s="1554">
        <f>TRUNC(100-((((H32/H33*100))*100)/100),2)</f>
        <v>82.5</v>
      </c>
      <c r="L32" s="380"/>
      <c r="M32" s="336" t="s">
        <v>1134</v>
      </c>
      <c r="N32" s="336"/>
      <c r="O32" s="1567">
        <v>0.1</v>
      </c>
    </row>
    <row r="33" spans="1:17" s="381" customFormat="1" ht="11.25" x14ac:dyDescent="0.2">
      <c r="A33" s="212"/>
      <c r="B33" s="376"/>
      <c r="C33" s="212" t="s">
        <v>794</v>
      </c>
      <c r="D33" s="212"/>
      <c r="E33" s="212"/>
      <c r="F33" s="212"/>
      <c r="G33" s="377"/>
      <c r="H33" s="378">
        <f>IF('FP Info 3'!H31="Enter X in a or b"," ",'FP Info 3'!H31)</f>
        <v>7001079.273000001</v>
      </c>
      <c r="I33" s="391"/>
      <c r="J33" s="391"/>
      <c r="K33" s="378"/>
      <c r="L33" s="212"/>
      <c r="M33" s="400" t="s">
        <v>1135</v>
      </c>
      <c r="N33" s="400"/>
      <c r="O33" s="1567">
        <f>(O31*O32)</f>
        <v>0.4</v>
      </c>
    </row>
    <row r="34" spans="1:17" ht="12.4"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292</v>
      </c>
      <c r="N35" s="386"/>
      <c r="O35" s="1568">
        <f>(O13+O20+O25+O29+O33)</f>
        <v>3.9999999999999996</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K41" sqref="K41"/>
    </sheetView>
  </sheetViews>
  <sheetFormatPr defaultColWidth="9.28515625" defaultRowHeight="12.75" x14ac:dyDescent="0.2"/>
  <cols>
    <col min="1" max="1" width="47.28515625" style="440" customWidth="1"/>
    <col min="2" max="2" width="4.5703125" style="441" customWidth="1"/>
    <col min="3" max="14" width="13.7109375" style="420" customWidth="1"/>
    <col min="15" max="16384" width="9.28515625" style="420"/>
  </cols>
  <sheetData>
    <row r="1" spans="1:14" x14ac:dyDescent="0.2">
      <c r="A1" s="2215"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6"/>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7" t="s">
        <v>967</v>
      </c>
      <c r="B3" s="2218"/>
      <c r="C3" s="1305"/>
      <c r="D3" s="1306"/>
      <c r="E3" s="1306"/>
      <c r="F3" s="1306"/>
      <c r="G3" s="1306"/>
      <c r="H3" s="1306"/>
      <c r="I3" s="1306"/>
      <c r="J3" s="1306"/>
      <c r="K3" s="1306"/>
      <c r="L3" s="1306"/>
      <c r="M3" s="1307"/>
      <c r="N3" s="1308"/>
    </row>
    <row r="4" spans="1:14" ht="13.5" customHeight="1" x14ac:dyDescent="0.2">
      <c r="A4" s="426" t="s">
        <v>1632</v>
      </c>
      <c r="B4" s="427"/>
      <c r="C4" s="1571">
        <v>6573804</v>
      </c>
      <c r="D4" s="1572">
        <v>180620</v>
      </c>
      <c r="E4" s="1572">
        <v>254613</v>
      </c>
      <c r="F4" s="1572">
        <v>223855</v>
      </c>
      <c r="G4" s="1572">
        <v>993651</v>
      </c>
      <c r="H4" s="1572">
        <v>86435</v>
      </c>
      <c r="I4" s="1572">
        <v>996143</v>
      </c>
      <c r="J4" s="1573">
        <v>552980</v>
      </c>
      <c r="K4" s="1572">
        <v>87279</v>
      </c>
      <c r="L4" s="1572">
        <v>28547</v>
      </c>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v>2240642</v>
      </c>
      <c r="D6" s="1572">
        <v>259694</v>
      </c>
      <c r="E6" s="1572">
        <v>209204</v>
      </c>
      <c r="F6" s="1572">
        <v>56065</v>
      </c>
      <c r="G6" s="1576">
        <v>47966</v>
      </c>
      <c r="H6" s="1576"/>
      <c r="I6" s="1572">
        <v>31573</v>
      </c>
      <c r="J6" s="1578">
        <v>107054</v>
      </c>
      <c r="K6" s="1576">
        <v>46209</v>
      </c>
      <c r="L6" s="1579"/>
      <c r="M6" s="1574"/>
      <c r="N6" s="1575"/>
    </row>
    <row r="7" spans="1:14" ht="13.5" customHeight="1" x14ac:dyDescent="0.2">
      <c r="A7" s="429" t="s">
        <v>415</v>
      </c>
      <c r="B7" s="428">
        <v>140</v>
      </c>
      <c r="C7" s="1580"/>
      <c r="D7" s="1573"/>
      <c r="E7" s="1573"/>
      <c r="F7" s="1573"/>
      <c r="G7" s="1573"/>
      <c r="H7" s="1573"/>
      <c r="I7" s="1573"/>
      <c r="J7" s="1573"/>
      <c r="K7" s="1573"/>
      <c r="L7" s="1581"/>
      <c r="M7" s="1574"/>
      <c r="N7" s="1575"/>
    </row>
    <row r="8" spans="1:14" ht="13.5" customHeight="1" x14ac:dyDescent="0.2">
      <c r="A8" s="429" t="s">
        <v>267</v>
      </c>
      <c r="B8" s="428">
        <v>150</v>
      </c>
      <c r="C8" s="1580">
        <v>9600</v>
      </c>
      <c r="D8" s="1573"/>
      <c r="E8" s="1573"/>
      <c r="F8" s="1573">
        <v>45656</v>
      </c>
      <c r="G8" s="1582"/>
      <c r="H8" s="1573">
        <v>50000</v>
      </c>
      <c r="I8" s="1578"/>
      <c r="J8" s="1578"/>
      <c r="K8" s="1583"/>
      <c r="L8" s="1584"/>
      <c r="M8" s="1574"/>
      <c r="N8" s="1575"/>
    </row>
    <row r="9" spans="1:14" ht="13.5" customHeight="1" x14ac:dyDescent="0.2">
      <c r="A9" s="429" t="s">
        <v>268</v>
      </c>
      <c r="B9" s="428">
        <v>160</v>
      </c>
      <c r="C9" s="1580">
        <v>40877</v>
      </c>
      <c r="D9" s="1573"/>
      <c r="E9" s="1573"/>
      <c r="F9" s="1573"/>
      <c r="G9" s="1573">
        <v>7899</v>
      </c>
      <c r="H9" s="1582">
        <v>769</v>
      </c>
      <c r="I9" s="1573"/>
      <c r="J9" s="1573">
        <v>4069</v>
      </c>
      <c r="K9" s="1573">
        <v>1395</v>
      </c>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c r="D11" s="1573"/>
      <c r="E11" s="1573"/>
      <c r="F11" s="1573"/>
      <c r="G11" s="1573"/>
      <c r="H11" s="1573"/>
      <c r="I11" s="1582"/>
      <c r="J11" s="1582">
        <v>30591</v>
      </c>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8864923</v>
      </c>
      <c r="D13" s="1586">
        <f t="shared" ref="D13:L13" si="0">SUM(D4:D12)</f>
        <v>440314</v>
      </c>
      <c r="E13" s="1586">
        <f t="shared" si="0"/>
        <v>463817</v>
      </c>
      <c r="F13" s="1586">
        <f t="shared" si="0"/>
        <v>325576</v>
      </c>
      <c r="G13" s="1586">
        <f t="shared" si="0"/>
        <v>1049516</v>
      </c>
      <c r="H13" s="1586">
        <f t="shared" si="0"/>
        <v>137204</v>
      </c>
      <c r="I13" s="1586">
        <f t="shared" si="0"/>
        <v>1027716</v>
      </c>
      <c r="J13" s="1586">
        <f t="shared" si="0"/>
        <v>694694</v>
      </c>
      <c r="K13" s="1586">
        <f t="shared" si="0"/>
        <v>134883</v>
      </c>
      <c r="L13" s="1586">
        <f t="shared" si="0"/>
        <v>28547</v>
      </c>
      <c r="M13" s="1574"/>
      <c r="N13" s="1575"/>
    </row>
    <row r="14" spans="1:14" ht="18" customHeight="1" thickTop="1" x14ac:dyDescent="0.2">
      <c r="A14" s="2219" t="s">
        <v>146</v>
      </c>
      <c r="B14" s="2220"/>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v>314014</v>
      </c>
      <c r="N16" s="1591"/>
    </row>
    <row r="17" spans="1:14" s="432" customFormat="1" ht="12.75" customHeight="1" x14ac:dyDescent="0.2">
      <c r="A17" s="430" t="s">
        <v>1386</v>
      </c>
      <c r="B17" s="431">
        <v>230</v>
      </c>
      <c r="C17" s="1581"/>
      <c r="D17" s="1581"/>
      <c r="E17" s="1581"/>
      <c r="F17" s="1581"/>
      <c r="G17" s="1581"/>
      <c r="H17" s="1581"/>
      <c r="I17" s="1581"/>
      <c r="J17" s="1581"/>
      <c r="K17" s="1581"/>
      <c r="L17" s="1581"/>
      <c r="M17" s="1573">
        <v>12728375</v>
      </c>
      <c r="N17" s="1591"/>
    </row>
    <row r="18" spans="1:14" s="432" customFormat="1" ht="12.75" customHeight="1" x14ac:dyDescent="0.2">
      <c r="A18" s="430" t="s">
        <v>1387</v>
      </c>
      <c r="B18" s="431">
        <v>240</v>
      </c>
      <c r="C18" s="1581"/>
      <c r="D18" s="1581"/>
      <c r="E18" s="1581"/>
      <c r="F18" s="1581"/>
      <c r="G18" s="1581"/>
      <c r="H18" s="1581"/>
      <c r="I18" s="1581"/>
      <c r="J18" s="1581"/>
      <c r="K18" s="1581"/>
      <c r="L18" s="1581"/>
      <c r="M18" s="1573">
        <v>418363</v>
      </c>
      <c r="N18" s="1591"/>
    </row>
    <row r="19" spans="1:14" s="432" customFormat="1" ht="12.75" customHeight="1" x14ac:dyDescent="0.2">
      <c r="A19" s="430" t="s">
        <v>1388</v>
      </c>
      <c r="B19" s="431">
        <v>250</v>
      </c>
      <c r="C19" s="1581"/>
      <c r="D19" s="1581"/>
      <c r="E19" s="1581"/>
      <c r="F19" s="1581"/>
      <c r="G19" s="1581"/>
      <c r="H19" s="1581"/>
      <c r="I19" s="1581"/>
      <c r="J19" s="1581"/>
      <c r="K19" s="1581"/>
      <c r="L19" s="1581"/>
      <c r="M19" s="1573">
        <v>2129936</v>
      </c>
      <c r="N19" s="1591"/>
    </row>
    <row r="20" spans="1:14" s="432" customFormat="1" ht="12.75" customHeight="1" x14ac:dyDescent="0.2">
      <c r="A20" s="430" t="s">
        <v>1389</v>
      </c>
      <c r="B20" s="431">
        <v>260</v>
      </c>
      <c r="C20" s="1581"/>
      <c r="D20" s="1581"/>
      <c r="E20" s="1581"/>
      <c r="F20" s="1581"/>
      <c r="G20" s="1581"/>
      <c r="H20" s="1581"/>
      <c r="I20" s="1581"/>
      <c r="J20" s="1581"/>
      <c r="K20" s="1581"/>
      <c r="L20" s="1581"/>
      <c r="M20" s="1573">
        <v>0</v>
      </c>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v>408571</v>
      </c>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816223</v>
      </c>
    </row>
    <row r="23" spans="1:14" ht="13.5" customHeight="1" thickBot="1" x14ac:dyDescent="0.25">
      <c r="A23" s="1425" t="s">
        <v>638</v>
      </c>
      <c r="B23" s="1428"/>
      <c r="C23" s="1574"/>
      <c r="D23" s="1574"/>
      <c r="E23" s="1574"/>
      <c r="F23" s="1574"/>
      <c r="G23" s="1574"/>
      <c r="H23" s="1574"/>
      <c r="I23" s="1574"/>
      <c r="J23" s="1574"/>
      <c r="K23" s="1574"/>
      <c r="L23" s="1574"/>
      <c r="M23" s="1593">
        <f>SUM(M15:M22)</f>
        <v>15590688</v>
      </c>
      <c r="N23" s="1593">
        <f>SUM(N21:N22)</f>
        <v>1224794</v>
      </c>
    </row>
    <row r="24" spans="1:14" ht="18" customHeight="1" thickTop="1" x14ac:dyDescent="0.2">
      <c r="A24" s="2221" t="s">
        <v>594</v>
      </c>
      <c r="B24" s="2222"/>
      <c r="C24" s="1594"/>
      <c r="D24" s="1589"/>
      <c r="E24" s="1589"/>
      <c r="F24" s="1589"/>
      <c r="G24" s="1589"/>
      <c r="H24" s="1589"/>
      <c r="I24" s="1589"/>
      <c r="J24" s="1589"/>
      <c r="K24" s="1589"/>
      <c r="L24" s="1589"/>
      <c r="M24" s="1588"/>
      <c r="N24" s="1595"/>
    </row>
    <row r="25" spans="1:14" x14ac:dyDescent="0.2">
      <c r="A25" s="429" t="s">
        <v>640</v>
      </c>
      <c r="B25" s="428">
        <v>410</v>
      </c>
      <c r="C25" s="1582">
        <v>141150</v>
      </c>
      <c r="D25" s="1582">
        <v>55796</v>
      </c>
      <c r="E25" s="1582"/>
      <c r="F25" s="1582">
        <v>12993</v>
      </c>
      <c r="G25" s="1582"/>
      <c r="H25" s="1583"/>
      <c r="I25" s="1574"/>
      <c r="J25" s="1582">
        <v>10139</v>
      </c>
      <c r="K25" s="1582"/>
      <c r="L25" s="1574"/>
      <c r="M25" s="1574"/>
      <c r="N25" s="1574"/>
    </row>
    <row r="26" spans="1:14" x14ac:dyDescent="0.2">
      <c r="A26" s="429" t="s">
        <v>641</v>
      </c>
      <c r="B26" s="428">
        <v>420</v>
      </c>
      <c r="C26" s="1573"/>
      <c r="D26" s="1573"/>
      <c r="E26" s="1573"/>
      <c r="F26" s="1573"/>
      <c r="G26" s="1573"/>
      <c r="H26" s="1573"/>
      <c r="I26" s="1573"/>
      <c r="J26" s="1578"/>
      <c r="K26" s="1573"/>
      <c r="L26" s="1574"/>
      <c r="M26" s="1574"/>
      <c r="N26" s="1574"/>
    </row>
    <row r="27" spans="1:14" ht="13.5" customHeight="1" x14ac:dyDescent="0.2">
      <c r="A27" s="429" t="s">
        <v>642</v>
      </c>
      <c r="B27" s="428">
        <v>430</v>
      </c>
      <c r="C27" s="1573">
        <v>-9597</v>
      </c>
      <c r="D27" s="1573">
        <v>226</v>
      </c>
      <c r="E27" s="1573"/>
      <c r="F27" s="1573"/>
      <c r="G27" s="1573">
        <v>-348</v>
      </c>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c r="D30" s="1578"/>
      <c r="E30" s="1573"/>
      <c r="F30" s="1573"/>
      <c r="G30" s="1573"/>
      <c r="H30" s="1573"/>
      <c r="I30" s="1573"/>
      <c r="J30" s="1573"/>
      <c r="K30" s="1582"/>
      <c r="L30" s="1574"/>
      <c r="M30" s="1574"/>
      <c r="N30" s="1574"/>
    </row>
    <row r="31" spans="1:14" ht="13.5" customHeight="1" x14ac:dyDescent="0.2">
      <c r="A31" s="429" t="s">
        <v>646</v>
      </c>
      <c r="B31" s="428">
        <v>480</v>
      </c>
      <c r="C31" s="1572"/>
      <c r="D31" s="1573"/>
      <c r="E31" s="1573"/>
      <c r="F31" s="1572"/>
      <c r="G31" s="1573"/>
      <c r="H31" s="1573"/>
      <c r="I31" s="1573"/>
      <c r="J31" s="1573"/>
      <c r="K31" s="1573"/>
      <c r="L31" s="1574"/>
      <c r="M31" s="1574"/>
      <c r="N31" s="1574"/>
    </row>
    <row r="32" spans="1:14" ht="13.5" customHeight="1" x14ac:dyDescent="0.2">
      <c r="A32" s="433" t="s">
        <v>647</v>
      </c>
      <c r="B32" s="434">
        <v>490</v>
      </c>
      <c r="C32" s="1598">
        <v>581660</v>
      </c>
      <c r="D32" s="1598">
        <v>68637</v>
      </c>
      <c r="E32" s="1578">
        <v>55246</v>
      </c>
      <c r="F32" s="1578">
        <v>14444</v>
      </c>
      <c r="G32" s="1578">
        <v>12608</v>
      </c>
      <c r="H32" s="1578"/>
      <c r="I32" s="1578">
        <v>-10484</v>
      </c>
      <c r="J32" s="1578">
        <v>28362</v>
      </c>
      <c r="K32" s="1583">
        <v>29177</v>
      </c>
      <c r="L32" s="1574"/>
      <c r="M32" s="1574"/>
      <c r="N32" s="1574"/>
    </row>
    <row r="33" spans="1:14" ht="13.5" customHeight="1" x14ac:dyDescent="0.2">
      <c r="A33" s="435" t="s">
        <v>300</v>
      </c>
      <c r="B33" s="434">
        <v>493</v>
      </c>
      <c r="C33" s="1573"/>
      <c r="D33" s="1573"/>
      <c r="E33" s="1573"/>
      <c r="F33" s="1573"/>
      <c r="G33" s="1573"/>
      <c r="H33" s="1573"/>
      <c r="I33" s="1573"/>
      <c r="J33" s="1573"/>
      <c r="K33" s="1573"/>
      <c r="L33" s="1573">
        <v>28547</v>
      </c>
      <c r="M33" s="1574"/>
      <c r="N33" s="1575"/>
    </row>
    <row r="34" spans="1:14" ht="13.5" customHeight="1" thickBot="1" x14ac:dyDescent="0.25">
      <c r="A34" s="1426" t="s">
        <v>649</v>
      </c>
      <c r="B34" s="1427"/>
      <c r="C34" s="1599">
        <f>SUM(C25:C33)</f>
        <v>713213</v>
      </c>
      <c r="D34" s="1599">
        <f t="shared" ref="D34:K34" si="1">SUM(D25:D33)</f>
        <v>124659</v>
      </c>
      <c r="E34" s="1599">
        <f t="shared" si="1"/>
        <v>55246</v>
      </c>
      <c r="F34" s="1599">
        <f t="shared" si="1"/>
        <v>27437</v>
      </c>
      <c r="G34" s="1599">
        <f t="shared" si="1"/>
        <v>12260</v>
      </c>
      <c r="H34" s="1599">
        <f t="shared" si="1"/>
        <v>0</v>
      </c>
      <c r="I34" s="1599">
        <f t="shared" si="1"/>
        <v>-10484</v>
      </c>
      <c r="J34" s="1599">
        <f t="shared" si="1"/>
        <v>38501</v>
      </c>
      <c r="K34" s="1599">
        <f t="shared" si="1"/>
        <v>29177</v>
      </c>
      <c r="L34" s="1600">
        <f>SUM(L33)</f>
        <v>28547</v>
      </c>
      <c r="M34" s="1574"/>
      <c r="N34" s="1584"/>
    </row>
    <row r="35" spans="1:14" ht="18" customHeight="1" thickTop="1" x14ac:dyDescent="0.2">
      <c r="A35" s="2223" t="s">
        <v>526</v>
      </c>
      <c r="B35" s="2224"/>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1224794</v>
      </c>
    </row>
    <row r="37" spans="1:14" ht="13.5" thickBot="1" x14ac:dyDescent="0.25">
      <c r="A37" s="1425" t="s">
        <v>648</v>
      </c>
      <c r="B37" s="1428"/>
      <c r="C37" s="1581"/>
      <c r="D37" s="1581"/>
      <c r="E37" s="1581"/>
      <c r="F37" s="1581"/>
      <c r="G37" s="1581"/>
      <c r="H37" s="1581"/>
      <c r="I37" s="1581"/>
      <c r="J37" s="1581"/>
      <c r="K37" s="1581"/>
      <c r="L37" s="1584"/>
      <c r="M37" s="1574"/>
      <c r="N37" s="1593">
        <f>SUM(N36:N36)</f>
        <v>1224794</v>
      </c>
    </row>
    <row r="38" spans="1:14" s="306" customFormat="1" ht="13.5" customHeight="1" thickTop="1" x14ac:dyDescent="0.2">
      <c r="A38" s="437" t="s">
        <v>417</v>
      </c>
      <c r="B38" s="431">
        <v>714</v>
      </c>
      <c r="C38" s="1572"/>
      <c r="D38" s="1572"/>
      <c r="E38" s="1572"/>
      <c r="F38" s="1572"/>
      <c r="G38" s="1572"/>
      <c r="H38" s="1572"/>
      <c r="I38" s="1572"/>
      <c r="J38" s="1573"/>
      <c r="K38" s="1572"/>
      <c r="L38" s="1585"/>
      <c r="M38" s="1603"/>
      <c r="N38" s="1603"/>
    </row>
    <row r="39" spans="1:14" s="306" customFormat="1" ht="13.5" customHeight="1" x14ac:dyDescent="0.2">
      <c r="A39" s="437" t="s">
        <v>339</v>
      </c>
      <c r="B39" s="431">
        <v>730</v>
      </c>
      <c r="C39" s="1572">
        <v>8151710</v>
      </c>
      <c r="D39" s="1572">
        <v>315655</v>
      </c>
      <c r="E39" s="1572">
        <v>408571</v>
      </c>
      <c r="F39" s="1572">
        <v>298139</v>
      </c>
      <c r="G39" s="1572">
        <v>1037256</v>
      </c>
      <c r="H39" s="1572">
        <v>137204</v>
      </c>
      <c r="I39" s="1572">
        <v>1038200</v>
      </c>
      <c r="J39" s="1573">
        <v>656193</v>
      </c>
      <c r="K39" s="1572">
        <v>105706</v>
      </c>
      <c r="L39" s="1572"/>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v>15590688</v>
      </c>
      <c r="N40" s="1603"/>
    </row>
    <row r="41" spans="1:14" ht="13.5" customHeight="1" thickBot="1" x14ac:dyDescent="0.25">
      <c r="A41" s="1425" t="s">
        <v>650</v>
      </c>
      <c r="B41" s="1404"/>
      <c r="C41" s="1593">
        <f>(SUM(C34,C37,C38,C39))</f>
        <v>8864923</v>
      </c>
      <c r="D41" s="1593">
        <f t="shared" ref="D41:L41" si="2">SUM(D34,D37,D38:D39)</f>
        <v>440314</v>
      </c>
      <c r="E41" s="1593">
        <f t="shared" si="2"/>
        <v>463817</v>
      </c>
      <c r="F41" s="1593">
        <f t="shared" si="2"/>
        <v>325576</v>
      </c>
      <c r="G41" s="1593">
        <f t="shared" si="2"/>
        <v>1049516</v>
      </c>
      <c r="H41" s="1593">
        <f t="shared" si="2"/>
        <v>137204</v>
      </c>
      <c r="I41" s="1593">
        <f t="shared" si="2"/>
        <v>1027716</v>
      </c>
      <c r="J41" s="1593">
        <f t="shared" si="2"/>
        <v>694694</v>
      </c>
      <c r="K41" s="1593">
        <f t="shared" si="2"/>
        <v>134883</v>
      </c>
      <c r="L41" s="1593">
        <f t="shared" si="2"/>
        <v>28547</v>
      </c>
      <c r="M41" s="1593">
        <f>SUM(M40)</f>
        <v>15590688</v>
      </c>
      <c r="N41" s="1593">
        <f>SUM(N37)</f>
        <v>1224794</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28515625" defaultRowHeight="12.75" x14ac:dyDescent="0.2"/>
  <cols>
    <col min="1" max="1" width="55.7109375" style="440" customWidth="1"/>
    <col min="2" max="2" width="4.7109375" style="441" customWidth="1"/>
    <col min="3" max="11" width="13.7109375" style="420" customWidth="1"/>
    <col min="12" max="12" width="2" style="420" customWidth="1"/>
    <col min="13" max="16384" width="9.28515625" style="420"/>
  </cols>
  <sheetData>
    <row r="1" spans="1:13" ht="12.75" customHeight="1" x14ac:dyDescent="0.2">
      <c r="A1" s="2233"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34"/>
      <c r="B2" s="421" t="s">
        <v>375</v>
      </c>
      <c r="C2" s="422" t="s">
        <v>1145</v>
      </c>
      <c r="D2" s="422" t="s">
        <v>865</v>
      </c>
      <c r="E2" s="422" t="s">
        <v>435</v>
      </c>
      <c r="F2" s="422" t="s">
        <v>154</v>
      </c>
      <c r="G2" s="422" t="s">
        <v>982</v>
      </c>
      <c r="H2" s="422" t="s">
        <v>434</v>
      </c>
      <c r="I2" s="422" t="s">
        <v>404</v>
      </c>
      <c r="J2" s="422" t="s">
        <v>433</v>
      </c>
      <c r="K2" s="422" t="s">
        <v>156</v>
      </c>
      <c r="L2" s="441"/>
    </row>
    <row r="3" spans="1:13" s="446" customFormat="1" ht="16.899999999999999" customHeight="1" x14ac:dyDescent="0.2">
      <c r="A3" s="2245" t="s">
        <v>1165</v>
      </c>
      <c r="B3" s="2246"/>
      <c r="C3" s="1310"/>
      <c r="D3" s="1311"/>
      <c r="E3" s="1311"/>
      <c r="F3" s="1311"/>
      <c r="G3" s="1311"/>
      <c r="H3" s="1311"/>
      <c r="I3" s="1311"/>
      <c r="J3" s="1311"/>
      <c r="K3" s="1312"/>
      <c r="L3" s="445"/>
    </row>
    <row r="4" spans="1:13" ht="15.75" customHeight="1" x14ac:dyDescent="0.2">
      <c r="A4" s="1536" t="s">
        <v>1482</v>
      </c>
      <c r="B4" s="1537">
        <v>1000</v>
      </c>
      <c r="C4" s="1605">
        <f>'Revenues 9-14'!C109</f>
        <v>4584341</v>
      </c>
      <c r="D4" s="1605">
        <f>'Revenues 9-14'!D109</f>
        <v>496212</v>
      </c>
      <c r="E4" s="1605">
        <f>'Revenues 9-14'!E109</f>
        <v>389561</v>
      </c>
      <c r="F4" s="1605">
        <f>'Revenues 9-14'!F109</f>
        <v>100486</v>
      </c>
      <c r="G4" s="1605">
        <f>'Revenues 9-14'!G109</f>
        <v>105216</v>
      </c>
      <c r="H4" s="1605">
        <f>'Revenues 9-14'!H109</f>
        <v>2111</v>
      </c>
      <c r="I4" s="1605">
        <f>'Revenues 9-14'!I109</f>
        <v>85568</v>
      </c>
      <c r="J4" s="1605">
        <f>'Revenues 9-14'!J109</f>
        <v>212570</v>
      </c>
      <c r="K4" s="1605">
        <f>'Revenues 9-14'!K109</f>
        <v>72765</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1438912</v>
      </c>
      <c r="D6" s="1606">
        <f>'Revenues 9-14'!D170</f>
        <v>97484</v>
      </c>
      <c r="E6" s="1606">
        <f>'Revenues 9-14'!E170</f>
        <v>0</v>
      </c>
      <c r="F6" s="1606">
        <f>'Revenues 9-14'!F170</f>
        <v>183171</v>
      </c>
      <c r="G6" s="1606">
        <f>'Revenues 9-14'!G170</f>
        <v>0</v>
      </c>
      <c r="H6" s="1606">
        <f>'Revenues 9-14'!H170</f>
        <v>50000</v>
      </c>
      <c r="I6" s="1606">
        <f>'Revenues 9-14'!I170</f>
        <v>0</v>
      </c>
      <c r="J6" s="1606">
        <f>'Revenues 9-14'!J170</f>
        <v>0</v>
      </c>
      <c r="K6" s="1606">
        <f>'Revenues 9-14'!K170</f>
        <v>0</v>
      </c>
      <c r="L6" s="324"/>
      <c r="M6" s="447"/>
    </row>
    <row r="7" spans="1:13" ht="15.75" customHeight="1" x14ac:dyDescent="0.2">
      <c r="A7" s="1313" t="s">
        <v>1485</v>
      </c>
      <c r="B7" s="1315">
        <v>4000</v>
      </c>
      <c r="C7" s="1606">
        <f>'Revenues 9-14'!C267</f>
        <v>623359</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6646612</v>
      </c>
      <c r="D8" s="1593">
        <f t="shared" ref="D8:K8" si="0">SUM(D4:D7)</f>
        <v>593696</v>
      </c>
      <c r="E8" s="1593">
        <f t="shared" si="0"/>
        <v>389561</v>
      </c>
      <c r="F8" s="1593">
        <f t="shared" si="0"/>
        <v>283657</v>
      </c>
      <c r="G8" s="1593">
        <f t="shared" si="0"/>
        <v>105216</v>
      </c>
      <c r="H8" s="1593">
        <f t="shared" si="0"/>
        <v>52111</v>
      </c>
      <c r="I8" s="1593">
        <f t="shared" si="0"/>
        <v>85568</v>
      </c>
      <c r="J8" s="1593">
        <f t="shared" si="0"/>
        <v>212570</v>
      </c>
      <c r="K8" s="1593">
        <f t="shared" si="0"/>
        <v>72765</v>
      </c>
      <c r="L8" s="324"/>
    </row>
    <row r="9" spans="1:13" ht="15.75" thickTop="1" x14ac:dyDescent="0.2">
      <c r="A9" s="448" t="s">
        <v>1634</v>
      </c>
      <c r="B9" s="449">
        <v>3998</v>
      </c>
      <c r="C9" s="1585">
        <v>0</v>
      </c>
      <c r="D9" s="1612"/>
      <c r="E9" s="1585"/>
      <c r="F9" s="1585"/>
      <c r="G9" s="1613"/>
      <c r="H9" s="1585"/>
      <c r="I9" s="1608" t="s">
        <v>1159</v>
      </c>
      <c r="J9" s="1582"/>
      <c r="K9" s="1585"/>
      <c r="L9" s="324"/>
    </row>
    <row r="10" spans="1:13" s="451" customFormat="1" ht="13.5" thickBot="1" x14ac:dyDescent="0.25">
      <c r="A10" s="1425" t="s">
        <v>1163</v>
      </c>
      <c r="B10" s="1406"/>
      <c r="C10" s="1593">
        <f>SUM(C8:C9)</f>
        <v>6646612</v>
      </c>
      <c r="D10" s="1593">
        <f t="shared" ref="D10:K10" si="1">SUM(D8:D9)</f>
        <v>593696</v>
      </c>
      <c r="E10" s="1593">
        <f t="shared" si="1"/>
        <v>389561</v>
      </c>
      <c r="F10" s="1593">
        <f t="shared" si="1"/>
        <v>283657</v>
      </c>
      <c r="G10" s="1593">
        <f t="shared" si="1"/>
        <v>105216</v>
      </c>
      <c r="H10" s="1593">
        <f t="shared" si="1"/>
        <v>52111</v>
      </c>
      <c r="I10" s="1593">
        <f t="shared" si="1"/>
        <v>85568</v>
      </c>
      <c r="J10" s="1593">
        <f t="shared" si="1"/>
        <v>212570</v>
      </c>
      <c r="K10" s="1593">
        <f t="shared" si="1"/>
        <v>72765</v>
      </c>
      <c r="L10" s="450"/>
    </row>
    <row r="11" spans="1:13" s="451" customFormat="1" ht="16.899999999999999" customHeight="1" thickTop="1" x14ac:dyDescent="0.2">
      <c r="A11" s="2219" t="s">
        <v>1166</v>
      </c>
      <c r="B11" s="2220"/>
      <c r="C11" s="1601"/>
      <c r="D11" s="1602"/>
      <c r="E11" s="1602"/>
      <c r="F11" s="1602"/>
      <c r="G11" s="1602"/>
      <c r="H11" s="1602"/>
      <c r="I11" s="1602"/>
      <c r="J11" s="1602"/>
      <c r="K11" s="1614"/>
      <c r="L11" s="450"/>
    </row>
    <row r="12" spans="1:13" ht="15.75" customHeight="1" x14ac:dyDescent="0.2">
      <c r="A12" s="1313" t="s">
        <v>453</v>
      </c>
      <c r="B12" s="1315">
        <v>1000</v>
      </c>
      <c r="C12" s="1605">
        <f>'Expenditures 15-22'!K33</f>
        <v>3220968</v>
      </c>
      <c r="D12" s="1615" t="s">
        <v>1159</v>
      </c>
      <c r="E12" s="1574" t="s">
        <v>1159</v>
      </c>
      <c r="F12" s="1574" t="s">
        <v>1159</v>
      </c>
      <c r="G12" s="1605">
        <f>'Expenditures 15-22'!K229</f>
        <v>75707</v>
      </c>
      <c r="H12" s="1616"/>
      <c r="I12" s="1574" t="s">
        <v>1159</v>
      </c>
      <c r="J12" s="1574" t="s">
        <v>1159</v>
      </c>
      <c r="K12" s="1616" t="s">
        <v>1159</v>
      </c>
      <c r="L12" s="324"/>
    </row>
    <row r="13" spans="1:13" ht="15.75" customHeight="1" x14ac:dyDescent="0.2">
      <c r="A13" s="1313" t="s">
        <v>454</v>
      </c>
      <c r="B13" s="1315">
        <v>2000</v>
      </c>
      <c r="C13" s="1606">
        <f>'Expenditures 15-22'!K74</f>
        <v>2385914</v>
      </c>
      <c r="D13" s="1606">
        <f>'Expenditures 15-22'!K129</f>
        <v>550523</v>
      </c>
      <c r="E13" s="1575" t="s">
        <v>1159</v>
      </c>
      <c r="F13" s="1606">
        <f>'Expenditures 15-22'!K184</f>
        <v>216119</v>
      </c>
      <c r="G13" s="1606">
        <f>'Expenditures 15-22'!K279</f>
        <v>115517</v>
      </c>
      <c r="H13" s="1606">
        <f>'Expenditures 15-22'!K303</f>
        <v>137283</v>
      </c>
      <c r="I13" s="1574" t="s">
        <v>1159</v>
      </c>
      <c r="J13" s="1606">
        <f>'Expenditures 15-22'!K330</f>
        <v>234485</v>
      </c>
      <c r="K13" s="1617">
        <f>'Expenditures 15-22'!K352</f>
        <v>357873</v>
      </c>
      <c r="L13" s="324"/>
    </row>
    <row r="14" spans="1:13" ht="15.75" customHeight="1" x14ac:dyDescent="0.2">
      <c r="A14" s="1313" t="s">
        <v>446</v>
      </c>
      <c r="B14" s="1315">
        <v>3000</v>
      </c>
      <c r="C14" s="1606">
        <f>'Expenditures 15-22'!K75</f>
        <v>22269</v>
      </c>
      <c r="D14" s="1606">
        <f>'Expenditures 15-22'!K130</f>
        <v>0</v>
      </c>
      <c r="E14" s="1615" t="s">
        <v>1159</v>
      </c>
      <c r="F14" s="1606">
        <f>'Expenditures 15-22'!K185</f>
        <v>0</v>
      </c>
      <c r="G14" s="1606">
        <f>'Expenditures 15-22'!K280</f>
        <v>0</v>
      </c>
      <c r="H14" s="1611"/>
      <c r="I14" s="1574" t="s">
        <v>1159</v>
      </c>
      <c r="J14" s="1574" t="s">
        <v>1159</v>
      </c>
      <c r="K14" s="1611" t="s">
        <v>1159</v>
      </c>
      <c r="L14" s="324"/>
    </row>
    <row r="15" spans="1:13" ht="15.75" customHeight="1" x14ac:dyDescent="0.2">
      <c r="A15" s="1313" t="s">
        <v>107</v>
      </c>
      <c r="B15" s="1315">
        <v>4000</v>
      </c>
      <c r="C15" s="1606">
        <f>'Expenditures 15-22'!K102</f>
        <v>1086383</v>
      </c>
      <c r="D15" s="1606">
        <f>'Expenditures 15-22'!K139</f>
        <v>53942</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0</v>
      </c>
      <c r="D16" s="1606">
        <f>'Expenditures 15-22'!K149</f>
        <v>0</v>
      </c>
      <c r="E16" s="1606">
        <f>'Expenditures 15-22'!K172</f>
        <v>440148</v>
      </c>
      <c r="F16" s="1606">
        <f>'Expenditures 15-22'!K208</f>
        <v>0</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6715534</v>
      </c>
      <c r="D17" s="1593">
        <f t="shared" si="2"/>
        <v>604465</v>
      </c>
      <c r="E17" s="1593">
        <f t="shared" si="2"/>
        <v>440148</v>
      </c>
      <c r="F17" s="1593">
        <f t="shared" si="2"/>
        <v>216119</v>
      </c>
      <c r="G17" s="1593">
        <f t="shared" si="2"/>
        <v>191224</v>
      </c>
      <c r="H17" s="1593">
        <f t="shared" si="2"/>
        <v>137283</v>
      </c>
      <c r="I17" s="1574"/>
      <c r="J17" s="1593">
        <f>SUM(J12:J16)</f>
        <v>234485</v>
      </c>
      <c r="K17" s="1593">
        <f>SUM(K12:K16)</f>
        <v>357873</v>
      </c>
      <c r="L17" s="324"/>
    </row>
    <row r="18" spans="1:12" ht="15" customHeight="1" thickTop="1" x14ac:dyDescent="0.2">
      <c r="A18" s="1429" t="s">
        <v>1635</v>
      </c>
      <c r="B18" s="1430">
        <v>4180</v>
      </c>
      <c r="C18" s="1605">
        <f t="shared" ref="C18:H18" si="3">C9</f>
        <v>0</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6715534</v>
      </c>
      <c r="D19" s="1593">
        <f t="shared" si="4"/>
        <v>604465</v>
      </c>
      <c r="E19" s="1593">
        <f t="shared" si="4"/>
        <v>440148</v>
      </c>
      <c r="F19" s="1593">
        <f t="shared" si="4"/>
        <v>216119</v>
      </c>
      <c r="G19" s="1593">
        <f t="shared" si="4"/>
        <v>191224</v>
      </c>
      <c r="H19" s="1593">
        <f t="shared" si="4"/>
        <v>137283</v>
      </c>
      <c r="I19" s="1574"/>
      <c r="J19" s="1593">
        <f>SUM(J17:J18)</f>
        <v>234485</v>
      </c>
      <c r="K19" s="1593">
        <f>SUM(K17:K18)</f>
        <v>357873</v>
      </c>
      <c r="L19" s="324"/>
    </row>
    <row r="20" spans="1:12" ht="16.5" thickTop="1" thickBot="1" x14ac:dyDescent="0.25">
      <c r="A20" s="2235" t="s">
        <v>1636</v>
      </c>
      <c r="B20" s="2236"/>
      <c r="C20" s="1621">
        <f>C8-C17</f>
        <v>-68922</v>
      </c>
      <c r="D20" s="1621">
        <f t="shared" ref="D20:K20" si="5">D8-D17</f>
        <v>-10769</v>
      </c>
      <c r="E20" s="1621">
        <f t="shared" si="5"/>
        <v>-50587</v>
      </c>
      <c r="F20" s="1621">
        <f t="shared" si="5"/>
        <v>67538</v>
      </c>
      <c r="G20" s="1621">
        <f t="shared" si="5"/>
        <v>-86008</v>
      </c>
      <c r="H20" s="1621">
        <f t="shared" si="5"/>
        <v>-85172</v>
      </c>
      <c r="I20" s="1621">
        <f t="shared" si="5"/>
        <v>85568</v>
      </c>
      <c r="J20" s="1621">
        <f t="shared" si="5"/>
        <v>-21915</v>
      </c>
      <c r="K20" s="1621">
        <f t="shared" si="5"/>
        <v>-285108</v>
      </c>
      <c r="L20" s="324"/>
    </row>
    <row r="21" spans="1:12" ht="16.899999999999999" customHeight="1" thickTop="1" x14ac:dyDescent="0.2">
      <c r="A21" s="2247" t="s">
        <v>591</v>
      </c>
      <c r="B21" s="2248"/>
      <c r="C21" s="1601"/>
      <c r="D21" s="1602"/>
      <c r="E21" s="1602"/>
      <c r="F21" s="1602"/>
      <c r="G21" s="1602"/>
      <c r="H21" s="1602"/>
      <c r="I21" s="1602"/>
      <c r="J21" s="1602"/>
      <c r="K21" s="1614"/>
      <c r="L21" s="452"/>
    </row>
    <row r="22" spans="1:12" ht="15.75" customHeight="1" collapsed="1" x14ac:dyDescent="0.2">
      <c r="A22" s="2243" t="s">
        <v>592</v>
      </c>
      <c r="B22" s="2244"/>
      <c r="C22" s="1581"/>
      <c r="D22" s="1581"/>
      <c r="E22" s="1581"/>
      <c r="F22" s="1581"/>
      <c r="G22" s="1581"/>
      <c r="H22" s="1581"/>
      <c r="I22" s="1581"/>
      <c r="J22" s="1581"/>
      <c r="K22" s="1581"/>
      <c r="L22" s="324"/>
    </row>
    <row r="23" spans="1:12" s="432" customFormat="1" ht="15.75" customHeight="1" x14ac:dyDescent="0.2">
      <c r="A23" s="2239" t="s">
        <v>290</v>
      </c>
      <c r="B23" s="2240"/>
      <c r="C23" s="1584"/>
      <c r="D23" s="1581"/>
      <c r="E23" s="1581"/>
      <c r="F23" s="1581"/>
      <c r="G23" s="1581"/>
      <c r="H23" s="1581"/>
      <c r="I23" s="1581"/>
      <c r="J23" s="1581"/>
      <c r="K23" s="1581"/>
      <c r="L23" s="452"/>
    </row>
    <row r="24" spans="1:12" s="432" customFormat="1" ht="13.5" customHeight="1" x14ac:dyDescent="0.2">
      <c r="A24" s="1259" t="s">
        <v>1637</v>
      </c>
      <c r="B24" s="453">
        <v>7110</v>
      </c>
      <c r="C24" s="1573"/>
      <c r="D24" s="1581"/>
      <c r="E24" s="1581"/>
      <c r="F24" s="1581"/>
      <c r="G24" s="1581"/>
      <c r="H24" s="1581"/>
      <c r="I24" s="1581"/>
      <c r="J24" s="1581"/>
      <c r="K24" s="1581"/>
      <c r="L24" s="452"/>
    </row>
    <row r="25" spans="1:12" s="432" customFormat="1" ht="13.5" customHeight="1" x14ac:dyDescent="0.2">
      <c r="A25" s="1259" t="s">
        <v>1638</v>
      </c>
      <c r="B25" s="453">
        <v>7110</v>
      </c>
      <c r="C25" s="1573"/>
      <c r="D25" s="1573"/>
      <c r="E25" s="1573">
        <v>200000</v>
      </c>
      <c r="F25" s="1573"/>
      <c r="G25" s="1573"/>
      <c r="H25" s="1573">
        <v>140000</v>
      </c>
      <c r="I25" s="1581"/>
      <c r="J25" s="1573"/>
      <c r="K25" s="1573"/>
      <c r="L25" s="452"/>
    </row>
    <row r="26" spans="1:12" s="432" customFormat="1" ht="13.5" customHeight="1" x14ac:dyDescent="0.2">
      <c r="A26" s="1259" t="s">
        <v>183</v>
      </c>
      <c r="B26" s="431">
        <v>7120</v>
      </c>
      <c r="C26" s="1573"/>
      <c r="D26" s="1573"/>
      <c r="E26" s="1573"/>
      <c r="F26" s="1573"/>
      <c r="G26" s="1573"/>
      <c r="H26" s="1573"/>
      <c r="I26" s="1581"/>
      <c r="J26" s="1573"/>
      <c r="K26" s="1573"/>
      <c r="L26" s="452"/>
    </row>
    <row r="27" spans="1:12" s="432" customFormat="1" ht="13.5" customHeight="1" x14ac:dyDescent="0.2">
      <c r="A27" s="1259" t="s">
        <v>184</v>
      </c>
      <c r="B27" s="431">
        <v>7130</v>
      </c>
      <c r="C27" s="1573"/>
      <c r="D27" s="1573"/>
      <c r="E27" s="1622"/>
      <c r="F27" s="1573"/>
      <c r="G27" s="1584"/>
      <c r="H27" s="1584"/>
      <c r="I27" s="1584"/>
      <c r="J27" s="1584"/>
      <c r="K27" s="1584"/>
      <c r="L27" s="452"/>
    </row>
    <row r="28" spans="1:12" s="432" customFormat="1" ht="13.5" customHeight="1" x14ac:dyDescent="0.2">
      <c r="A28" s="1259" t="s">
        <v>1381</v>
      </c>
      <c r="B28" s="431">
        <v>7140</v>
      </c>
      <c r="C28" s="1573"/>
      <c r="D28" s="1573"/>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41" t="s">
        <v>974</v>
      </c>
      <c r="B32" s="2242"/>
      <c r="C32" s="1581"/>
      <c r="D32" s="1581"/>
      <c r="E32" s="1579"/>
      <c r="F32" s="1581"/>
      <c r="G32" s="1581"/>
      <c r="H32" s="1581"/>
      <c r="I32" s="1581"/>
      <c r="J32" s="1581"/>
      <c r="K32" s="1581"/>
      <c r="L32" s="452"/>
    </row>
    <row r="33" spans="1:12" s="432" customFormat="1" x14ac:dyDescent="0.2">
      <c r="A33" s="1259" t="s">
        <v>409</v>
      </c>
      <c r="B33" s="453">
        <v>7210</v>
      </c>
      <c r="C33" s="1573"/>
      <c r="D33" s="1573"/>
      <c r="E33" s="1573"/>
      <c r="F33" s="1573"/>
      <c r="G33" s="1581"/>
      <c r="H33" s="1573"/>
      <c r="I33" s="1573"/>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20147</v>
      </c>
      <c r="F37" s="1579"/>
      <c r="G37" s="1579"/>
      <c r="H37" s="1579"/>
      <c r="I37" s="1581"/>
      <c r="J37" s="1579"/>
      <c r="K37" s="1579"/>
      <c r="L37" s="452"/>
    </row>
    <row r="38" spans="1:12" s="432" customFormat="1" x14ac:dyDescent="0.2">
      <c r="A38" s="1259" t="s">
        <v>439</v>
      </c>
      <c r="B38" s="453">
        <v>7500</v>
      </c>
      <c r="C38" s="1581"/>
      <c r="D38" s="1581"/>
      <c r="E38" s="1606">
        <f>SUM(C58:D61,H58:H61)</f>
        <v>3045</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0</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c r="D43" s="1573"/>
      <c r="E43" s="1573"/>
      <c r="F43" s="1573"/>
      <c r="G43" s="1573"/>
      <c r="H43" s="1573"/>
      <c r="I43" s="1573"/>
      <c r="J43" s="1573"/>
      <c r="K43" s="1573"/>
      <c r="L43" s="452"/>
    </row>
    <row r="44" spans="1:12" s="432" customFormat="1" ht="13.5" customHeight="1" thickBot="1" x14ac:dyDescent="0.25">
      <c r="A44" s="2249" t="s">
        <v>371</v>
      </c>
      <c r="B44" s="2250"/>
      <c r="C44" s="1623">
        <f>SUM(C24:C43)</f>
        <v>0</v>
      </c>
      <c r="D44" s="1623">
        <f t="shared" ref="D44:K44" si="6">SUM(D24:D43)</f>
        <v>0</v>
      </c>
      <c r="E44" s="1623">
        <f t="shared" si="6"/>
        <v>223192</v>
      </c>
      <c r="F44" s="1623">
        <f t="shared" si="6"/>
        <v>0</v>
      </c>
      <c r="G44" s="1623">
        <f t="shared" si="6"/>
        <v>0</v>
      </c>
      <c r="H44" s="1623">
        <f t="shared" si="6"/>
        <v>140000</v>
      </c>
      <c r="I44" s="1623">
        <f t="shared" si="6"/>
        <v>0</v>
      </c>
      <c r="J44" s="1623">
        <f t="shared" si="6"/>
        <v>0</v>
      </c>
      <c r="K44" s="1623">
        <f t="shared" si="6"/>
        <v>0</v>
      </c>
      <c r="L44" s="452"/>
    </row>
    <row r="45" spans="1:12" ht="15.75" customHeight="1" thickTop="1" x14ac:dyDescent="0.2">
      <c r="A45" s="2243" t="s">
        <v>108</v>
      </c>
      <c r="B45" s="2244"/>
      <c r="C45" s="1624"/>
      <c r="D45" s="1624"/>
      <c r="E45" s="1624"/>
      <c r="F45" s="1624"/>
      <c r="G45" s="1624"/>
      <c r="H45" s="1624"/>
      <c r="I45" s="1624"/>
      <c r="J45" s="1624"/>
      <c r="K45" s="1624"/>
      <c r="L45" s="324"/>
    </row>
    <row r="46" spans="1:12" s="432" customFormat="1" ht="15.75" customHeight="1" x14ac:dyDescent="0.2">
      <c r="A46" s="2251" t="s">
        <v>109</v>
      </c>
      <c r="B46" s="2252"/>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340000</v>
      </c>
      <c r="J47" s="1581"/>
      <c r="K47" s="1581"/>
      <c r="L47" s="455"/>
    </row>
    <row r="48" spans="1:12" s="432" customFormat="1" ht="15" x14ac:dyDescent="0.2">
      <c r="A48" s="1260" t="s">
        <v>1641</v>
      </c>
      <c r="B48" s="431">
        <v>8120</v>
      </c>
      <c r="C48" s="1584"/>
      <c r="D48" s="1584"/>
      <c r="E48" s="1581"/>
      <c r="F48" s="1584"/>
      <c r="G48" s="1581"/>
      <c r="H48" s="1581"/>
      <c r="I48" s="1606">
        <f>SUM(C26:H26,J26,K26)</f>
        <v>0</v>
      </c>
      <c r="J48" s="1581"/>
      <c r="K48" s="1581"/>
      <c r="L48" s="455"/>
    </row>
    <row r="49" spans="1:12" s="432" customFormat="1" x14ac:dyDescent="0.2">
      <c r="A49" s="1260" t="s">
        <v>184</v>
      </c>
      <c r="B49" s="431">
        <v>8130</v>
      </c>
      <c r="C49" s="1573"/>
      <c r="D49" s="1573"/>
      <c r="E49" s="1584"/>
      <c r="F49" s="1573"/>
      <c r="G49" s="1584"/>
      <c r="H49" s="1584"/>
      <c r="I49" s="1581"/>
      <c r="J49" s="1584"/>
      <c r="K49" s="1581"/>
      <c r="L49" s="452"/>
    </row>
    <row r="50" spans="1:12" s="432" customFormat="1" x14ac:dyDescent="0.2">
      <c r="A50" s="1260" t="s">
        <v>1381</v>
      </c>
      <c r="B50" s="431">
        <v>8140</v>
      </c>
      <c r="C50" s="1573"/>
      <c r="D50" s="1573"/>
      <c r="E50" s="1573"/>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c r="D56" s="1626"/>
      <c r="E56" s="1581"/>
      <c r="F56" s="1581"/>
      <c r="G56" s="1581"/>
      <c r="H56" s="1625"/>
      <c r="I56" s="1581"/>
      <c r="J56" s="1581"/>
      <c r="K56" s="1581"/>
      <c r="L56" s="452"/>
    </row>
    <row r="57" spans="1:12" s="432" customFormat="1" ht="14.25" thickTop="1" thickBot="1" x14ac:dyDescent="0.25">
      <c r="A57" s="1261" t="s">
        <v>574</v>
      </c>
      <c r="B57" s="431">
        <v>8440</v>
      </c>
      <c r="C57" s="1626">
        <v>11691</v>
      </c>
      <c r="D57" s="1626">
        <v>8456</v>
      </c>
      <c r="E57" s="1581"/>
      <c r="F57" s="1581"/>
      <c r="G57" s="1581"/>
      <c r="H57" s="1625"/>
      <c r="I57" s="1581"/>
      <c r="J57" s="1581"/>
      <c r="K57" s="1581"/>
      <c r="L57" s="452"/>
    </row>
    <row r="58" spans="1:12" s="432" customFormat="1" ht="14.25" thickTop="1" thickBot="1" x14ac:dyDescent="0.25">
      <c r="A58" s="1260" t="s">
        <v>575</v>
      </c>
      <c r="B58" s="431">
        <v>8510</v>
      </c>
      <c r="C58" s="1626"/>
      <c r="D58" s="1626"/>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v>1509</v>
      </c>
      <c r="D61" s="1626">
        <v>1536</v>
      </c>
      <c r="E61" s="1581"/>
      <c r="F61" s="1581"/>
      <c r="G61" s="1581"/>
      <c r="H61" s="1625"/>
      <c r="I61" s="1581"/>
      <c r="J61" s="1581"/>
      <c r="K61" s="1581"/>
      <c r="L61" s="452"/>
    </row>
    <row r="62" spans="1:12" s="432" customFormat="1" ht="13.5" customHeight="1" thickTop="1" thickBot="1" x14ac:dyDescent="0.25">
      <c r="A62" s="1260" t="s">
        <v>739</v>
      </c>
      <c r="B62" s="431">
        <v>8610</v>
      </c>
      <c r="C62" s="1626"/>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25" t="s">
        <v>437</v>
      </c>
      <c r="B76" s="2226"/>
      <c r="C76" s="1623">
        <f t="shared" ref="C76:K76" si="7">SUM(C47:C75)</f>
        <v>13200</v>
      </c>
      <c r="D76" s="1623">
        <f t="shared" si="7"/>
        <v>9992</v>
      </c>
      <c r="E76" s="1623">
        <f t="shared" si="7"/>
        <v>0</v>
      </c>
      <c r="F76" s="1623">
        <f t="shared" si="7"/>
        <v>0</v>
      </c>
      <c r="G76" s="1623">
        <f t="shared" si="7"/>
        <v>0</v>
      </c>
      <c r="H76" s="1623">
        <f t="shared" si="7"/>
        <v>0</v>
      </c>
      <c r="I76" s="1623">
        <f t="shared" si="7"/>
        <v>340000</v>
      </c>
      <c r="J76" s="1623">
        <f t="shared" si="7"/>
        <v>0</v>
      </c>
      <c r="K76" s="1623">
        <f t="shared" si="7"/>
        <v>0</v>
      </c>
      <c r="L76" s="452"/>
    </row>
    <row r="77" spans="1:12" ht="14.25" thickTop="1" thickBot="1" x14ac:dyDescent="0.25">
      <c r="A77" s="2227" t="s">
        <v>1167</v>
      </c>
      <c r="B77" s="2228"/>
      <c r="C77" s="1623">
        <f t="shared" ref="C77:K77" si="8">C44-C76</f>
        <v>-13200</v>
      </c>
      <c r="D77" s="1623">
        <f t="shared" si="8"/>
        <v>-9992</v>
      </c>
      <c r="E77" s="1623">
        <f t="shared" si="8"/>
        <v>223192</v>
      </c>
      <c r="F77" s="1623">
        <f t="shared" si="8"/>
        <v>0</v>
      </c>
      <c r="G77" s="1623">
        <f t="shared" si="8"/>
        <v>0</v>
      </c>
      <c r="H77" s="1623">
        <f t="shared" si="8"/>
        <v>140000</v>
      </c>
      <c r="I77" s="1623">
        <f t="shared" si="8"/>
        <v>-340000</v>
      </c>
      <c r="J77" s="1623">
        <f t="shared" si="8"/>
        <v>0</v>
      </c>
      <c r="K77" s="1623">
        <f t="shared" si="8"/>
        <v>0</v>
      </c>
      <c r="L77" s="324"/>
    </row>
    <row r="78" spans="1:12" ht="21.75" customHeight="1" thickTop="1" thickBot="1" x14ac:dyDescent="0.25">
      <c r="A78" s="2231" t="s">
        <v>593</v>
      </c>
      <c r="B78" s="2232"/>
      <c r="C78" s="1628">
        <f t="shared" ref="C78:K78" si="9">C20+C77</f>
        <v>-82122</v>
      </c>
      <c r="D78" s="1628">
        <f t="shared" si="9"/>
        <v>-20761</v>
      </c>
      <c r="E78" s="1628">
        <f t="shared" si="9"/>
        <v>172605</v>
      </c>
      <c r="F78" s="1628">
        <f t="shared" si="9"/>
        <v>67538</v>
      </c>
      <c r="G78" s="1628">
        <f t="shared" si="9"/>
        <v>-86008</v>
      </c>
      <c r="H78" s="1628">
        <f t="shared" si="9"/>
        <v>54828</v>
      </c>
      <c r="I78" s="1628">
        <f t="shared" si="9"/>
        <v>-254432</v>
      </c>
      <c r="J78" s="1628">
        <f t="shared" si="9"/>
        <v>-21915</v>
      </c>
      <c r="K78" s="1628">
        <f t="shared" si="9"/>
        <v>-285108</v>
      </c>
      <c r="L78" s="456"/>
    </row>
    <row r="79" spans="1:12" ht="13.5" thickTop="1" x14ac:dyDescent="0.2">
      <c r="A79" s="1843" t="str">
        <f>"Fund Balances - July 1, "&amp;'AFR20'!E2-1</f>
        <v>Fund Balances - July 1, 2019</v>
      </c>
      <c r="B79" s="457"/>
      <c r="C79" s="1582">
        <v>8233832</v>
      </c>
      <c r="D79" s="1629">
        <v>336416</v>
      </c>
      <c r="E79" s="1629">
        <v>235966</v>
      </c>
      <c r="F79" s="1629">
        <v>230601</v>
      </c>
      <c r="G79" s="1629">
        <v>1123264</v>
      </c>
      <c r="H79" s="1629">
        <v>82376</v>
      </c>
      <c r="I79" s="1629">
        <v>1292632</v>
      </c>
      <c r="J79" s="1629">
        <v>678108</v>
      </c>
      <c r="K79" s="1629">
        <v>390814</v>
      </c>
      <c r="L79" s="324"/>
    </row>
    <row r="80" spans="1:12" x14ac:dyDescent="0.2">
      <c r="A80" s="2237" t="s">
        <v>1772</v>
      </c>
      <c r="B80" s="2238"/>
      <c r="C80" s="1573"/>
      <c r="D80" s="1573"/>
      <c r="E80" s="1573"/>
      <c r="F80" s="1573"/>
      <c r="G80" s="1573"/>
      <c r="H80" s="1573"/>
      <c r="I80" s="1573"/>
      <c r="J80" s="1573"/>
      <c r="K80" s="1573"/>
      <c r="L80" s="324"/>
    </row>
    <row r="81" spans="1:12" ht="13.5" thickBot="1" x14ac:dyDescent="0.25">
      <c r="A81" s="2229" t="str">
        <f>"Fund Balances - June 30, "&amp;'AFR20'!E2</f>
        <v>Fund Balances - June 30, 2020</v>
      </c>
      <c r="B81" s="2230"/>
      <c r="C81" s="1593">
        <f>(SUM(C78:C80))</f>
        <v>8151710</v>
      </c>
      <c r="D81" s="1593">
        <f>SUM(D78:D80)</f>
        <v>315655</v>
      </c>
      <c r="E81" s="1593">
        <f t="shared" ref="E81:K81" si="10">SUM(E78:E80)</f>
        <v>408571</v>
      </c>
      <c r="F81" s="1593">
        <f t="shared" si="10"/>
        <v>298139</v>
      </c>
      <c r="G81" s="1593">
        <f t="shared" si="10"/>
        <v>1037256</v>
      </c>
      <c r="H81" s="1593">
        <f t="shared" si="10"/>
        <v>137204</v>
      </c>
      <c r="I81" s="1593">
        <f t="shared" si="10"/>
        <v>1038200</v>
      </c>
      <c r="J81" s="1593">
        <f t="shared" si="10"/>
        <v>656193</v>
      </c>
      <c r="K81" s="1593">
        <f t="shared" si="10"/>
        <v>105706</v>
      </c>
      <c r="L81" s="324"/>
    </row>
    <row r="82" spans="1:12" ht="0.75" customHeight="1" thickTop="1" thickBot="1" x14ac:dyDescent="0.25">
      <c r="A82" s="458" t="s">
        <v>340</v>
      </c>
      <c r="B82" s="459"/>
      <c r="C82" s="460">
        <f>(C81-C79)</f>
        <v>-82122</v>
      </c>
      <c r="D82" s="460">
        <f t="shared" ref="D82:K82" si="11">(D81-D79)</f>
        <v>-20761</v>
      </c>
      <c r="E82" s="460">
        <f t="shared" si="11"/>
        <v>172605</v>
      </c>
      <c r="F82" s="460">
        <f t="shared" si="11"/>
        <v>67538</v>
      </c>
      <c r="G82" s="460">
        <f t="shared" si="11"/>
        <v>-86008</v>
      </c>
      <c r="H82" s="460">
        <f t="shared" si="11"/>
        <v>54828</v>
      </c>
      <c r="I82" s="460">
        <f t="shared" si="11"/>
        <v>-254432</v>
      </c>
      <c r="J82" s="460">
        <f t="shared" si="11"/>
        <v>-21915</v>
      </c>
      <c r="K82" s="460">
        <f t="shared" si="11"/>
        <v>-285108</v>
      </c>
    </row>
    <row r="83" spans="1:12" ht="14.25" hidden="1" thickTop="1" thickBot="1" x14ac:dyDescent="0.25">
      <c r="A83" s="461" t="s">
        <v>341</v>
      </c>
      <c r="B83" s="427"/>
      <c r="C83" s="462">
        <f>C82/C81</f>
        <v>-1.0074205289442337E-2</v>
      </c>
      <c r="D83" s="462">
        <f t="shared" ref="D83:K83" si="12">D82/D81</f>
        <v>-6.5771174225024154E-2</v>
      </c>
      <c r="E83" s="462">
        <f t="shared" si="12"/>
        <v>0.42246023334989513</v>
      </c>
      <c r="F83" s="462">
        <f t="shared" si="12"/>
        <v>0.2265319196750509</v>
      </c>
      <c r="G83" s="462">
        <f t="shared" si="12"/>
        <v>-8.2918778006586605E-2</v>
      </c>
      <c r="H83" s="462">
        <f t="shared" si="12"/>
        <v>0.39960934083554417</v>
      </c>
      <c r="I83" s="462">
        <f t="shared" si="12"/>
        <v>-0.24507031400500867</v>
      </c>
      <c r="J83" s="462">
        <f t="shared" si="12"/>
        <v>-3.3397186498484437E-2</v>
      </c>
      <c r="K83" s="462">
        <f t="shared" si="12"/>
        <v>-2.6971789680812819</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28515625" defaultRowHeight="12.75" x14ac:dyDescent="0.2"/>
  <cols>
    <col min="1" max="1" width="54.28515625" style="489" customWidth="1"/>
    <col min="2" max="2" width="4.7109375" style="490" customWidth="1"/>
    <col min="3" max="11" width="13.7109375" style="360" customWidth="1"/>
    <col min="12" max="16384" width="9.28515625" style="360"/>
  </cols>
  <sheetData>
    <row r="1" spans="1:12" x14ac:dyDescent="0.2">
      <c r="A1" s="2233" t="s">
        <v>1779</v>
      </c>
      <c r="B1" s="415"/>
      <c r="C1" s="416" t="s">
        <v>422</v>
      </c>
      <c r="D1" s="416" t="s">
        <v>423</v>
      </c>
      <c r="E1" s="416" t="s">
        <v>424</v>
      </c>
      <c r="F1" s="416" t="s">
        <v>425</v>
      </c>
      <c r="G1" s="416" t="s">
        <v>426</v>
      </c>
      <c r="H1" s="416" t="s">
        <v>427</v>
      </c>
      <c r="I1" s="416" t="s">
        <v>428</v>
      </c>
      <c r="J1" s="416" t="s">
        <v>429</v>
      </c>
      <c r="K1" s="416" t="s">
        <v>751</v>
      </c>
    </row>
    <row r="2" spans="1:12" ht="36" x14ac:dyDescent="0.2">
      <c r="A2" s="2234"/>
      <c r="B2" s="463" t="s">
        <v>375</v>
      </c>
      <c r="C2" s="464" t="s">
        <v>1145</v>
      </c>
      <c r="D2" s="464" t="s">
        <v>865</v>
      </c>
      <c r="E2" s="464" t="s">
        <v>435</v>
      </c>
      <c r="F2" s="464" t="s">
        <v>154</v>
      </c>
      <c r="G2" s="464" t="s">
        <v>982</v>
      </c>
      <c r="H2" s="464" t="s">
        <v>434</v>
      </c>
      <c r="I2" s="464" t="s">
        <v>404</v>
      </c>
      <c r="J2" s="464" t="s">
        <v>433</v>
      </c>
      <c r="K2" s="464" t="s">
        <v>156</v>
      </c>
    </row>
    <row r="3" spans="1:12" ht="16.899999999999999"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v>3755066</v>
      </c>
      <c r="D5" s="1585">
        <v>481876</v>
      </c>
      <c r="E5" s="1572">
        <v>384251</v>
      </c>
      <c r="F5" s="1630">
        <v>95038</v>
      </c>
      <c r="G5" s="1572">
        <v>36476</v>
      </c>
      <c r="H5" s="1572"/>
      <c r="I5" s="1572">
        <v>60044</v>
      </c>
      <c r="J5" s="1573">
        <v>198299</v>
      </c>
      <c r="K5" s="1572">
        <v>68813</v>
      </c>
    </row>
    <row r="6" spans="1:12" ht="15" x14ac:dyDescent="0.2">
      <c r="A6" s="426" t="s">
        <v>1643</v>
      </c>
      <c r="B6" s="428">
        <v>1130</v>
      </c>
      <c r="C6" s="1572">
        <v>325041</v>
      </c>
      <c r="D6" s="1572"/>
      <c r="E6" s="1579"/>
      <c r="F6" s="1579"/>
      <c r="G6" s="1574"/>
      <c r="H6" s="1574"/>
      <c r="I6" s="1574"/>
      <c r="J6" s="1574"/>
      <c r="K6" s="1574"/>
    </row>
    <row r="7" spans="1:12" x14ac:dyDescent="0.2">
      <c r="A7" s="426" t="s">
        <v>110</v>
      </c>
      <c r="B7" s="470">
        <v>1140</v>
      </c>
      <c r="C7" s="1572"/>
      <c r="D7" s="1572"/>
      <c r="E7" s="1574"/>
      <c r="F7" s="1573"/>
      <c r="G7" s="1573"/>
      <c r="H7" s="1573"/>
      <c r="I7" s="1574"/>
      <c r="J7" s="1574"/>
      <c r="K7" s="1574"/>
    </row>
    <row r="8" spans="1:12" x14ac:dyDescent="0.2">
      <c r="A8" s="426" t="s">
        <v>410</v>
      </c>
      <c r="B8" s="428">
        <v>1150</v>
      </c>
      <c r="C8" s="1579"/>
      <c r="D8" s="1579"/>
      <c r="E8" s="1581"/>
      <c r="F8" s="1581"/>
      <c r="G8" s="1585">
        <v>37279</v>
      </c>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4080107</v>
      </c>
      <c r="D12" s="1632">
        <f t="shared" si="0"/>
        <v>481876</v>
      </c>
      <c r="E12" s="1632">
        <f t="shared" si="0"/>
        <v>384251</v>
      </c>
      <c r="F12" s="1632">
        <f t="shared" si="0"/>
        <v>95038</v>
      </c>
      <c r="G12" s="1632">
        <f t="shared" si="0"/>
        <v>73755</v>
      </c>
      <c r="H12" s="1632">
        <f t="shared" si="0"/>
        <v>0</v>
      </c>
      <c r="I12" s="1632">
        <f t="shared" si="0"/>
        <v>60044</v>
      </c>
      <c r="J12" s="1632">
        <f t="shared" si="0"/>
        <v>198299</v>
      </c>
      <c r="K12" s="1593">
        <f t="shared" si="0"/>
        <v>68813</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v>226581</v>
      </c>
      <c r="D16" s="1572"/>
      <c r="E16" s="1572"/>
      <c r="F16" s="1572"/>
      <c r="G16" s="1572">
        <v>4750</v>
      </c>
      <c r="H16" s="1572"/>
      <c r="I16" s="1572"/>
      <c r="J16" s="1573"/>
      <c r="K16" s="1572"/>
    </row>
    <row r="17" spans="1:11" ht="12.75" customHeight="1" x14ac:dyDescent="0.2">
      <c r="A17" s="426" t="s">
        <v>802</v>
      </c>
      <c r="B17" s="428">
        <v>1290</v>
      </c>
      <c r="C17" s="1631"/>
      <c r="D17" s="1572"/>
      <c r="E17" s="1572"/>
      <c r="F17" s="1572"/>
      <c r="G17" s="1572"/>
      <c r="H17" s="1572"/>
      <c r="I17" s="1572"/>
      <c r="J17" s="1573"/>
      <c r="K17" s="1572"/>
    </row>
    <row r="18" spans="1:11" ht="12.75" customHeight="1" thickBot="1" x14ac:dyDescent="0.25">
      <c r="A18" s="1405" t="s">
        <v>534</v>
      </c>
      <c r="B18" s="1406"/>
      <c r="C18" s="1634">
        <f>SUM(C14:C17)</f>
        <v>226581</v>
      </c>
      <c r="D18" s="1634">
        <f t="shared" ref="D18:K18" si="1">SUM(D14:D17)</f>
        <v>0</v>
      </c>
      <c r="E18" s="1634">
        <f t="shared" si="1"/>
        <v>0</v>
      </c>
      <c r="F18" s="1634">
        <f t="shared" si="1"/>
        <v>0</v>
      </c>
      <c r="G18" s="1634">
        <f t="shared" si="1"/>
        <v>4750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c r="D20" s="1574"/>
      <c r="E20" s="1574"/>
      <c r="F20" s="1574"/>
      <c r="G20" s="1574"/>
      <c r="H20" s="1574"/>
      <c r="I20" s="1574"/>
      <c r="J20" s="1574"/>
      <c r="K20" s="1574"/>
    </row>
    <row r="21" spans="1:11" ht="12.75" customHeight="1" x14ac:dyDescent="0.2">
      <c r="A21" s="426" t="s">
        <v>827</v>
      </c>
      <c r="B21" s="428">
        <v>1312</v>
      </c>
      <c r="C21" s="1631"/>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c r="G42" s="1574"/>
      <c r="H42" s="1574"/>
      <c r="I42" s="1574"/>
      <c r="J42" s="1574"/>
      <c r="K42" s="1574"/>
    </row>
    <row r="43" spans="1:11" ht="12.75" customHeight="1" x14ac:dyDescent="0.2">
      <c r="A43" s="426" t="s">
        <v>832</v>
      </c>
      <c r="B43" s="428">
        <v>1412</v>
      </c>
      <c r="C43" s="1574"/>
      <c r="D43" s="1574"/>
      <c r="E43" s="1574"/>
      <c r="F43" s="1572">
        <v>1255</v>
      </c>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1255</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164134</v>
      </c>
      <c r="D65" s="1572">
        <v>3831</v>
      </c>
      <c r="E65" s="1572">
        <v>5310</v>
      </c>
      <c r="F65" s="1573">
        <v>4193</v>
      </c>
      <c r="G65" s="1572">
        <v>26711</v>
      </c>
      <c r="H65" s="1572">
        <v>2111</v>
      </c>
      <c r="I65" s="1572">
        <v>25524</v>
      </c>
      <c r="J65" s="1573">
        <v>14271</v>
      </c>
      <c r="K65" s="1572">
        <v>3952</v>
      </c>
    </row>
    <row r="66" spans="1:11" ht="12.75" customHeight="1" x14ac:dyDescent="0.2">
      <c r="A66" s="426" t="s">
        <v>674</v>
      </c>
      <c r="B66" s="428">
        <v>1520</v>
      </c>
      <c r="C66" s="1572">
        <v>23935</v>
      </c>
      <c r="D66" s="1572"/>
      <c r="E66" s="1572"/>
      <c r="F66" s="1572"/>
      <c r="G66" s="1572"/>
      <c r="H66" s="1572"/>
      <c r="I66" s="1572"/>
      <c r="J66" s="1573"/>
      <c r="K66" s="1572"/>
    </row>
    <row r="67" spans="1:11" ht="12.75" customHeight="1" thickBot="1" x14ac:dyDescent="0.25">
      <c r="A67" s="1405" t="s">
        <v>483</v>
      </c>
      <c r="B67" s="1406"/>
      <c r="C67" s="1593">
        <f>SUM(C65:C66)</f>
        <v>188069</v>
      </c>
      <c r="D67" s="1593">
        <f t="shared" ref="D67:K67" si="2">SUM(D65:D66)</f>
        <v>3831</v>
      </c>
      <c r="E67" s="1593">
        <f t="shared" si="2"/>
        <v>5310</v>
      </c>
      <c r="F67" s="1593">
        <f t="shared" si="2"/>
        <v>4193</v>
      </c>
      <c r="G67" s="1593">
        <f t="shared" si="2"/>
        <v>26711</v>
      </c>
      <c r="H67" s="1593">
        <f t="shared" si="2"/>
        <v>2111</v>
      </c>
      <c r="I67" s="1593">
        <f t="shared" si="2"/>
        <v>25524</v>
      </c>
      <c r="J67" s="1593">
        <f t="shared" si="2"/>
        <v>14271</v>
      </c>
      <c r="K67" s="1593">
        <f t="shared" si="2"/>
        <v>3952</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c r="D69" s="1574"/>
      <c r="E69" s="1574"/>
      <c r="F69" s="1574"/>
      <c r="G69" s="1574"/>
      <c r="H69" s="1574"/>
      <c r="I69" s="1574"/>
      <c r="J69" s="1574"/>
      <c r="K69" s="1574"/>
    </row>
    <row r="70" spans="1:11" ht="12.75" customHeight="1" x14ac:dyDescent="0.2">
      <c r="A70" s="426" t="s">
        <v>990</v>
      </c>
      <c r="B70" s="428">
        <v>1612</v>
      </c>
      <c r="C70" s="1631"/>
      <c r="D70" s="1574"/>
      <c r="E70" s="1574"/>
      <c r="F70" s="1574"/>
      <c r="G70" s="1574"/>
      <c r="H70" s="1574"/>
      <c r="I70" s="1574"/>
      <c r="J70" s="1574"/>
      <c r="K70" s="1574"/>
    </row>
    <row r="71" spans="1:11" ht="12.75" customHeight="1" x14ac:dyDescent="0.2">
      <c r="A71" s="426" t="s">
        <v>271</v>
      </c>
      <c r="B71" s="428">
        <v>1613</v>
      </c>
      <c r="C71" s="1631"/>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c r="D73" s="1574"/>
      <c r="E73" s="1574"/>
      <c r="F73" s="1574"/>
      <c r="G73" s="1574"/>
      <c r="H73" s="1574"/>
      <c r="I73" s="1574"/>
      <c r="J73" s="1574"/>
      <c r="K73" s="1574"/>
    </row>
    <row r="74" spans="1:11" ht="12.75" customHeight="1" x14ac:dyDescent="0.2">
      <c r="A74" s="426" t="s">
        <v>25</v>
      </c>
      <c r="B74" s="428">
        <v>1690</v>
      </c>
      <c r="C74" s="1631"/>
      <c r="D74" s="1574"/>
      <c r="E74" s="1574"/>
      <c r="F74" s="1574"/>
      <c r="G74" s="1574"/>
      <c r="H74" s="1574"/>
      <c r="I74" s="1574"/>
      <c r="J74" s="1574"/>
      <c r="K74" s="1574"/>
    </row>
    <row r="75" spans="1:11" ht="12.75" customHeight="1" thickBot="1" x14ac:dyDescent="0.25">
      <c r="A75" s="1405" t="s">
        <v>544</v>
      </c>
      <c r="B75" s="1406"/>
      <c r="C75" s="1593">
        <f>SUM(C69:C74)</f>
        <v>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v>5608</v>
      </c>
      <c r="D79" s="1572"/>
      <c r="E79" s="1574"/>
      <c r="F79" s="1574"/>
      <c r="G79" s="1574"/>
      <c r="H79" s="1574"/>
      <c r="I79" s="1574"/>
      <c r="J79" s="1574"/>
      <c r="K79" s="1574"/>
    </row>
    <row r="80" spans="1:11" ht="12.75" customHeight="1" x14ac:dyDescent="0.2">
      <c r="A80" s="426" t="s">
        <v>547</v>
      </c>
      <c r="B80" s="428">
        <v>1730</v>
      </c>
      <c r="C80" s="1631"/>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5608</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c r="D95" s="1631"/>
      <c r="E95" s="1616"/>
      <c r="F95" s="1616"/>
      <c r="G95" s="1616"/>
      <c r="H95" s="1616"/>
      <c r="I95" s="1616"/>
      <c r="J95" s="1616"/>
      <c r="K95" s="1616"/>
    </row>
    <row r="96" spans="1:11" ht="12.75" customHeight="1" x14ac:dyDescent="0.2">
      <c r="A96" s="426" t="s">
        <v>388</v>
      </c>
      <c r="B96" s="428">
        <v>1920</v>
      </c>
      <c r="C96" s="1631"/>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c r="D98" s="1572"/>
      <c r="E98" s="1611"/>
      <c r="F98" s="1572"/>
      <c r="G98" s="1611"/>
      <c r="H98" s="1611"/>
      <c r="I98" s="1609"/>
      <c r="J98" s="1611"/>
      <c r="K98" s="1611"/>
    </row>
    <row r="99" spans="1:12" ht="12.75" customHeight="1" x14ac:dyDescent="0.2">
      <c r="A99" s="426" t="s">
        <v>816</v>
      </c>
      <c r="B99" s="428">
        <v>1950</v>
      </c>
      <c r="C99" s="1597">
        <v>21813</v>
      </c>
      <c r="D99" s="1572">
        <v>10505</v>
      </c>
      <c r="E99" s="1572"/>
      <c r="F99" s="1572"/>
      <c r="G99" s="1572"/>
      <c r="H99" s="1572"/>
      <c r="I99" s="1574"/>
      <c r="J99" s="1573"/>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c r="D106" s="1597"/>
      <c r="E106" s="1573"/>
      <c r="F106" s="1573"/>
      <c r="G106" s="1573"/>
      <c r="H106" s="1573"/>
      <c r="I106" s="1616"/>
      <c r="J106" s="1573"/>
      <c r="K106" s="1573"/>
    </row>
    <row r="107" spans="1:12" ht="12.75" customHeight="1" x14ac:dyDescent="0.2">
      <c r="A107" s="426" t="s">
        <v>78</v>
      </c>
      <c r="B107" s="428">
        <v>1999</v>
      </c>
      <c r="C107" s="1631">
        <v>62163</v>
      </c>
      <c r="D107" s="1572"/>
      <c r="E107" s="1572"/>
      <c r="F107" s="1572"/>
      <c r="G107" s="1572"/>
      <c r="H107" s="1572"/>
      <c r="I107" s="1572"/>
      <c r="J107" s="1573"/>
      <c r="K107" s="1572"/>
    </row>
    <row r="108" spans="1:12" ht="12.75" customHeight="1" thickBot="1" x14ac:dyDescent="0.25">
      <c r="A108" s="1405" t="s">
        <v>484</v>
      </c>
      <c r="B108" s="1407"/>
      <c r="C108" s="1632">
        <f>SUM(C95:C107)</f>
        <v>83976</v>
      </c>
      <c r="D108" s="1632">
        <f t="shared" ref="D108:K108" si="3">SUM(D95:D107)</f>
        <v>10505</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4584341</v>
      </c>
      <c r="D109" s="1640">
        <f t="shared" si="4"/>
        <v>496212</v>
      </c>
      <c r="E109" s="1640">
        <f t="shared" si="4"/>
        <v>389561</v>
      </c>
      <c r="F109" s="1640">
        <f t="shared" si="4"/>
        <v>100486</v>
      </c>
      <c r="G109" s="1640">
        <f t="shared" si="4"/>
        <v>105216</v>
      </c>
      <c r="H109" s="1640">
        <f t="shared" si="4"/>
        <v>2111</v>
      </c>
      <c r="I109" s="1640">
        <f t="shared" si="4"/>
        <v>85568</v>
      </c>
      <c r="J109" s="1640">
        <f t="shared" si="4"/>
        <v>212570</v>
      </c>
      <c r="K109" s="1628">
        <f t="shared" si="4"/>
        <v>72765</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899999999999999"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v>1295170</v>
      </c>
      <c r="D117" s="1585">
        <v>97484</v>
      </c>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1295170</v>
      </c>
      <c r="D122" s="1632">
        <f t="shared" si="5"/>
        <v>97484</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v>12787</v>
      </c>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12787</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6" customFormat="1" ht="13.5" thickBot="1" x14ac:dyDescent="0.25">
      <c r="A145" s="1405" t="s">
        <v>393</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1047</v>
      </c>
      <c r="B146" s="481">
        <v>3360</v>
      </c>
      <c r="C146" s="1645">
        <v>3269</v>
      </c>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v>7910</v>
      </c>
      <c r="G152" s="1573"/>
      <c r="H152" s="1574"/>
      <c r="I152" s="1574"/>
      <c r="J152" s="1574"/>
      <c r="K152" s="1574"/>
    </row>
    <row r="153" spans="1:11" ht="12.75" customHeight="1" x14ac:dyDescent="0.2">
      <c r="A153" s="426" t="s">
        <v>1048</v>
      </c>
      <c r="B153" s="477">
        <v>3510</v>
      </c>
      <c r="C153" s="1631"/>
      <c r="D153" s="1572"/>
      <c r="E153" s="1639"/>
      <c r="F153" s="1572">
        <v>175261</v>
      </c>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183171</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v>127686</v>
      </c>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c r="E167" s="1616"/>
      <c r="F167" s="1616"/>
      <c r="G167" s="1574"/>
      <c r="H167" s="1626">
        <v>50000</v>
      </c>
      <c r="I167" s="1574"/>
      <c r="J167" s="1574"/>
      <c r="K167" s="1625"/>
    </row>
    <row r="168" spans="1:11" ht="14.25" thickTop="1" thickBot="1" x14ac:dyDescent="0.25">
      <c r="A168" s="1269" t="s">
        <v>70</v>
      </c>
      <c r="B168" s="483">
        <v>3999</v>
      </c>
      <c r="C168" s="1653"/>
      <c r="D168" s="1654"/>
      <c r="E168" s="1654"/>
      <c r="F168" s="1654"/>
      <c r="G168" s="1655"/>
      <c r="H168" s="1656"/>
      <c r="I168" s="1655"/>
      <c r="J168" s="1655"/>
      <c r="K168" s="1656"/>
    </row>
    <row r="169" spans="1:11" ht="12.75" customHeight="1" thickTop="1" thickBot="1" x14ac:dyDescent="0.25">
      <c r="A169" s="2253" t="s">
        <v>395</v>
      </c>
      <c r="B169" s="2254"/>
      <c r="C169" s="1657">
        <f t="shared" ref="C169:K169" si="6">SUM(C132,C141,C145,C146:C150,C155,C156:C167,C168)</f>
        <v>143742</v>
      </c>
      <c r="D169" s="1657">
        <f t="shared" si="6"/>
        <v>0</v>
      </c>
      <c r="E169" s="1657">
        <f t="shared" si="6"/>
        <v>0</v>
      </c>
      <c r="F169" s="1657">
        <f t="shared" si="6"/>
        <v>183171</v>
      </c>
      <c r="G169" s="1657">
        <f t="shared" si="6"/>
        <v>0</v>
      </c>
      <c r="H169" s="1657">
        <f t="shared" si="6"/>
        <v>50000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1438912</v>
      </c>
      <c r="D170" s="1640">
        <f t="shared" si="7"/>
        <v>97484</v>
      </c>
      <c r="E170" s="1640">
        <f t="shared" si="7"/>
        <v>0</v>
      </c>
      <c r="F170" s="1640">
        <f t="shared" si="7"/>
        <v>183171</v>
      </c>
      <c r="G170" s="1640">
        <f t="shared" si="7"/>
        <v>0</v>
      </c>
      <c r="H170" s="1640">
        <f t="shared" si="7"/>
        <v>50000</v>
      </c>
      <c r="I170" s="1640">
        <f t="shared" si="7"/>
        <v>0</v>
      </c>
      <c r="J170" s="1640">
        <f t="shared" si="7"/>
        <v>0</v>
      </c>
      <c r="K170" s="1628">
        <f t="shared" si="7"/>
        <v>0</v>
      </c>
    </row>
    <row r="171" spans="1:11" ht="16.899999999999999" customHeight="1" thickTop="1" x14ac:dyDescent="0.2">
      <c r="A171" s="1326" t="s">
        <v>799</v>
      </c>
      <c r="B171" s="1309"/>
      <c r="C171" s="1601"/>
      <c r="D171" s="1602"/>
      <c r="E171" s="1602"/>
      <c r="F171" s="1602"/>
      <c r="G171" s="1602"/>
      <c r="H171" s="1602"/>
      <c r="I171" s="1602"/>
      <c r="J171" s="1602"/>
      <c r="K171" s="1614"/>
    </row>
    <row r="172" spans="1:11" ht="15.75" customHeight="1" x14ac:dyDescent="0.2">
      <c r="A172" s="2255" t="s">
        <v>1475</v>
      </c>
      <c r="B172" s="2256"/>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59" t="s">
        <v>1646</v>
      </c>
      <c r="B175" s="2260"/>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63" t="s">
        <v>1645</v>
      </c>
      <c r="B176" s="2264"/>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61" t="s">
        <v>780</v>
      </c>
      <c r="B181" s="2262"/>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7" t="s">
        <v>1780</v>
      </c>
      <c r="B182" s="2258"/>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c r="D190" s="1574"/>
      <c r="E190" s="1639"/>
      <c r="F190" s="1633"/>
      <c r="G190" s="1663"/>
      <c r="H190" s="1574"/>
      <c r="I190" s="1574"/>
      <c r="J190" s="1574"/>
      <c r="K190" s="1574"/>
    </row>
    <row r="191" spans="1:11" ht="12.75" customHeight="1" x14ac:dyDescent="0.2">
      <c r="A191" s="426" t="s">
        <v>1049</v>
      </c>
      <c r="B191" s="428">
        <v>4210</v>
      </c>
      <c r="C191" s="1572">
        <v>156934</v>
      </c>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v>51499</v>
      </c>
      <c r="D193" s="1574"/>
      <c r="E193" s="1639"/>
      <c r="F193" s="1574"/>
      <c r="G193" s="1663"/>
      <c r="H193" s="1574"/>
      <c r="I193" s="1574"/>
      <c r="J193" s="1574"/>
      <c r="K193" s="1574"/>
    </row>
    <row r="194" spans="1:11" ht="12.75" customHeight="1" x14ac:dyDescent="0.2">
      <c r="A194" s="426" t="s">
        <v>1434</v>
      </c>
      <c r="B194" s="428">
        <v>4225</v>
      </c>
      <c r="C194" s="1631">
        <v>9280</v>
      </c>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v>22758</v>
      </c>
      <c r="D196" s="1574"/>
      <c r="E196" s="1639"/>
      <c r="F196" s="1574"/>
      <c r="G196" s="1664"/>
      <c r="H196" s="1574"/>
      <c r="I196" s="1574"/>
      <c r="J196" s="1574"/>
      <c r="K196" s="1574"/>
    </row>
    <row r="197" spans="1:11" ht="12.75" customHeight="1" x14ac:dyDescent="0.2">
      <c r="A197" s="426" t="s">
        <v>71</v>
      </c>
      <c r="B197" s="428">
        <v>4299</v>
      </c>
      <c r="C197" s="1631">
        <v>17674</v>
      </c>
      <c r="D197" s="1574"/>
      <c r="E197" s="1639"/>
      <c r="F197" s="1574"/>
      <c r="G197" s="1663"/>
      <c r="H197" s="1574"/>
      <c r="I197" s="1574"/>
      <c r="J197" s="1574"/>
      <c r="K197" s="1574"/>
    </row>
    <row r="198" spans="1:11" ht="12.75" customHeight="1" thickBot="1" x14ac:dyDescent="0.25">
      <c r="A198" s="1405" t="s">
        <v>544</v>
      </c>
      <c r="B198" s="1406"/>
      <c r="C198" s="1593">
        <f>SUM(C190:C197)</f>
        <v>258145</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v>123217</v>
      </c>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v>9700</v>
      </c>
      <c r="D203" s="1572"/>
      <c r="E203" s="1574"/>
      <c r="F203" s="1572"/>
      <c r="G203" s="1572"/>
      <c r="H203" s="1574"/>
      <c r="I203" s="1574"/>
      <c r="J203" s="1574"/>
      <c r="K203" s="1574"/>
    </row>
    <row r="204" spans="1:11" ht="12.75" customHeight="1" thickBot="1" x14ac:dyDescent="0.25">
      <c r="A204" s="1405" t="s">
        <v>397</v>
      </c>
      <c r="B204" s="1406"/>
      <c r="C204" s="1632">
        <f>SUM(C200:C203)</f>
        <v>132917</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v>14440</v>
      </c>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14440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v>4739</v>
      </c>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v>113416</v>
      </c>
      <c r="D213" s="1572"/>
      <c r="E213" s="1574"/>
      <c r="F213" s="1572"/>
      <c r="G213" s="1572"/>
      <c r="H213" s="1574"/>
      <c r="I213" s="1574"/>
      <c r="J213" s="1574"/>
      <c r="K213" s="1574"/>
    </row>
    <row r="214" spans="1:11" ht="12.75" customHeight="1" x14ac:dyDescent="0.2">
      <c r="A214" s="426" t="s">
        <v>1045</v>
      </c>
      <c r="B214" s="428">
        <v>4625</v>
      </c>
      <c r="C214" s="1631"/>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118155</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19"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v>22397</v>
      </c>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c r="D263" s="1650"/>
      <c r="E263" s="1574"/>
      <c r="F263" s="1650"/>
      <c r="G263" s="1650"/>
      <c r="H263" s="1574"/>
      <c r="I263" s="1574"/>
      <c r="J263" s="1574"/>
      <c r="K263" s="1574"/>
    </row>
    <row r="264" spans="1:11" ht="12.75" customHeight="1" thickTop="1" thickBot="1" x14ac:dyDescent="0.25">
      <c r="A264" s="426" t="s">
        <v>374</v>
      </c>
      <c r="B264" s="428">
        <v>4992</v>
      </c>
      <c r="C264" s="1649">
        <v>77305</v>
      </c>
      <c r="D264" s="1650"/>
      <c r="E264" s="1574"/>
      <c r="F264" s="1650"/>
      <c r="G264" s="1650"/>
      <c r="H264" s="1574"/>
      <c r="I264" s="1574"/>
      <c r="J264" s="1574"/>
      <c r="K264" s="1574"/>
    </row>
    <row r="265" spans="1:11" s="488" customFormat="1" ht="12.75" customHeight="1" thickTop="1" thickBot="1" x14ac:dyDescent="0.25">
      <c r="A265" s="478" t="s">
        <v>75</v>
      </c>
      <c r="B265" s="474">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623359</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623359</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6646612</v>
      </c>
      <c r="D268" s="1640">
        <f t="shared" si="12"/>
        <v>593696</v>
      </c>
      <c r="E268" s="1640">
        <f t="shared" si="12"/>
        <v>389561</v>
      </c>
      <c r="F268" s="1640">
        <f t="shared" si="12"/>
        <v>283657</v>
      </c>
      <c r="G268" s="1640">
        <f t="shared" si="12"/>
        <v>105216</v>
      </c>
      <c r="H268" s="1640">
        <f t="shared" si="12"/>
        <v>52111</v>
      </c>
      <c r="I268" s="1640">
        <f t="shared" si="12"/>
        <v>85568</v>
      </c>
      <c r="J268" s="1640">
        <f t="shared" si="12"/>
        <v>212570</v>
      </c>
      <c r="K268" s="1628">
        <f t="shared" si="12"/>
        <v>72765</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5" activePane="bottomLeft" state="frozen"/>
      <selection pane="bottomLeft" activeCell="K354" sqref="K354"/>
    </sheetView>
  </sheetViews>
  <sheetFormatPr defaultColWidth="9.28515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7109375" style="320" customWidth="1"/>
    <col min="13" max="13" width="1.5703125" style="204" customWidth="1"/>
    <col min="14" max="14" width="9.28515625" style="204"/>
    <col min="15" max="16384" width="9.28515625" style="306"/>
  </cols>
  <sheetData>
    <row r="1" spans="1:14" x14ac:dyDescent="0.2">
      <c r="A1" s="2233"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5"/>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899999999999999" customHeight="1" x14ac:dyDescent="0.2">
      <c r="A3" s="2271" t="s">
        <v>294</v>
      </c>
      <c r="B3" s="2272"/>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v>1900894</v>
      </c>
      <c r="D5" s="1572">
        <v>285348</v>
      </c>
      <c r="E5" s="1572">
        <v>93192</v>
      </c>
      <c r="F5" s="1572">
        <v>49005</v>
      </c>
      <c r="G5" s="1572"/>
      <c r="H5" s="1572">
        <v>385</v>
      </c>
      <c r="I5" s="1573"/>
      <c r="J5" s="1573"/>
      <c r="K5" s="1671">
        <f>SUM(C5:J5)</f>
        <v>2328824</v>
      </c>
      <c r="L5" s="1572">
        <v>2434474</v>
      </c>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v>238137</v>
      </c>
      <c r="D7" s="1573">
        <v>44426</v>
      </c>
      <c r="E7" s="1573">
        <v>1165</v>
      </c>
      <c r="F7" s="1573">
        <v>10747</v>
      </c>
      <c r="G7" s="1573"/>
      <c r="H7" s="1573"/>
      <c r="I7" s="1573"/>
      <c r="J7" s="1573"/>
      <c r="K7" s="1671">
        <f t="shared" ref="K7:K32" si="0">SUM(C7:J7)</f>
        <v>294475</v>
      </c>
      <c r="L7" s="1572">
        <v>259834</v>
      </c>
    </row>
    <row r="8" spans="1:14" x14ac:dyDescent="0.2">
      <c r="A8" s="1273" t="s">
        <v>163</v>
      </c>
      <c r="B8" s="502">
        <v>1200</v>
      </c>
      <c r="C8" s="1572">
        <v>328663</v>
      </c>
      <c r="D8" s="1572">
        <v>86439</v>
      </c>
      <c r="E8" s="1572">
        <v>1227</v>
      </c>
      <c r="F8" s="1572">
        <v>3247</v>
      </c>
      <c r="G8" s="1572"/>
      <c r="H8" s="1572"/>
      <c r="I8" s="1573"/>
      <c r="J8" s="1573"/>
      <c r="K8" s="1671">
        <f t="shared" si="0"/>
        <v>419576</v>
      </c>
      <c r="L8" s="1572">
        <v>294950</v>
      </c>
    </row>
    <row r="9" spans="1:14" x14ac:dyDescent="0.2">
      <c r="A9" s="1273" t="s">
        <v>716</v>
      </c>
      <c r="B9" s="502" t="s">
        <v>962</v>
      </c>
      <c r="C9" s="1573"/>
      <c r="D9" s="1573"/>
      <c r="E9" s="1573"/>
      <c r="F9" s="1573"/>
      <c r="G9" s="1573"/>
      <c r="H9" s="1573"/>
      <c r="I9" s="1573"/>
      <c r="J9" s="1573"/>
      <c r="K9" s="1671">
        <f t="shared" si="0"/>
        <v>0</v>
      </c>
      <c r="L9" s="1572"/>
    </row>
    <row r="10" spans="1:14" x14ac:dyDescent="0.2">
      <c r="A10" s="1273" t="s">
        <v>717</v>
      </c>
      <c r="B10" s="502">
        <v>1250</v>
      </c>
      <c r="C10" s="1572"/>
      <c r="D10" s="1572"/>
      <c r="E10" s="1572"/>
      <c r="F10" s="1572"/>
      <c r="G10" s="1572"/>
      <c r="H10" s="1572"/>
      <c r="I10" s="1573"/>
      <c r="J10" s="1573"/>
      <c r="K10" s="1671">
        <f t="shared" si="0"/>
        <v>0</v>
      </c>
      <c r="L10" s="1572"/>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c r="G13" s="1572"/>
      <c r="H13" s="1572"/>
      <c r="I13" s="1573"/>
      <c r="J13" s="1573"/>
      <c r="K13" s="1671">
        <f t="shared" si="0"/>
        <v>0</v>
      </c>
      <c r="L13" s="1572"/>
    </row>
    <row r="14" spans="1:14" x14ac:dyDescent="0.2">
      <c r="A14" s="1273" t="s">
        <v>957</v>
      </c>
      <c r="B14" s="502">
        <v>1500</v>
      </c>
      <c r="C14" s="1572">
        <v>36932</v>
      </c>
      <c r="D14" s="1572">
        <v>477</v>
      </c>
      <c r="E14" s="1572">
        <v>4879</v>
      </c>
      <c r="F14" s="1572">
        <v>6904</v>
      </c>
      <c r="G14" s="1572"/>
      <c r="H14" s="1572"/>
      <c r="I14" s="1573"/>
      <c r="J14" s="1573"/>
      <c r="K14" s="1671">
        <f t="shared" si="0"/>
        <v>49192</v>
      </c>
      <c r="L14" s="1572">
        <v>49155</v>
      </c>
    </row>
    <row r="15" spans="1:14" x14ac:dyDescent="0.2">
      <c r="A15" s="1273" t="s">
        <v>958</v>
      </c>
      <c r="B15" s="502">
        <v>1600</v>
      </c>
      <c r="C15" s="1572">
        <v>40855</v>
      </c>
      <c r="D15" s="1572">
        <v>469</v>
      </c>
      <c r="E15" s="1572">
        <v>8007</v>
      </c>
      <c r="F15" s="1572">
        <v>28</v>
      </c>
      <c r="G15" s="1572"/>
      <c r="H15" s="1572"/>
      <c r="I15" s="1573"/>
      <c r="J15" s="1573"/>
      <c r="K15" s="1671">
        <f t="shared" si="0"/>
        <v>49359</v>
      </c>
      <c r="L15" s="1572">
        <v>63550</v>
      </c>
    </row>
    <row r="16" spans="1:14" x14ac:dyDescent="0.2">
      <c r="A16" s="1273" t="s">
        <v>980</v>
      </c>
      <c r="B16" s="502" t="s">
        <v>421</v>
      </c>
      <c r="C16" s="1572"/>
      <c r="D16" s="1572"/>
      <c r="E16" s="1572"/>
      <c r="F16" s="1572"/>
      <c r="G16" s="1572"/>
      <c r="H16" s="1572"/>
      <c r="I16" s="1573"/>
      <c r="J16" s="1573"/>
      <c r="K16" s="1671">
        <f t="shared" si="0"/>
        <v>0</v>
      </c>
      <c r="L16" s="1572"/>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v>65920</v>
      </c>
      <c r="D18" s="1572">
        <v>13622</v>
      </c>
      <c r="E18" s="1572"/>
      <c r="F18" s="1572"/>
      <c r="G18" s="1572"/>
      <c r="H18" s="1572"/>
      <c r="I18" s="1573"/>
      <c r="J18" s="1573"/>
      <c r="K18" s="1671">
        <f t="shared" si="0"/>
        <v>79542</v>
      </c>
      <c r="L18" s="1572">
        <v>74094</v>
      </c>
    </row>
    <row r="19" spans="1:12" x14ac:dyDescent="0.2">
      <c r="A19" s="1273" t="s">
        <v>133</v>
      </c>
      <c r="B19" s="502">
        <v>1900</v>
      </c>
      <c r="C19" s="1572"/>
      <c r="D19" s="1572"/>
      <c r="E19" s="1572"/>
      <c r="F19" s="1572"/>
      <c r="G19" s="1572"/>
      <c r="H19" s="1572"/>
      <c r="I19" s="1573"/>
      <c r="J19" s="1573"/>
      <c r="K19" s="1671">
        <f t="shared" si="0"/>
        <v>0</v>
      </c>
      <c r="L19" s="1572"/>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c r="I22" s="1672"/>
      <c r="J22" s="1581"/>
      <c r="K22" s="1671">
        <f t="shared" si="0"/>
        <v>0</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2611401</v>
      </c>
      <c r="D33" s="1673">
        <f t="shared" ref="D33:L33" si="1">SUM(D5:D32)</f>
        <v>430781</v>
      </c>
      <c r="E33" s="1673">
        <f t="shared" si="1"/>
        <v>108470</v>
      </c>
      <c r="F33" s="1673">
        <f t="shared" si="1"/>
        <v>69931</v>
      </c>
      <c r="G33" s="1673">
        <f t="shared" si="1"/>
        <v>0</v>
      </c>
      <c r="H33" s="1673">
        <f t="shared" si="1"/>
        <v>385</v>
      </c>
      <c r="I33" s="1673">
        <f t="shared" si="1"/>
        <v>0</v>
      </c>
      <c r="J33" s="1673">
        <f t="shared" si="1"/>
        <v>0</v>
      </c>
      <c r="K33" s="1673">
        <f t="shared" si="1"/>
        <v>3220968</v>
      </c>
      <c r="L33" s="1673">
        <f t="shared" si="1"/>
        <v>3176057</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v>55171</v>
      </c>
      <c r="D36" s="1585">
        <v>7903</v>
      </c>
      <c r="E36" s="1585"/>
      <c r="F36" s="1585"/>
      <c r="G36" s="1585"/>
      <c r="H36" s="1585"/>
      <c r="I36" s="1573"/>
      <c r="J36" s="1573"/>
      <c r="K36" s="1671">
        <f t="shared" ref="K36:K41" si="2">SUM(C36:J36)</f>
        <v>63074</v>
      </c>
      <c r="L36" s="1572">
        <v>63383</v>
      </c>
    </row>
    <row r="37" spans="1:14" x14ac:dyDescent="0.2">
      <c r="A37" s="1273" t="s">
        <v>1081</v>
      </c>
      <c r="B37" s="502">
        <v>2120</v>
      </c>
      <c r="C37" s="1572">
        <v>35000</v>
      </c>
      <c r="D37" s="1572">
        <v>60</v>
      </c>
      <c r="E37" s="1572">
        <v>41700</v>
      </c>
      <c r="F37" s="1572">
        <v>532</v>
      </c>
      <c r="G37" s="1572"/>
      <c r="H37" s="1572"/>
      <c r="I37" s="1573"/>
      <c r="J37" s="1573"/>
      <c r="K37" s="1671">
        <f t="shared" si="2"/>
        <v>77292</v>
      </c>
      <c r="L37" s="1572">
        <v>70000</v>
      </c>
    </row>
    <row r="38" spans="1:14" x14ac:dyDescent="0.2">
      <c r="A38" s="1273" t="s">
        <v>196</v>
      </c>
      <c r="B38" s="502">
        <v>2130</v>
      </c>
      <c r="C38" s="1572"/>
      <c r="D38" s="1572"/>
      <c r="E38" s="1572">
        <v>81846</v>
      </c>
      <c r="F38" s="1572">
        <v>66</v>
      </c>
      <c r="G38" s="1572"/>
      <c r="H38" s="1572"/>
      <c r="I38" s="1573"/>
      <c r="J38" s="1573"/>
      <c r="K38" s="1671">
        <f t="shared" si="2"/>
        <v>81912</v>
      </c>
      <c r="L38" s="1572">
        <v>80000</v>
      </c>
    </row>
    <row r="39" spans="1:14" x14ac:dyDescent="0.2">
      <c r="A39" s="1273" t="s">
        <v>197</v>
      </c>
      <c r="B39" s="502">
        <v>2140</v>
      </c>
      <c r="C39" s="1572">
        <v>61397</v>
      </c>
      <c r="D39" s="1572">
        <v>11154</v>
      </c>
      <c r="E39" s="1572"/>
      <c r="F39" s="1572">
        <v>155</v>
      </c>
      <c r="G39" s="1572"/>
      <c r="H39" s="1572"/>
      <c r="I39" s="1573"/>
      <c r="J39" s="1573"/>
      <c r="K39" s="1671">
        <f t="shared" si="2"/>
        <v>72706</v>
      </c>
      <c r="L39" s="1572">
        <v>69545</v>
      </c>
    </row>
    <row r="40" spans="1:14" x14ac:dyDescent="0.2">
      <c r="A40" s="1273" t="s">
        <v>198</v>
      </c>
      <c r="B40" s="502">
        <v>2150</v>
      </c>
      <c r="C40" s="1572"/>
      <c r="D40" s="1572"/>
      <c r="E40" s="1572"/>
      <c r="F40" s="1572"/>
      <c r="G40" s="1572"/>
      <c r="H40" s="1572"/>
      <c r="I40" s="1573"/>
      <c r="J40" s="1573"/>
      <c r="K40" s="1671">
        <f t="shared" si="2"/>
        <v>0</v>
      </c>
      <c r="L40" s="1572"/>
    </row>
    <row r="41" spans="1:14" x14ac:dyDescent="0.2">
      <c r="A41" s="1273" t="s">
        <v>1650</v>
      </c>
      <c r="B41" s="502">
        <v>2190</v>
      </c>
      <c r="C41" s="1572"/>
      <c r="D41" s="1572"/>
      <c r="E41" s="1572">
        <v>6192</v>
      </c>
      <c r="F41" s="1572">
        <v>3953</v>
      </c>
      <c r="G41" s="1572"/>
      <c r="H41" s="1572"/>
      <c r="I41" s="1573"/>
      <c r="J41" s="1573"/>
      <c r="K41" s="1671">
        <f t="shared" si="2"/>
        <v>10145</v>
      </c>
      <c r="L41" s="1572">
        <v>10750</v>
      </c>
    </row>
    <row r="42" spans="1:14" ht="12.75" customHeight="1" thickBot="1" x14ac:dyDescent="0.25">
      <c r="A42" s="1379" t="s">
        <v>556</v>
      </c>
      <c r="B42" s="1380" t="s">
        <v>711</v>
      </c>
      <c r="C42" s="1673">
        <f>SUM(C36:C41)</f>
        <v>151568</v>
      </c>
      <c r="D42" s="1673">
        <f t="shared" ref="D42:L42" si="3">SUM(D36:D41)</f>
        <v>19117</v>
      </c>
      <c r="E42" s="1673">
        <f t="shared" si="3"/>
        <v>129738</v>
      </c>
      <c r="F42" s="1673">
        <f t="shared" si="3"/>
        <v>4706</v>
      </c>
      <c r="G42" s="1673">
        <f t="shared" si="3"/>
        <v>0</v>
      </c>
      <c r="H42" s="1673">
        <f t="shared" si="3"/>
        <v>0</v>
      </c>
      <c r="I42" s="1673">
        <f t="shared" si="3"/>
        <v>0</v>
      </c>
      <c r="J42" s="1673">
        <f t="shared" si="3"/>
        <v>0</v>
      </c>
      <c r="K42" s="1673">
        <f t="shared" si="3"/>
        <v>305129</v>
      </c>
      <c r="L42" s="1673">
        <f t="shared" si="3"/>
        <v>293678</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v>121009</v>
      </c>
      <c r="D44" s="1585">
        <v>33140</v>
      </c>
      <c r="E44" s="1585">
        <v>149706</v>
      </c>
      <c r="F44" s="1585">
        <v>8012</v>
      </c>
      <c r="G44" s="1585"/>
      <c r="H44" s="1585"/>
      <c r="I44" s="1573"/>
      <c r="J44" s="1573"/>
      <c r="K44" s="1677">
        <f>SUM(C44:J44)</f>
        <v>311867</v>
      </c>
      <c r="L44" s="1585">
        <v>314980</v>
      </c>
    </row>
    <row r="45" spans="1:14" x14ac:dyDescent="0.2">
      <c r="A45" s="1273" t="s">
        <v>810</v>
      </c>
      <c r="B45" s="502">
        <v>2220</v>
      </c>
      <c r="C45" s="1572">
        <v>58331</v>
      </c>
      <c r="D45" s="1572">
        <v>9303</v>
      </c>
      <c r="E45" s="1572"/>
      <c r="F45" s="1572">
        <v>23030</v>
      </c>
      <c r="G45" s="1572"/>
      <c r="H45" s="1572"/>
      <c r="I45" s="1573"/>
      <c r="J45" s="1573"/>
      <c r="K45" s="1677">
        <f>SUM(C45:J45)</f>
        <v>90664</v>
      </c>
      <c r="L45" s="1572">
        <v>71134</v>
      </c>
    </row>
    <row r="46" spans="1:14" x14ac:dyDescent="0.2">
      <c r="A46" s="1273" t="s">
        <v>811</v>
      </c>
      <c r="B46" s="502">
        <v>2230</v>
      </c>
      <c r="C46" s="1572"/>
      <c r="D46" s="1572"/>
      <c r="E46" s="1572"/>
      <c r="F46" s="1572"/>
      <c r="G46" s="1572"/>
      <c r="H46" s="1572"/>
      <c r="I46" s="1573"/>
      <c r="J46" s="1573"/>
      <c r="K46" s="1677">
        <f>SUM(C46:J46)</f>
        <v>0</v>
      </c>
      <c r="L46" s="1572">
        <v>6700</v>
      </c>
    </row>
    <row r="47" spans="1:14" ht="12.75" customHeight="1" thickBot="1" x14ac:dyDescent="0.25">
      <c r="A47" s="1379" t="s">
        <v>557</v>
      </c>
      <c r="B47" s="1380" t="s">
        <v>32</v>
      </c>
      <c r="C47" s="1673">
        <f>SUM(C44:C46)</f>
        <v>179340</v>
      </c>
      <c r="D47" s="1673">
        <f t="shared" ref="D47:K47" si="4">SUM(D44:D46)</f>
        <v>42443</v>
      </c>
      <c r="E47" s="1673">
        <f t="shared" si="4"/>
        <v>149706</v>
      </c>
      <c r="F47" s="1673">
        <f t="shared" si="4"/>
        <v>31042</v>
      </c>
      <c r="G47" s="1673">
        <f t="shared" si="4"/>
        <v>0</v>
      </c>
      <c r="H47" s="1673">
        <f t="shared" si="4"/>
        <v>0</v>
      </c>
      <c r="I47" s="1673">
        <f t="shared" si="4"/>
        <v>0</v>
      </c>
      <c r="J47" s="1673">
        <f t="shared" si="4"/>
        <v>0</v>
      </c>
      <c r="K47" s="1673">
        <f t="shared" si="4"/>
        <v>402531</v>
      </c>
      <c r="L47" s="1673">
        <f>SUM(L44:L46)</f>
        <v>392814</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v>2196</v>
      </c>
      <c r="D49" s="1585"/>
      <c r="E49" s="1585">
        <v>92478</v>
      </c>
      <c r="F49" s="1585">
        <v>12250</v>
      </c>
      <c r="G49" s="1585"/>
      <c r="H49" s="1585">
        <v>17970</v>
      </c>
      <c r="I49" s="1573"/>
      <c r="J49" s="1573"/>
      <c r="K49" s="1677">
        <f>SUM(C49:J49)</f>
        <v>124894</v>
      </c>
      <c r="L49" s="1585">
        <v>168196</v>
      </c>
    </row>
    <row r="50" spans="1:14" x14ac:dyDescent="0.2">
      <c r="A50" s="1273" t="s">
        <v>813</v>
      </c>
      <c r="B50" s="502">
        <v>2320</v>
      </c>
      <c r="C50" s="1572">
        <v>179121</v>
      </c>
      <c r="D50" s="1572">
        <v>45381</v>
      </c>
      <c r="E50" s="1572">
        <v>3244</v>
      </c>
      <c r="F50" s="1572">
        <v>16615</v>
      </c>
      <c r="G50" s="1572"/>
      <c r="H50" s="1572">
        <v>4601</v>
      </c>
      <c r="I50" s="1573"/>
      <c r="J50" s="1573"/>
      <c r="K50" s="1677">
        <f>SUM(C50:J50)</f>
        <v>248962</v>
      </c>
      <c r="L50" s="1572">
        <v>241419</v>
      </c>
    </row>
    <row r="51" spans="1:14" x14ac:dyDescent="0.2">
      <c r="A51" s="1273" t="s">
        <v>42</v>
      </c>
      <c r="B51" s="502">
        <v>2330</v>
      </c>
      <c r="C51" s="1572"/>
      <c r="D51" s="1572"/>
      <c r="E51" s="1572">
        <v>129</v>
      </c>
      <c r="F51" s="1572"/>
      <c r="G51" s="1572"/>
      <c r="H51" s="1572"/>
      <c r="I51" s="1573"/>
      <c r="J51" s="1573"/>
      <c r="K51" s="1677">
        <f>SUM(C51:J51)</f>
        <v>129</v>
      </c>
      <c r="L51" s="1572">
        <v>136204</v>
      </c>
    </row>
    <row r="52" spans="1:14" ht="22.5" x14ac:dyDescent="0.2">
      <c r="A52" s="1274" t="s">
        <v>295</v>
      </c>
      <c r="B52" s="510"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181317</v>
      </c>
      <c r="D53" s="1673">
        <f t="shared" ref="D53:L53" si="5">SUM(D49:D52)</f>
        <v>45381</v>
      </c>
      <c r="E53" s="1673">
        <f t="shared" si="5"/>
        <v>95851</v>
      </c>
      <c r="F53" s="1673">
        <f t="shared" si="5"/>
        <v>28865</v>
      </c>
      <c r="G53" s="1673">
        <f t="shared" si="5"/>
        <v>0</v>
      </c>
      <c r="H53" s="1673">
        <f t="shared" si="5"/>
        <v>22571</v>
      </c>
      <c r="I53" s="1673">
        <f t="shared" si="5"/>
        <v>0</v>
      </c>
      <c r="J53" s="1673">
        <f t="shared" si="5"/>
        <v>0</v>
      </c>
      <c r="K53" s="1673">
        <f t="shared" si="5"/>
        <v>373985</v>
      </c>
      <c r="L53" s="1673">
        <f t="shared" si="5"/>
        <v>545819</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v>301945</v>
      </c>
      <c r="D55" s="1585">
        <v>75812</v>
      </c>
      <c r="E55" s="1585">
        <v>1837</v>
      </c>
      <c r="F55" s="1585">
        <v>7088</v>
      </c>
      <c r="G55" s="1585"/>
      <c r="H55" s="1585">
        <v>798</v>
      </c>
      <c r="I55" s="1573"/>
      <c r="J55" s="1573"/>
      <c r="K55" s="1677">
        <f>SUM(C55:J55)</f>
        <v>387480</v>
      </c>
      <c r="L55" s="1585">
        <v>362525</v>
      </c>
    </row>
    <row r="56" spans="1:14" ht="12.75" customHeight="1" x14ac:dyDescent="0.2">
      <c r="A56" s="1277" t="s">
        <v>373</v>
      </c>
      <c r="B56" s="511">
        <v>2490</v>
      </c>
      <c r="C56" s="1572"/>
      <c r="D56" s="1572"/>
      <c r="E56" s="1572"/>
      <c r="F56" s="1572"/>
      <c r="G56" s="1572"/>
      <c r="H56" s="1572"/>
      <c r="I56" s="1573"/>
      <c r="J56" s="1573"/>
      <c r="K56" s="1677">
        <f>SUM(C56:J56)</f>
        <v>0</v>
      </c>
      <c r="L56" s="1572"/>
    </row>
    <row r="57" spans="1:14" s="320" customFormat="1" ht="12.75" customHeight="1" thickBot="1" x14ac:dyDescent="0.25">
      <c r="A57" s="1379" t="s">
        <v>261</v>
      </c>
      <c r="B57" s="1381" t="s">
        <v>34</v>
      </c>
      <c r="C57" s="1678">
        <f>SUM(C55:C56)</f>
        <v>301945</v>
      </c>
      <c r="D57" s="1678">
        <f t="shared" ref="D57:K57" si="6">SUM(D55:D56)</f>
        <v>75812</v>
      </c>
      <c r="E57" s="1678">
        <f t="shared" si="6"/>
        <v>1837</v>
      </c>
      <c r="F57" s="1678">
        <f t="shared" si="6"/>
        <v>7088</v>
      </c>
      <c r="G57" s="1678">
        <f t="shared" si="6"/>
        <v>0</v>
      </c>
      <c r="H57" s="1678">
        <f t="shared" si="6"/>
        <v>798</v>
      </c>
      <c r="I57" s="1678">
        <f t="shared" si="6"/>
        <v>0</v>
      </c>
      <c r="J57" s="1678">
        <f t="shared" si="6"/>
        <v>0</v>
      </c>
      <c r="K57" s="1678">
        <f t="shared" si="6"/>
        <v>387480</v>
      </c>
      <c r="L57" s="1673">
        <f>SUM(L55:L56)</f>
        <v>362525</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v>101923</v>
      </c>
      <c r="D59" s="1585">
        <v>23889</v>
      </c>
      <c r="E59" s="1585">
        <v>852</v>
      </c>
      <c r="F59" s="1585"/>
      <c r="G59" s="1585"/>
      <c r="H59" s="1585">
        <v>1000</v>
      </c>
      <c r="I59" s="1573"/>
      <c r="J59" s="1573"/>
      <c r="K59" s="1677">
        <f t="shared" ref="K59:K64" si="7">SUM(C59:J59)</f>
        <v>127664</v>
      </c>
      <c r="L59" s="1585">
        <v>126660</v>
      </c>
      <c r="M59" s="500"/>
      <c r="N59" s="500"/>
    </row>
    <row r="60" spans="1:14" s="320" customFormat="1" x14ac:dyDescent="0.2">
      <c r="A60" s="1273" t="s">
        <v>460</v>
      </c>
      <c r="B60" s="502">
        <v>2520</v>
      </c>
      <c r="C60" s="1572">
        <v>9187</v>
      </c>
      <c r="D60" s="1572"/>
      <c r="E60" s="1572">
        <v>12998</v>
      </c>
      <c r="F60" s="1572">
        <v>1586</v>
      </c>
      <c r="G60" s="1572"/>
      <c r="H60" s="1572"/>
      <c r="I60" s="1573"/>
      <c r="J60" s="1573"/>
      <c r="K60" s="1677">
        <f t="shared" si="7"/>
        <v>23771</v>
      </c>
      <c r="L60" s="1572">
        <v>64235</v>
      </c>
      <c r="M60" s="500"/>
      <c r="N60" s="500"/>
    </row>
    <row r="61" spans="1:14" s="320" customFormat="1" x14ac:dyDescent="0.2">
      <c r="A61" s="1273" t="s">
        <v>195</v>
      </c>
      <c r="B61" s="502">
        <v>2540</v>
      </c>
      <c r="C61" s="1572"/>
      <c r="D61" s="1572"/>
      <c r="E61" s="1572"/>
      <c r="F61" s="1572"/>
      <c r="G61" s="1572"/>
      <c r="H61" s="1572"/>
      <c r="I61" s="1573"/>
      <c r="J61" s="1573"/>
      <c r="K61" s="1677">
        <f t="shared" si="7"/>
        <v>0</v>
      </c>
      <c r="L61" s="1572"/>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v>94789</v>
      </c>
      <c r="D63" s="1572">
        <v>10774</v>
      </c>
      <c r="E63" s="1572">
        <v>156401</v>
      </c>
      <c r="F63" s="1572">
        <v>18674</v>
      </c>
      <c r="G63" s="1572"/>
      <c r="H63" s="1572"/>
      <c r="I63" s="1573"/>
      <c r="J63" s="1573"/>
      <c r="K63" s="1677">
        <f t="shared" si="7"/>
        <v>280638</v>
      </c>
      <c r="L63" s="1572">
        <v>363410</v>
      </c>
    </row>
    <row r="64" spans="1:14" s="500" customFormat="1" x14ac:dyDescent="0.2">
      <c r="A64" s="1278" t="s">
        <v>101</v>
      </c>
      <c r="B64" s="512">
        <v>2570</v>
      </c>
      <c r="C64" s="1585"/>
      <c r="D64" s="1585"/>
      <c r="E64" s="1585"/>
      <c r="F64" s="1585">
        <v>9166</v>
      </c>
      <c r="G64" s="1585"/>
      <c r="H64" s="1585"/>
      <c r="I64" s="1573"/>
      <c r="J64" s="1573"/>
      <c r="K64" s="1677">
        <f t="shared" si="7"/>
        <v>9166</v>
      </c>
      <c r="L64" s="1585">
        <v>40000</v>
      </c>
    </row>
    <row r="65" spans="1:14" s="320" customFormat="1" ht="12.75" customHeight="1" thickBot="1" x14ac:dyDescent="0.25">
      <c r="A65" s="1379" t="s">
        <v>714</v>
      </c>
      <c r="B65" s="1380" t="s">
        <v>35</v>
      </c>
      <c r="C65" s="1673">
        <f>SUM(C59:C64)</f>
        <v>205899</v>
      </c>
      <c r="D65" s="1673">
        <f t="shared" ref="D65:L65" si="8">SUM(D59:D64)</f>
        <v>34663</v>
      </c>
      <c r="E65" s="1673">
        <f t="shared" si="8"/>
        <v>170251</v>
      </c>
      <c r="F65" s="1673">
        <f t="shared" si="8"/>
        <v>29426</v>
      </c>
      <c r="G65" s="1673">
        <f t="shared" si="8"/>
        <v>0</v>
      </c>
      <c r="H65" s="1673">
        <f t="shared" si="8"/>
        <v>1000</v>
      </c>
      <c r="I65" s="1673">
        <f t="shared" si="8"/>
        <v>0</v>
      </c>
      <c r="J65" s="1673">
        <f t="shared" si="8"/>
        <v>0</v>
      </c>
      <c r="K65" s="1673">
        <f t="shared" si="8"/>
        <v>441239</v>
      </c>
      <c r="L65" s="1673">
        <f t="shared" si="8"/>
        <v>594305</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c r="M68" s="500"/>
      <c r="N68" s="500"/>
    </row>
    <row r="69" spans="1:14" s="320" customFormat="1" x14ac:dyDescent="0.2">
      <c r="A69" s="1273" t="s">
        <v>1052</v>
      </c>
      <c r="B69" s="502">
        <v>2630</v>
      </c>
      <c r="C69" s="1572"/>
      <c r="D69" s="1572"/>
      <c r="E69" s="1572">
        <v>5821</v>
      </c>
      <c r="F69" s="1572"/>
      <c r="G69" s="1572"/>
      <c r="H69" s="1572"/>
      <c r="I69" s="1573"/>
      <c r="J69" s="1573"/>
      <c r="K69" s="1677">
        <f>SUM(C69:J69)</f>
        <v>5821</v>
      </c>
      <c r="L69" s="1572">
        <v>7250</v>
      </c>
      <c r="M69" s="500"/>
      <c r="N69" s="500"/>
    </row>
    <row r="70" spans="1:14" s="320" customFormat="1" x14ac:dyDescent="0.2">
      <c r="A70" s="1273" t="s">
        <v>400</v>
      </c>
      <c r="B70" s="502">
        <v>2640</v>
      </c>
      <c r="C70" s="1572">
        <v>10660</v>
      </c>
      <c r="D70" s="1572"/>
      <c r="E70" s="1572">
        <v>450</v>
      </c>
      <c r="F70" s="1572">
        <v>12715</v>
      </c>
      <c r="G70" s="1572"/>
      <c r="H70" s="1572"/>
      <c r="I70" s="1573"/>
      <c r="J70" s="1573"/>
      <c r="K70" s="1677">
        <f>SUM(C70:J70)</f>
        <v>23825</v>
      </c>
      <c r="L70" s="1572">
        <v>0</v>
      </c>
      <c r="M70" s="500"/>
      <c r="N70" s="500"/>
    </row>
    <row r="71" spans="1:14" s="320" customFormat="1" x14ac:dyDescent="0.2">
      <c r="A71" s="1273" t="s">
        <v>401</v>
      </c>
      <c r="B71" s="502">
        <v>2660</v>
      </c>
      <c r="C71" s="1572">
        <v>98797</v>
      </c>
      <c r="D71" s="1572">
        <v>20080</v>
      </c>
      <c r="E71" s="1572">
        <v>35158</v>
      </c>
      <c r="F71" s="1572">
        <v>86432</v>
      </c>
      <c r="G71" s="1572">
        <v>67307</v>
      </c>
      <c r="H71" s="1572"/>
      <c r="I71" s="1573">
        <v>136063</v>
      </c>
      <c r="J71" s="1573"/>
      <c r="K71" s="1677">
        <f>SUM(C71:J71)</f>
        <v>443837</v>
      </c>
      <c r="L71" s="1572">
        <v>421198</v>
      </c>
      <c r="M71" s="500"/>
      <c r="N71" s="500"/>
    </row>
    <row r="72" spans="1:14" s="320" customFormat="1" ht="12.75" customHeight="1" thickBot="1" x14ac:dyDescent="0.25">
      <c r="A72" s="1379" t="s">
        <v>37</v>
      </c>
      <c r="B72" s="1382" t="s">
        <v>36</v>
      </c>
      <c r="C72" s="1673">
        <f>SUM(C67:C71)</f>
        <v>109457</v>
      </c>
      <c r="D72" s="1673">
        <f t="shared" ref="D72:K72" si="9">SUM(D67:D71)</f>
        <v>20080</v>
      </c>
      <c r="E72" s="1673">
        <f t="shared" si="9"/>
        <v>41429</v>
      </c>
      <c r="F72" s="1673">
        <f t="shared" si="9"/>
        <v>99147</v>
      </c>
      <c r="G72" s="1673">
        <f t="shared" si="9"/>
        <v>67307</v>
      </c>
      <c r="H72" s="1673">
        <f t="shared" si="9"/>
        <v>0</v>
      </c>
      <c r="I72" s="1673">
        <f t="shared" si="9"/>
        <v>136063</v>
      </c>
      <c r="J72" s="1673">
        <f t="shared" si="9"/>
        <v>0</v>
      </c>
      <c r="K72" s="1673">
        <f t="shared" si="9"/>
        <v>473483</v>
      </c>
      <c r="L72" s="1673">
        <f>SUM(L67:L71)</f>
        <v>428448</v>
      </c>
      <c r="M72" s="500"/>
      <c r="N72" s="500"/>
    </row>
    <row r="73" spans="1:14" s="320" customFormat="1" ht="14.25" thickTop="1" thickBot="1" x14ac:dyDescent="0.25">
      <c r="A73" s="1279" t="s">
        <v>973</v>
      </c>
      <c r="B73" s="514" t="s">
        <v>570</v>
      </c>
      <c r="C73" s="1648"/>
      <c r="D73" s="1648"/>
      <c r="E73" s="1648"/>
      <c r="F73" s="1648">
        <v>144</v>
      </c>
      <c r="G73" s="1648"/>
      <c r="H73" s="1648">
        <v>1923</v>
      </c>
      <c r="I73" s="1626"/>
      <c r="J73" s="1626"/>
      <c r="K73" s="1673">
        <f>SUM(C73:J73)</f>
        <v>2067</v>
      </c>
      <c r="L73" s="1650">
        <v>2000</v>
      </c>
      <c r="M73" s="500"/>
      <c r="N73" s="500"/>
    </row>
    <row r="74" spans="1:14" ht="12.75" customHeight="1" thickTop="1" thickBot="1" x14ac:dyDescent="0.25">
      <c r="A74" s="1379" t="s">
        <v>806</v>
      </c>
      <c r="B74" s="1383">
        <v>2000</v>
      </c>
      <c r="C74" s="1680">
        <f>SUM(C42,C47,C53,C57,C65,C72,C73)</f>
        <v>1129526</v>
      </c>
      <c r="D74" s="1680">
        <f t="shared" ref="D74:K74" si="10">SUM(D42,D47,D53,D57,D65,D72,D73)</f>
        <v>237496</v>
      </c>
      <c r="E74" s="1680">
        <f t="shared" si="10"/>
        <v>588812</v>
      </c>
      <c r="F74" s="1680">
        <f t="shared" si="10"/>
        <v>200418</v>
      </c>
      <c r="G74" s="1680">
        <f t="shared" si="10"/>
        <v>67307</v>
      </c>
      <c r="H74" s="1680">
        <f t="shared" si="10"/>
        <v>26292</v>
      </c>
      <c r="I74" s="1680">
        <f t="shared" si="10"/>
        <v>136063</v>
      </c>
      <c r="J74" s="1680">
        <f t="shared" si="10"/>
        <v>0</v>
      </c>
      <c r="K74" s="1680">
        <f t="shared" si="10"/>
        <v>2385914</v>
      </c>
      <c r="L74" s="1680">
        <f>SUM(L42,L47,L53,L57,L65,L72,L73)</f>
        <v>2619589</v>
      </c>
    </row>
    <row r="75" spans="1:14" s="253" customFormat="1" ht="15.75" customHeight="1" thickTop="1" thickBot="1" x14ac:dyDescent="0.25">
      <c r="A75" s="1347" t="s">
        <v>47</v>
      </c>
      <c r="B75" s="1348" t="s">
        <v>571</v>
      </c>
      <c r="C75" s="1648">
        <v>13991</v>
      </c>
      <c r="D75" s="1648"/>
      <c r="E75" s="1648">
        <v>6151</v>
      </c>
      <c r="F75" s="1648">
        <v>2127</v>
      </c>
      <c r="G75" s="1648"/>
      <c r="H75" s="1648"/>
      <c r="I75" s="1626"/>
      <c r="J75" s="1626"/>
      <c r="K75" s="1673">
        <f>SUM(C75:J75)</f>
        <v>22269</v>
      </c>
      <c r="L75" s="1650">
        <v>102840</v>
      </c>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8"/>
      <c r="N76" s="178"/>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c r="F78" s="1672"/>
      <c r="G78" s="1672"/>
      <c r="H78" s="1681"/>
      <c r="I78" s="1581"/>
      <c r="J78" s="1581"/>
      <c r="K78" s="1671">
        <f t="shared" ref="K78:K83" si="11">SUM(C78:J78)</f>
        <v>0</v>
      </c>
      <c r="L78" s="1585"/>
    </row>
    <row r="79" spans="1:14" x14ac:dyDescent="0.2">
      <c r="A79" s="1273" t="s">
        <v>301</v>
      </c>
      <c r="B79" s="502">
        <v>4120</v>
      </c>
      <c r="C79" s="1672"/>
      <c r="D79" s="1672"/>
      <c r="E79" s="1572">
        <v>119438</v>
      </c>
      <c r="F79" s="1672"/>
      <c r="G79" s="1672"/>
      <c r="H79" s="1572">
        <v>941731</v>
      </c>
      <c r="I79" s="1581"/>
      <c r="J79" s="1581"/>
      <c r="K79" s="1671">
        <f t="shared" si="11"/>
        <v>1061169</v>
      </c>
      <c r="L79" s="1572">
        <v>760000</v>
      </c>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v>25214</v>
      </c>
      <c r="F83" s="1672"/>
      <c r="G83" s="1672"/>
      <c r="H83" s="1572"/>
      <c r="I83" s="1581"/>
      <c r="J83" s="1581"/>
      <c r="K83" s="1671">
        <f t="shared" si="11"/>
        <v>25214</v>
      </c>
      <c r="L83" s="1572">
        <v>45000</v>
      </c>
    </row>
    <row r="84" spans="1:12" ht="13.5" thickBot="1" x14ac:dyDescent="0.25">
      <c r="A84" s="1379" t="s">
        <v>1468</v>
      </c>
      <c r="B84" s="1384">
        <v>4100</v>
      </c>
      <c r="C84" s="1672"/>
      <c r="D84" s="1672"/>
      <c r="E84" s="1673">
        <f>SUM(E78:E83)</f>
        <v>144652</v>
      </c>
      <c r="F84" s="1672"/>
      <c r="G84" s="1672"/>
      <c r="H84" s="1673">
        <f>SUM(H78:H83)</f>
        <v>941731</v>
      </c>
      <c r="I84" s="1581"/>
      <c r="J84" s="1581"/>
      <c r="K84" s="1673">
        <f>SUM(K78:K83)</f>
        <v>1086383</v>
      </c>
      <c r="L84" s="1673">
        <f>SUM(L78:L83)</f>
        <v>805000</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c r="I86" s="1581"/>
      <c r="J86" s="1581"/>
      <c r="K86" s="1680">
        <f t="shared" ref="K86:K98" si="12">H86</f>
        <v>0</v>
      </c>
      <c r="L86" s="1625"/>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c r="I96" s="1581"/>
      <c r="J96" s="1581"/>
      <c r="K96" s="1680">
        <f t="shared" si="12"/>
        <v>0</v>
      </c>
      <c r="L96" s="1625"/>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144652</v>
      </c>
      <c r="F102" s="1672"/>
      <c r="G102" s="1672"/>
      <c r="H102" s="1680">
        <f>SUM(H84,H92,H100,H101)</f>
        <v>941731</v>
      </c>
      <c r="I102" s="1581"/>
      <c r="J102" s="1581"/>
      <c r="K102" s="1680">
        <f>SUM(K84,K92,K100,K101)</f>
        <v>1086383</v>
      </c>
      <c r="L102" s="1680">
        <f>SUM(L84,L92,L100,L101)</f>
        <v>805000</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8"/>
      <c r="N103" s="178"/>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c r="I105" s="1574"/>
      <c r="J105" s="1574"/>
      <c r="K105" s="1671">
        <f>H105</f>
        <v>0</v>
      </c>
      <c r="L105" s="1585"/>
      <c r="M105" s="204"/>
      <c r="N105" s="204"/>
    </row>
    <row r="106" spans="1:14" s="492" customFormat="1" x14ac:dyDescent="0.2">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4"/>
      <c r="N107" s="204"/>
    </row>
    <row r="108" spans="1:14" s="492" customFormat="1" x14ac:dyDescent="0.2">
      <c r="A108" s="1273" t="s">
        <v>89</v>
      </c>
      <c r="B108" s="502" t="s">
        <v>585</v>
      </c>
      <c r="C108" s="1672"/>
      <c r="D108" s="1672"/>
      <c r="E108" s="1672"/>
      <c r="F108" s="1672"/>
      <c r="G108" s="1672"/>
      <c r="H108" s="1572"/>
      <c r="I108" s="1574"/>
      <c r="J108" s="1574"/>
      <c r="K108" s="1671">
        <f>H108</f>
        <v>0</v>
      </c>
      <c r="L108" s="1572"/>
      <c r="M108" s="204"/>
      <c r="N108" s="204"/>
    </row>
    <row r="109" spans="1:14" s="492" customFormat="1" x14ac:dyDescent="0.2">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3754918</v>
      </c>
      <c r="D114" s="1673">
        <f t="shared" ref="D114:K114" si="13">SUM(D33,D74,D75,D102,D112,D113)</f>
        <v>668277</v>
      </c>
      <c r="E114" s="1673">
        <f t="shared" si="13"/>
        <v>848085</v>
      </c>
      <c r="F114" s="1673">
        <f t="shared" si="13"/>
        <v>272476</v>
      </c>
      <c r="G114" s="1673">
        <f t="shared" si="13"/>
        <v>67307</v>
      </c>
      <c r="H114" s="1673">
        <f>SUM(H33,H74,H75,H102,H112,H113)</f>
        <v>968408</v>
      </c>
      <c r="I114" s="1673">
        <f t="shared" si="13"/>
        <v>136063</v>
      </c>
      <c r="J114" s="1673">
        <f t="shared" si="13"/>
        <v>0</v>
      </c>
      <c r="K114" s="1673">
        <f t="shared" si="13"/>
        <v>6715534</v>
      </c>
      <c r="L114" s="1673">
        <f>SUM(L33,L74,L75,L102,L112,L113)</f>
        <v>6703486</v>
      </c>
    </row>
    <row r="115" spans="1:14" ht="13.5" thickTop="1" x14ac:dyDescent="0.2">
      <c r="A115" s="2290" t="s">
        <v>989</v>
      </c>
      <c r="B115" s="2291"/>
      <c r="C115" s="1674"/>
      <c r="D115" s="1674"/>
      <c r="E115" s="1674"/>
      <c r="F115" s="1674"/>
      <c r="G115" s="1674"/>
      <c r="H115" s="1674"/>
      <c r="I115" s="1674"/>
      <c r="J115" s="1674"/>
      <c r="K115" s="1688">
        <f>'Revenues 9-14'!C268-'Expenditures 15-22'!K114</f>
        <v>-68922</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899999999999999" customHeight="1" x14ac:dyDescent="0.2">
      <c r="A117" s="2268" t="s">
        <v>293</v>
      </c>
      <c r="B117" s="2269"/>
      <c r="C117" s="1690"/>
      <c r="D117" s="1691"/>
      <c r="E117" s="1691"/>
      <c r="F117" s="1691"/>
      <c r="G117" s="1691"/>
      <c r="H117" s="1691"/>
      <c r="I117" s="1691"/>
      <c r="J117" s="1691"/>
      <c r="K117" s="1691"/>
      <c r="L117" s="1692"/>
      <c r="M117" s="169"/>
      <c r="N117" s="169"/>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v>204114</v>
      </c>
      <c r="D124" s="1572">
        <v>52193</v>
      </c>
      <c r="E124" s="1572">
        <v>126549</v>
      </c>
      <c r="F124" s="1572">
        <v>144331</v>
      </c>
      <c r="G124" s="1572">
        <v>14589</v>
      </c>
      <c r="H124" s="1572"/>
      <c r="I124" s="1573">
        <v>8747</v>
      </c>
      <c r="J124" s="1573"/>
      <c r="K124" s="1673">
        <f>SUM(C124:J124)</f>
        <v>550523</v>
      </c>
      <c r="L124" s="1572">
        <v>613529</v>
      </c>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204114</v>
      </c>
      <c r="D127" s="1673">
        <f t="shared" ref="D127:L127" si="14">SUM(D122:D126)</f>
        <v>52193</v>
      </c>
      <c r="E127" s="1673">
        <f t="shared" si="14"/>
        <v>126549</v>
      </c>
      <c r="F127" s="1673">
        <f t="shared" si="14"/>
        <v>144331</v>
      </c>
      <c r="G127" s="1673">
        <f t="shared" si="14"/>
        <v>14589</v>
      </c>
      <c r="H127" s="1673">
        <f t="shared" si="14"/>
        <v>0</v>
      </c>
      <c r="I127" s="1673">
        <f t="shared" si="14"/>
        <v>8747</v>
      </c>
      <c r="J127" s="1673">
        <f t="shared" si="14"/>
        <v>0</v>
      </c>
      <c r="K127" s="1673">
        <f t="shared" si="14"/>
        <v>550523</v>
      </c>
      <c r="L127" s="1673">
        <f t="shared" si="14"/>
        <v>613529</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204114</v>
      </c>
      <c r="D129" s="1680">
        <f t="shared" ref="D129:L129" si="15">SUM(D120,D127,D128)</f>
        <v>52193</v>
      </c>
      <c r="E129" s="1680">
        <f t="shared" si="15"/>
        <v>126549</v>
      </c>
      <c r="F129" s="1680">
        <f t="shared" si="15"/>
        <v>144331</v>
      </c>
      <c r="G129" s="1680">
        <f t="shared" si="15"/>
        <v>14589</v>
      </c>
      <c r="H129" s="1680">
        <f t="shared" si="15"/>
        <v>0</v>
      </c>
      <c r="I129" s="1680">
        <f t="shared" si="15"/>
        <v>8747</v>
      </c>
      <c r="J129" s="1680">
        <f t="shared" si="15"/>
        <v>0</v>
      </c>
      <c r="K129" s="1680">
        <f t="shared" si="15"/>
        <v>550523</v>
      </c>
      <c r="L129" s="1680">
        <f t="shared" si="15"/>
        <v>613529</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0"/>
      <c r="N133" s="200"/>
    </row>
    <row r="134" spans="1:14" x14ac:dyDescent="0.2">
      <c r="A134" s="1273" t="s">
        <v>301</v>
      </c>
      <c r="B134" s="502">
        <v>4120</v>
      </c>
      <c r="C134" s="1672"/>
      <c r="D134" s="1672"/>
      <c r="E134" s="1582">
        <v>53942</v>
      </c>
      <c r="F134" s="1672"/>
      <c r="G134" s="1672"/>
      <c r="H134" s="1585"/>
      <c r="I134" s="1581"/>
      <c r="J134" s="1672"/>
      <c r="K134" s="1677">
        <f>SUM(E134,H134)</f>
        <v>53942</v>
      </c>
      <c r="L134" s="1585">
        <v>35000</v>
      </c>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53942</v>
      </c>
      <c r="F137" s="1672"/>
      <c r="G137" s="1672"/>
      <c r="H137" s="1673">
        <f>SUM(H133:H136)</f>
        <v>0</v>
      </c>
      <c r="I137" s="1581"/>
      <c r="J137" s="1672"/>
      <c r="K137" s="1673">
        <f>SUM(K133:K136)</f>
        <v>53942</v>
      </c>
      <c r="L137" s="1673">
        <f>SUM(L133:L136)</f>
        <v>35000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53942</v>
      </c>
      <c r="F139" s="1672"/>
      <c r="G139" s="1672"/>
      <c r="H139" s="1686">
        <f>SUM(H137:H138)</f>
        <v>0</v>
      </c>
      <c r="I139" s="1581"/>
      <c r="J139" s="1672"/>
      <c r="K139" s="1677">
        <f>SUM(K137,K138)</f>
        <v>53942</v>
      </c>
      <c r="L139" s="1686">
        <f>SUM(L137,L138)</f>
        <v>35000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80" t="s">
        <v>616</v>
      </c>
      <c r="B151" s="2262"/>
      <c r="C151" s="1673">
        <f>SUM(C129,C130,C139,C149,C150)</f>
        <v>204114</v>
      </c>
      <c r="D151" s="1673">
        <f t="shared" ref="D151:K151" si="16">SUM(D129,D130,D139,D149,D150)</f>
        <v>52193</v>
      </c>
      <c r="E151" s="1673">
        <f t="shared" si="16"/>
        <v>180491</v>
      </c>
      <c r="F151" s="1673">
        <f t="shared" si="16"/>
        <v>144331</v>
      </c>
      <c r="G151" s="1673">
        <f t="shared" si="16"/>
        <v>14589</v>
      </c>
      <c r="H151" s="1673">
        <f t="shared" si="16"/>
        <v>0</v>
      </c>
      <c r="I151" s="1673">
        <f t="shared" si="16"/>
        <v>8747</v>
      </c>
      <c r="J151" s="1673">
        <f t="shared" si="16"/>
        <v>0</v>
      </c>
      <c r="K151" s="1673">
        <f t="shared" si="16"/>
        <v>604465</v>
      </c>
      <c r="L151" s="1673">
        <f>SUM(L129,L130,L139,L149,L150)</f>
        <v>648529</v>
      </c>
    </row>
    <row r="152" spans="1:14" ht="12.75" customHeight="1" thickTop="1" x14ac:dyDescent="0.2">
      <c r="A152" s="2283" t="s">
        <v>1168</v>
      </c>
      <c r="B152" s="2284"/>
      <c r="C152" s="1674"/>
      <c r="D152" s="1674"/>
      <c r="E152" s="1674"/>
      <c r="F152" s="1674"/>
      <c r="G152" s="1674"/>
      <c r="H152" s="1674"/>
      <c r="I152" s="1674"/>
      <c r="J152" s="1672"/>
      <c r="K152" s="1688">
        <f>'Revenues 9-14'!D268-'Expenditures 15-22'!K151</f>
        <v>-10769</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899999999999999" customHeight="1" x14ac:dyDescent="0.2">
      <c r="A154" s="2268" t="s">
        <v>617</v>
      </c>
      <c r="B154" s="2270"/>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v>59501</v>
      </c>
      <c r="I169" s="1672"/>
      <c r="J169" s="1672"/>
      <c r="K169" s="1671">
        <f>SUM(C169:H169)</f>
        <v>59501</v>
      </c>
      <c r="L169" s="1694">
        <v>56956</v>
      </c>
    </row>
    <row r="170" spans="1:14" ht="33.75" customHeight="1" x14ac:dyDescent="0.2">
      <c r="A170" s="542" t="s">
        <v>1651</v>
      </c>
      <c r="B170" s="544" t="s">
        <v>31</v>
      </c>
      <c r="C170" s="1672"/>
      <c r="D170" s="1672"/>
      <c r="E170" s="1672"/>
      <c r="F170" s="1672"/>
      <c r="G170" s="1672"/>
      <c r="H170" s="1645">
        <v>380147</v>
      </c>
      <c r="I170" s="1672"/>
      <c r="J170" s="1672"/>
      <c r="K170" s="1671">
        <f>SUM(C170:J170)</f>
        <v>380147</v>
      </c>
      <c r="L170" s="1645">
        <v>360000</v>
      </c>
    </row>
    <row r="171" spans="1:14" ht="15.75" customHeight="1" x14ac:dyDescent="0.2">
      <c r="A171" s="506" t="s">
        <v>761</v>
      </c>
      <c r="B171" s="545" t="s">
        <v>84</v>
      </c>
      <c r="C171" s="1672"/>
      <c r="D171" s="1672"/>
      <c r="E171" s="1572"/>
      <c r="F171" s="1672"/>
      <c r="G171" s="1672"/>
      <c r="H171" s="1645">
        <v>500</v>
      </c>
      <c r="I171" s="1581"/>
      <c r="J171" s="1672"/>
      <c r="K171" s="1671">
        <f>SUM(C171:J171)</f>
        <v>500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440148</v>
      </c>
      <c r="I172" s="1683"/>
      <c r="J172" s="1672"/>
      <c r="K172" s="1680">
        <f>SUM(K168,K169,K170,K171)</f>
        <v>440148</v>
      </c>
      <c r="L172" s="1680">
        <f>SUM(L168,L169,L170,L171)</f>
        <v>416956</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440148</v>
      </c>
      <c r="I174" s="1683"/>
      <c r="J174" s="1672"/>
      <c r="K174" s="1680">
        <f>SUM(K160,K172,K173)</f>
        <v>440148</v>
      </c>
      <c r="L174" s="1680">
        <f>SUM(L160,L172,L173)</f>
        <v>416956</v>
      </c>
    </row>
    <row r="175" spans="1:14" ht="13.5" thickTop="1" x14ac:dyDescent="0.2">
      <c r="A175" s="2290" t="s">
        <v>989</v>
      </c>
      <c r="B175" s="2291"/>
      <c r="C175" s="1672"/>
      <c r="D175" s="1672"/>
      <c r="E175" s="1672"/>
      <c r="F175" s="1672"/>
      <c r="G175" s="1672"/>
      <c r="H175" s="1674"/>
      <c r="I175" s="1672"/>
      <c r="J175" s="1672"/>
      <c r="K175" s="1688">
        <f>'Revenues 9-14'!E268-'Expenditures 15-22'!K174</f>
        <v>-50587</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899999999999999"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c r="D182" s="1572"/>
      <c r="E182" s="1572">
        <v>104316</v>
      </c>
      <c r="F182" s="1572"/>
      <c r="G182" s="1572"/>
      <c r="H182" s="1572"/>
      <c r="I182" s="1573"/>
      <c r="J182" s="1573"/>
      <c r="K182" s="1671">
        <f>SUM(C182:J182)</f>
        <v>104316</v>
      </c>
      <c r="L182" s="1572">
        <v>150250</v>
      </c>
    </row>
    <row r="183" spans="1:14" ht="12.75" customHeight="1" thickBot="1" x14ac:dyDescent="0.25">
      <c r="A183" s="1278" t="s">
        <v>973</v>
      </c>
      <c r="B183" s="550">
        <v>2900</v>
      </c>
      <c r="C183" s="1648"/>
      <c r="D183" s="1648"/>
      <c r="E183" s="1648">
        <v>111803</v>
      </c>
      <c r="F183" s="1648"/>
      <c r="G183" s="1648"/>
      <c r="H183" s="1648"/>
      <c r="I183" s="1627"/>
      <c r="J183" s="1627"/>
      <c r="K183" s="1680">
        <f>SUM(C183:J183)</f>
        <v>111803</v>
      </c>
      <c r="L183" s="1648">
        <v>110000</v>
      </c>
    </row>
    <row r="184" spans="1:14" ht="12.75" customHeight="1" thickTop="1" thickBot="1" x14ac:dyDescent="0.25">
      <c r="A184" s="1392" t="s">
        <v>806</v>
      </c>
      <c r="B184" s="1380" t="s">
        <v>565</v>
      </c>
      <c r="C184" s="1680">
        <f>SUM(C180,C182,C183)</f>
        <v>0</v>
      </c>
      <c r="D184" s="1680">
        <f t="shared" ref="D184:J184" si="17">SUM(D180,D182,D183)</f>
        <v>0</v>
      </c>
      <c r="E184" s="1680">
        <f t="shared" si="17"/>
        <v>216119</v>
      </c>
      <c r="F184" s="1680">
        <f t="shared" si="17"/>
        <v>0</v>
      </c>
      <c r="G184" s="1680">
        <f t="shared" si="17"/>
        <v>0</v>
      </c>
      <c r="H184" s="1680">
        <f t="shared" si="17"/>
        <v>0</v>
      </c>
      <c r="I184" s="1680">
        <f t="shared" si="17"/>
        <v>0</v>
      </c>
      <c r="J184" s="1680">
        <f t="shared" si="17"/>
        <v>0</v>
      </c>
      <c r="K184" s="1680">
        <f>SUM(K180,K182,K183)</f>
        <v>216119</v>
      </c>
      <c r="L184" s="1680">
        <f>SUM(L180, L182:L183)</f>
        <v>260250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c r="I205" s="1672"/>
      <c r="J205" s="1672"/>
      <c r="K205" s="1695">
        <f>SUM(H205)</f>
        <v>0</v>
      </c>
      <c r="L205" s="1629"/>
    </row>
    <row r="206" spans="1:14" ht="30" customHeight="1" x14ac:dyDescent="0.2">
      <c r="A206" s="554" t="s">
        <v>1652</v>
      </c>
      <c r="B206" s="545" t="s">
        <v>31</v>
      </c>
      <c r="C206" s="1672"/>
      <c r="D206" s="1672"/>
      <c r="E206" s="1672"/>
      <c r="F206" s="1672"/>
      <c r="G206" s="1672"/>
      <c r="H206" s="1572"/>
      <c r="I206" s="1672"/>
      <c r="J206" s="1672"/>
      <c r="K206" s="1671">
        <f>SUM(H206)</f>
        <v>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0</v>
      </c>
      <c r="D210" s="1673">
        <f>SUM(D184,D185)</f>
        <v>0</v>
      </c>
      <c r="E210" s="1673">
        <f>SUM(E184,E185,E196)</f>
        <v>216119</v>
      </c>
      <c r="F210" s="1673">
        <f>SUM(F184,F185)</f>
        <v>0</v>
      </c>
      <c r="G210" s="1673">
        <f>SUM(G184,G185)</f>
        <v>0</v>
      </c>
      <c r="H210" s="1673">
        <f>SUM(H184,H185,H196,H208,H209)</f>
        <v>0</v>
      </c>
      <c r="I210" s="1673">
        <f>SUM(I184,I185)</f>
        <v>0</v>
      </c>
      <c r="J210" s="1673">
        <f>SUM(J184,J185)</f>
        <v>0</v>
      </c>
      <c r="K210" s="1671">
        <f>SUM(K184,K185,K196,K208,K209)</f>
        <v>216119</v>
      </c>
      <c r="L210" s="1673">
        <f>SUM(L184,L185,L196,L208,L209)</f>
        <v>260250</v>
      </c>
    </row>
    <row r="211" spans="1:14" ht="13.5" thickTop="1" x14ac:dyDescent="0.2">
      <c r="A211" s="2290" t="s">
        <v>989</v>
      </c>
      <c r="B211" s="2291"/>
      <c r="C211" s="1674"/>
      <c r="D211" s="1674"/>
      <c r="E211" s="1674"/>
      <c r="F211" s="1674"/>
      <c r="G211" s="1674"/>
      <c r="H211" s="1674"/>
      <c r="I211" s="1672"/>
      <c r="J211" s="1672"/>
      <c r="K211" s="1688">
        <f>'Revenues 9-14'!F268-'Expenditures 15-22'!K210</f>
        <v>67538</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899999999999999" customHeight="1" x14ac:dyDescent="0.2">
      <c r="A213" s="2285" t="s">
        <v>959</v>
      </c>
      <c r="B213" s="2286"/>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v>46665</v>
      </c>
      <c r="E215" s="1672"/>
      <c r="F215" s="1672"/>
      <c r="G215" s="1672"/>
      <c r="H215" s="1672"/>
      <c r="I215" s="1672"/>
      <c r="J215" s="1672"/>
      <c r="K215" s="1671">
        <f>D215</f>
        <v>46665</v>
      </c>
      <c r="L215" s="1572">
        <v>43850</v>
      </c>
    </row>
    <row r="216" spans="1:14" x14ac:dyDescent="0.2">
      <c r="A216" s="1273" t="s">
        <v>162</v>
      </c>
      <c r="B216" s="502" t="s">
        <v>961</v>
      </c>
      <c r="C216" s="1672"/>
      <c r="D216" s="1573">
        <v>13318</v>
      </c>
      <c r="E216" s="1672"/>
      <c r="F216" s="1672"/>
      <c r="G216" s="1672"/>
      <c r="H216" s="1672"/>
      <c r="I216" s="1672"/>
      <c r="J216" s="1672"/>
      <c r="K216" s="1671">
        <f t="shared" ref="K216:K228" si="19">D216</f>
        <v>13318</v>
      </c>
      <c r="L216" s="1572">
        <v>7500</v>
      </c>
    </row>
    <row r="217" spans="1:14" x14ac:dyDescent="0.2">
      <c r="A217" s="1273" t="s">
        <v>163</v>
      </c>
      <c r="B217" s="502">
        <v>1200</v>
      </c>
      <c r="C217" s="1672"/>
      <c r="D217" s="1572">
        <v>11855</v>
      </c>
      <c r="E217" s="1672"/>
      <c r="F217" s="1672"/>
      <c r="G217" s="1672"/>
      <c r="H217" s="1672"/>
      <c r="I217" s="1672"/>
      <c r="J217" s="1672"/>
      <c r="K217" s="1671">
        <f t="shared" si="19"/>
        <v>11855</v>
      </c>
      <c r="L217" s="1572">
        <v>9850</v>
      </c>
    </row>
    <row r="218" spans="1:14" x14ac:dyDescent="0.2">
      <c r="A218" s="1273" t="s">
        <v>276</v>
      </c>
      <c r="B218" s="502" t="s">
        <v>962</v>
      </c>
      <c r="C218" s="1672"/>
      <c r="D218" s="1573"/>
      <c r="E218" s="1672"/>
      <c r="F218" s="1672"/>
      <c r="G218" s="1672"/>
      <c r="H218" s="1672"/>
      <c r="I218" s="1672"/>
      <c r="J218" s="1672"/>
      <c r="K218" s="1671">
        <f t="shared" si="19"/>
        <v>0</v>
      </c>
      <c r="L218" s="1572"/>
    </row>
    <row r="219" spans="1:14" x14ac:dyDescent="0.2">
      <c r="A219" s="1273" t="s">
        <v>277</v>
      </c>
      <c r="B219" s="502">
        <v>1250</v>
      </c>
      <c r="C219" s="1672"/>
      <c r="D219" s="1572"/>
      <c r="E219" s="1672"/>
      <c r="F219" s="1672"/>
      <c r="G219" s="1672"/>
      <c r="H219" s="1672"/>
      <c r="I219" s="1672"/>
      <c r="J219" s="1672"/>
      <c r="K219" s="1671">
        <f t="shared" si="19"/>
        <v>0</v>
      </c>
      <c r="L219" s="1572"/>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v>1035</v>
      </c>
      <c r="E223" s="1672"/>
      <c r="F223" s="1672"/>
      <c r="G223" s="1672"/>
      <c r="H223" s="1672"/>
      <c r="I223" s="1672"/>
      <c r="J223" s="1672"/>
      <c r="K223" s="1671">
        <f t="shared" si="19"/>
        <v>1035</v>
      </c>
      <c r="L223" s="1572">
        <v>2827</v>
      </c>
    </row>
    <row r="224" spans="1:14" x14ac:dyDescent="0.2">
      <c r="A224" s="1273" t="s">
        <v>958</v>
      </c>
      <c r="B224" s="502">
        <v>1600</v>
      </c>
      <c r="C224" s="1672"/>
      <c r="D224" s="1572">
        <v>2101</v>
      </c>
      <c r="E224" s="1672"/>
      <c r="F224" s="1672"/>
      <c r="G224" s="1672"/>
      <c r="H224" s="1672"/>
      <c r="I224" s="1672"/>
      <c r="J224" s="1672"/>
      <c r="K224" s="1671">
        <f t="shared" si="19"/>
        <v>2101</v>
      </c>
      <c r="L224" s="1572">
        <v>1900</v>
      </c>
    </row>
    <row r="225" spans="1:12" x14ac:dyDescent="0.2">
      <c r="A225" s="1273" t="s">
        <v>980</v>
      </c>
      <c r="B225" s="502">
        <v>1650</v>
      </c>
      <c r="C225" s="1672"/>
      <c r="D225" s="1572"/>
      <c r="E225" s="1672"/>
      <c r="F225" s="1672"/>
      <c r="G225" s="1672"/>
      <c r="H225" s="1672"/>
      <c r="I225" s="1672"/>
      <c r="J225" s="1672"/>
      <c r="K225" s="1671">
        <f t="shared" si="19"/>
        <v>0</v>
      </c>
      <c r="L225" s="1572"/>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v>733</v>
      </c>
      <c r="E227" s="1672"/>
      <c r="F227" s="1672"/>
      <c r="G227" s="1672"/>
      <c r="H227" s="1672"/>
      <c r="I227" s="1672"/>
      <c r="J227" s="1672"/>
      <c r="K227" s="1671">
        <f t="shared" si="19"/>
        <v>733</v>
      </c>
      <c r="L227" s="1572">
        <v>950</v>
      </c>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75707</v>
      </c>
      <c r="E229" s="1672"/>
      <c r="F229" s="1672"/>
      <c r="G229" s="1672"/>
      <c r="H229" s="1672"/>
      <c r="I229" s="1672"/>
      <c r="J229" s="1672"/>
      <c r="K229" s="1673">
        <f>SUM(K215:K228)</f>
        <v>75707</v>
      </c>
      <c r="L229" s="1673">
        <f>SUM(L215:L228)</f>
        <v>66877</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v>796</v>
      </c>
      <c r="E232" s="1672"/>
      <c r="F232" s="1672"/>
      <c r="G232" s="1672"/>
      <c r="H232" s="1672"/>
      <c r="I232" s="1672"/>
      <c r="J232" s="1672"/>
      <c r="K232" s="1671">
        <f t="shared" ref="K232:K237" si="20">D232</f>
        <v>796</v>
      </c>
      <c r="L232" s="1572">
        <v>2000</v>
      </c>
    </row>
    <row r="233" spans="1:12" x14ac:dyDescent="0.2">
      <c r="A233" s="1273" t="s">
        <v>1081</v>
      </c>
      <c r="B233" s="502">
        <v>2120</v>
      </c>
      <c r="C233" s="1672"/>
      <c r="D233" s="1572">
        <v>7747</v>
      </c>
      <c r="E233" s="1672"/>
      <c r="F233" s="1672"/>
      <c r="G233" s="1672"/>
      <c r="H233" s="1672"/>
      <c r="I233" s="1672"/>
      <c r="J233" s="1672"/>
      <c r="K233" s="1671">
        <f t="shared" si="20"/>
        <v>7747</v>
      </c>
      <c r="L233" s="1572">
        <v>0</v>
      </c>
    </row>
    <row r="234" spans="1:12" x14ac:dyDescent="0.2">
      <c r="A234" s="1273" t="s">
        <v>196</v>
      </c>
      <c r="B234" s="502">
        <v>2130</v>
      </c>
      <c r="C234" s="1672"/>
      <c r="D234" s="1572"/>
      <c r="E234" s="1672"/>
      <c r="F234" s="1672"/>
      <c r="G234" s="1672"/>
      <c r="H234" s="1672"/>
      <c r="I234" s="1672"/>
      <c r="J234" s="1672"/>
      <c r="K234" s="1671">
        <f t="shared" si="20"/>
        <v>0</v>
      </c>
      <c r="L234" s="1572"/>
    </row>
    <row r="235" spans="1:12" x14ac:dyDescent="0.2">
      <c r="A235" s="1273" t="s">
        <v>197</v>
      </c>
      <c r="B235" s="502">
        <v>2140</v>
      </c>
      <c r="C235" s="1672"/>
      <c r="D235" s="1572">
        <v>880</v>
      </c>
      <c r="E235" s="1672"/>
      <c r="F235" s="1672"/>
      <c r="G235" s="1672"/>
      <c r="H235" s="1672"/>
      <c r="I235" s="1672"/>
      <c r="J235" s="1672"/>
      <c r="K235" s="1671">
        <f t="shared" si="20"/>
        <v>880</v>
      </c>
      <c r="L235" s="1572">
        <v>900</v>
      </c>
    </row>
    <row r="236" spans="1:12" x14ac:dyDescent="0.2">
      <c r="A236" s="1273" t="s">
        <v>198</v>
      </c>
      <c r="B236" s="502">
        <v>2150</v>
      </c>
      <c r="C236" s="1672"/>
      <c r="D236" s="1572"/>
      <c r="E236" s="1672"/>
      <c r="F236" s="1672"/>
      <c r="G236" s="1672"/>
      <c r="H236" s="1672"/>
      <c r="I236" s="1672"/>
      <c r="J236" s="1672"/>
      <c r="K236" s="1671">
        <f t="shared" si="20"/>
        <v>0</v>
      </c>
      <c r="L236" s="1572"/>
    </row>
    <row r="237" spans="1:12" x14ac:dyDescent="0.2">
      <c r="A237" s="1273" t="s">
        <v>164</v>
      </c>
      <c r="B237" s="502">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9423</v>
      </c>
      <c r="E238" s="1672"/>
      <c r="F238" s="1672"/>
      <c r="G238" s="1672"/>
      <c r="H238" s="1672"/>
      <c r="I238" s="1672"/>
      <c r="J238" s="1672"/>
      <c r="K238" s="1673">
        <f>SUM(K232:K237)</f>
        <v>9423</v>
      </c>
      <c r="L238" s="1673">
        <f>SUM(L232:L237)</f>
        <v>2900</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v>2094</v>
      </c>
      <c r="E240" s="1672"/>
      <c r="F240" s="1672"/>
      <c r="G240" s="1672"/>
      <c r="H240" s="1672"/>
      <c r="I240" s="1672"/>
      <c r="J240" s="1672"/>
      <c r="K240" s="1677">
        <f>D240</f>
        <v>2094</v>
      </c>
      <c r="L240" s="1585">
        <v>1400</v>
      </c>
    </row>
    <row r="241" spans="1:12" x14ac:dyDescent="0.2">
      <c r="A241" s="1273" t="s">
        <v>810</v>
      </c>
      <c r="B241" s="502">
        <v>2220</v>
      </c>
      <c r="C241" s="1672"/>
      <c r="D241" s="1572">
        <v>702</v>
      </c>
      <c r="E241" s="1672"/>
      <c r="F241" s="1672"/>
      <c r="G241" s="1672"/>
      <c r="H241" s="1672"/>
      <c r="I241" s="1672"/>
      <c r="J241" s="1672"/>
      <c r="K241" s="1677">
        <f>D241</f>
        <v>702</v>
      </c>
      <c r="L241" s="1572">
        <v>1000</v>
      </c>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2796</v>
      </c>
      <c r="E243" s="1672"/>
      <c r="F243" s="1672"/>
      <c r="G243" s="1672"/>
      <c r="H243" s="1672"/>
      <c r="I243" s="1672"/>
      <c r="J243" s="1672"/>
      <c r="K243" s="1673">
        <f>SUM(K240:K242)</f>
        <v>2796</v>
      </c>
      <c r="L243" s="1673">
        <f>SUM(L240:L242)</f>
        <v>2400</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v>351</v>
      </c>
      <c r="E245" s="1672"/>
      <c r="F245" s="1672"/>
      <c r="G245" s="1672"/>
      <c r="H245" s="1672"/>
      <c r="I245" s="1672"/>
      <c r="J245" s="1672"/>
      <c r="K245" s="1677">
        <f>D245</f>
        <v>351</v>
      </c>
      <c r="L245" s="1585">
        <v>1200</v>
      </c>
    </row>
    <row r="246" spans="1:12" x14ac:dyDescent="0.2">
      <c r="A246" s="1273" t="s">
        <v>813</v>
      </c>
      <c r="B246" s="502">
        <v>2320</v>
      </c>
      <c r="C246" s="1672"/>
      <c r="D246" s="1572">
        <v>9176</v>
      </c>
      <c r="E246" s="1672"/>
      <c r="F246" s="1672"/>
      <c r="G246" s="1672"/>
      <c r="H246" s="1672"/>
      <c r="I246" s="1672"/>
      <c r="J246" s="1672"/>
      <c r="K246" s="1677">
        <f t="shared" ref="K246:K256" si="21">D246</f>
        <v>9176</v>
      </c>
      <c r="L246" s="1572">
        <v>7310</v>
      </c>
    </row>
    <row r="247" spans="1:12" x14ac:dyDescent="0.2">
      <c r="A247" s="1273" t="s">
        <v>814</v>
      </c>
      <c r="B247" s="502">
        <v>2330</v>
      </c>
      <c r="C247" s="1672"/>
      <c r="D247" s="1572"/>
      <c r="E247" s="1672"/>
      <c r="F247" s="1672"/>
      <c r="G247" s="1672"/>
      <c r="H247" s="1672"/>
      <c r="I247" s="1672"/>
      <c r="J247" s="1672"/>
      <c r="K247" s="1677">
        <f t="shared" si="21"/>
        <v>0</v>
      </c>
      <c r="L247" s="1572">
        <v>4460</v>
      </c>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9527</v>
      </c>
      <c r="E257" s="1672"/>
      <c r="F257" s="1672"/>
      <c r="G257" s="1672"/>
      <c r="H257" s="1672"/>
      <c r="I257" s="1672"/>
      <c r="J257" s="1672"/>
      <c r="K257" s="1673">
        <f>SUM(K245:K256)</f>
        <v>9527</v>
      </c>
      <c r="L257" s="1673">
        <f>SUM(L245:L256)</f>
        <v>12970</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v>17364</v>
      </c>
      <c r="E259" s="1672"/>
      <c r="F259" s="1672"/>
      <c r="G259" s="1672"/>
      <c r="H259" s="1672"/>
      <c r="I259" s="1672"/>
      <c r="J259" s="1672"/>
      <c r="K259" s="1677">
        <f>D259</f>
        <v>17364</v>
      </c>
      <c r="L259" s="1585">
        <v>14900</v>
      </c>
    </row>
    <row r="260" spans="1:14" s="492" customFormat="1" x14ac:dyDescent="0.2">
      <c r="A260" s="1291" t="s">
        <v>1781</v>
      </c>
      <c r="B260" s="511">
        <v>2490</v>
      </c>
      <c r="C260" s="1672"/>
      <c r="D260" s="1572"/>
      <c r="E260" s="1672"/>
      <c r="F260" s="1672"/>
      <c r="G260" s="1672"/>
      <c r="H260" s="1672"/>
      <c r="I260" s="1672"/>
      <c r="J260" s="1672"/>
      <c r="K260" s="1677">
        <f>D260</f>
        <v>0</v>
      </c>
      <c r="L260" s="1572"/>
      <c r="M260" s="204"/>
      <c r="N260" s="204"/>
    </row>
    <row r="261" spans="1:14" ht="12.75" customHeight="1" thickBot="1" x14ac:dyDescent="0.25">
      <c r="A261" s="1393" t="s">
        <v>261</v>
      </c>
      <c r="B261" s="1398" t="s">
        <v>34</v>
      </c>
      <c r="C261" s="1672"/>
      <c r="D261" s="1673">
        <f>SUM(D259:D260)</f>
        <v>17364</v>
      </c>
      <c r="E261" s="1672"/>
      <c r="F261" s="1672"/>
      <c r="G261" s="1672"/>
      <c r="H261" s="1672"/>
      <c r="I261" s="1672"/>
      <c r="J261" s="1672"/>
      <c r="K261" s="1673">
        <f>SUM(K259:K260)</f>
        <v>17364</v>
      </c>
      <c r="L261" s="1673">
        <f>SUM(L259:L260)</f>
        <v>14900</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v>1623</v>
      </c>
      <c r="E263" s="1672"/>
      <c r="F263" s="1672"/>
      <c r="G263" s="1672"/>
      <c r="H263" s="1672"/>
      <c r="I263" s="1672"/>
      <c r="J263" s="1672"/>
      <c r="K263" s="1677">
        <f>D263</f>
        <v>1623</v>
      </c>
      <c r="L263" s="1585">
        <v>1600</v>
      </c>
    </row>
    <row r="264" spans="1:14" x14ac:dyDescent="0.2">
      <c r="A264" s="1273" t="s">
        <v>460</v>
      </c>
      <c r="B264" s="558">
        <v>2520</v>
      </c>
      <c r="C264" s="1672"/>
      <c r="D264" s="1572">
        <v>1565</v>
      </c>
      <c r="E264" s="1672"/>
      <c r="F264" s="1672"/>
      <c r="G264" s="1672"/>
      <c r="H264" s="1672"/>
      <c r="I264" s="1672"/>
      <c r="J264" s="1672"/>
      <c r="K264" s="1677">
        <f t="shared" ref="K264:K269" si="22">D264</f>
        <v>1565</v>
      </c>
      <c r="L264" s="1572">
        <v>12350</v>
      </c>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v>36746</v>
      </c>
      <c r="E266" s="1672"/>
      <c r="F266" s="1672"/>
      <c r="G266" s="1672"/>
      <c r="H266" s="1672"/>
      <c r="I266" s="1672"/>
      <c r="J266" s="1672"/>
      <c r="K266" s="1677">
        <f t="shared" si="22"/>
        <v>36746</v>
      </c>
      <c r="L266" s="1572">
        <v>44800</v>
      </c>
    </row>
    <row r="267" spans="1:14" x14ac:dyDescent="0.2">
      <c r="A267" s="1273" t="s">
        <v>947</v>
      </c>
      <c r="B267" s="502">
        <v>2550</v>
      </c>
      <c r="C267" s="1672"/>
      <c r="D267" s="1572"/>
      <c r="E267" s="1672"/>
      <c r="F267" s="1672"/>
      <c r="G267" s="1672"/>
      <c r="H267" s="1672"/>
      <c r="I267" s="1672"/>
      <c r="J267" s="1672"/>
      <c r="K267" s="1677">
        <f t="shared" si="22"/>
        <v>0</v>
      </c>
      <c r="L267" s="1572"/>
    </row>
    <row r="268" spans="1:14" x14ac:dyDescent="0.2">
      <c r="A268" s="1273" t="s">
        <v>100</v>
      </c>
      <c r="B268" s="502">
        <v>2560</v>
      </c>
      <c r="C268" s="1672"/>
      <c r="D268" s="1572">
        <v>13693</v>
      </c>
      <c r="E268" s="1672"/>
      <c r="F268" s="1672"/>
      <c r="G268" s="1672"/>
      <c r="H268" s="1672"/>
      <c r="I268" s="1672"/>
      <c r="J268" s="1672"/>
      <c r="K268" s="1677">
        <f t="shared" si="22"/>
        <v>13693</v>
      </c>
      <c r="L268" s="1572">
        <v>18150</v>
      </c>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53627</v>
      </c>
      <c r="E270" s="1672"/>
      <c r="F270" s="1672"/>
      <c r="G270" s="1672"/>
      <c r="H270" s="1672"/>
      <c r="I270" s="1672"/>
      <c r="J270" s="1672"/>
      <c r="K270" s="1673">
        <f>SUM(K263:K269)</f>
        <v>53627</v>
      </c>
      <c r="L270" s="1673">
        <f>SUM(L263:L269)</f>
        <v>76900</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v>2097</v>
      </c>
      <c r="E275" s="1672"/>
      <c r="F275" s="1672"/>
      <c r="G275" s="1672"/>
      <c r="H275" s="1672"/>
      <c r="I275" s="1672"/>
      <c r="J275" s="1672"/>
      <c r="K275" s="1677">
        <f>D275</f>
        <v>2097</v>
      </c>
      <c r="L275" s="1572"/>
    </row>
    <row r="276" spans="1:12" x14ac:dyDescent="0.2">
      <c r="A276" s="1273" t="s">
        <v>401</v>
      </c>
      <c r="B276" s="502">
        <v>2660</v>
      </c>
      <c r="C276" s="1672"/>
      <c r="D276" s="1572">
        <v>20683</v>
      </c>
      <c r="E276" s="1672"/>
      <c r="F276" s="1672"/>
      <c r="G276" s="1672"/>
      <c r="H276" s="1672"/>
      <c r="I276" s="1672"/>
      <c r="J276" s="1672"/>
      <c r="K276" s="1677">
        <f>D276</f>
        <v>20683</v>
      </c>
      <c r="L276" s="1572">
        <v>21200</v>
      </c>
    </row>
    <row r="277" spans="1:12" ht="12.75" customHeight="1" thickBot="1" x14ac:dyDescent="0.25">
      <c r="A277" s="1392" t="s">
        <v>37</v>
      </c>
      <c r="B277" s="1380" t="s">
        <v>36</v>
      </c>
      <c r="C277" s="1672"/>
      <c r="D277" s="1673">
        <f>SUM(D272:D276)</f>
        <v>22780</v>
      </c>
      <c r="E277" s="1672"/>
      <c r="F277" s="1672"/>
      <c r="G277" s="1672"/>
      <c r="H277" s="1672"/>
      <c r="I277" s="1672"/>
      <c r="J277" s="1672"/>
      <c r="K277" s="1673">
        <f>SUM(K272:K276)</f>
        <v>22780</v>
      </c>
      <c r="L277" s="1673">
        <f>SUM(L272:L276)</f>
        <v>21200</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115517</v>
      </c>
      <c r="E279" s="1672"/>
      <c r="F279" s="1672"/>
      <c r="G279" s="1672"/>
      <c r="H279" s="1672"/>
      <c r="I279" s="1672"/>
      <c r="J279" s="1672"/>
      <c r="K279" s="1680">
        <f>SUM(K238,K243,K257,K261,K270,K277,K278)</f>
        <v>115517</v>
      </c>
      <c r="L279" s="1680">
        <f>SUM(L238,L243,L257,L261,L270,L277,L278)</f>
        <v>131270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1" t="s">
        <v>502</v>
      </c>
      <c r="B295" s="2282"/>
      <c r="C295" s="1672"/>
      <c r="D295" s="1673">
        <f>SUM(D229,D279,D280,D285)</f>
        <v>191224</v>
      </c>
      <c r="E295" s="1672"/>
      <c r="F295" s="1672"/>
      <c r="G295" s="1672"/>
      <c r="H295" s="1673">
        <f>H293</f>
        <v>0</v>
      </c>
      <c r="I295" s="1672"/>
      <c r="J295" s="1672"/>
      <c r="K295" s="1673">
        <f>SUM(K229,K279,K280,K285,K293,K294)</f>
        <v>191224</v>
      </c>
      <c r="L295" s="1673">
        <f>SUM(L229,L279,L280,L285,L293,L294)</f>
        <v>198147</v>
      </c>
    </row>
    <row r="296" spans="1:14" ht="13.5" thickTop="1" x14ac:dyDescent="0.2">
      <c r="A296" s="2290" t="s">
        <v>989</v>
      </c>
      <c r="B296" s="2291"/>
      <c r="C296" s="1672"/>
      <c r="D296" s="1674"/>
      <c r="E296" s="1672"/>
      <c r="F296" s="1672"/>
      <c r="G296" s="1672"/>
      <c r="H296" s="1706"/>
      <c r="I296" s="1672"/>
      <c r="J296" s="1672"/>
      <c r="K296" s="1688">
        <f>'Revenues 9-14'!G268-'Expenditures 15-22'!K295</f>
        <v>-86008</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899999999999999" customHeight="1" x14ac:dyDescent="0.2">
      <c r="A298" s="2273" t="s">
        <v>142</v>
      </c>
      <c r="B298" s="2267"/>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v>1264</v>
      </c>
      <c r="F301" s="1572"/>
      <c r="G301" s="1572">
        <v>136019</v>
      </c>
      <c r="H301" s="1572"/>
      <c r="I301" s="1573"/>
      <c r="J301" s="1573"/>
      <c r="K301" s="1671">
        <f>SUM(C301:J301)</f>
        <v>137283</v>
      </c>
      <c r="L301" s="1573">
        <v>138400</v>
      </c>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1264</v>
      </c>
      <c r="F303" s="1680">
        <f t="shared" si="23"/>
        <v>0</v>
      </c>
      <c r="G303" s="1680">
        <f t="shared" si="23"/>
        <v>136019</v>
      </c>
      <c r="H303" s="1680">
        <f t="shared" si="23"/>
        <v>0</v>
      </c>
      <c r="I303" s="1680">
        <f t="shared" si="23"/>
        <v>0</v>
      </c>
      <c r="J303" s="1680">
        <f t="shared" si="23"/>
        <v>0</v>
      </c>
      <c r="K303" s="1680">
        <f t="shared" si="23"/>
        <v>137283</v>
      </c>
      <c r="L303" s="1680">
        <f t="shared" si="23"/>
        <v>138400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278" t="s">
        <v>275</v>
      </c>
      <c r="B312" s="2279"/>
      <c r="C312" s="1673">
        <f>SUM(C303)</f>
        <v>0</v>
      </c>
      <c r="D312" s="1673">
        <f>SUM(D303)</f>
        <v>0</v>
      </c>
      <c r="E312" s="1673">
        <f>SUM(E303,E310)</f>
        <v>1264</v>
      </c>
      <c r="F312" s="1673">
        <f>SUM(F303)</f>
        <v>0</v>
      </c>
      <c r="G312" s="1673">
        <f>SUM(G303)</f>
        <v>136019</v>
      </c>
      <c r="H312" s="1673">
        <f>SUM(H303,H310)</f>
        <v>0</v>
      </c>
      <c r="I312" s="1673">
        <f>SUM(I303)</f>
        <v>0</v>
      </c>
      <c r="J312" s="1673">
        <f>SUM(J303)</f>
        <v>0</v>
      </c>
      <c r="K312" s="1673">
        <f>SUM(K303,K310,K311)</f>
        <v>137283</v>
      </c>
      <c r="L312" s="1673">
        <f>SUM(L303,L310,L311)</f>
        <v>138400</v>
      </c>
      <c r="M312" s="538"/>
      <c r="N312" s="538"/>
    </row>
    <row r="313" spans="1:14" ht="13.5" thickTop="1" x14ac:dyDescent="0.2">
      <c r="A313" s="2274" t="s">
        <v>989</v>
      </c>
      <c r="B313" s="2275"/>
      <c r="C313" s="1676"/>
      <c r="D313" s="1676"/>
      <c r="E313" s="1676"/>
      <c r="F313" s="1676"/>
      <c r="G313" s="1676"/>
      <c r="H313" s="1676"/>
      <c r="I313" s="1676"/>
      <c r="J313" s="1676"/>
      <c r="K313" s="1695">
        <f>'Revenues 9-14'!H268-'Expenditures 15-22'!K312</f>
        <v>-85172</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899999999999999" customHeight="1" x14ac:dyDescent="0.2">
      <c r="A315" s="2287" t="s">
        <v>148</v>
      </c>
      <c r="B315" s="2288"/>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899999999999999" customHeight="1" x14ac:dyDescent="0.2">
      <c r="A317" s="2289" t="s">
        <v>892</v>
      </c>
      <c r="B317" s="2288"/>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v>35053</v>
      </c>
      <c r="F320" s="1573"/>
      <c r="G320" s="1573"/>
      <c r="H320" s="1573"/>
      <c r="I320" s="1573"/>
      <c r="J320" s="1573"/>
      <c r="K320" s="1671">
        <f t="shared" ref="K320:K327" si="24">SUM(C320:J320)</f>
        <v>35053</v>
      </c>
      <c r="L320" s="1573">
        <v>35053</v>
      </c>
      <c r="M320" s="538"/>
      <c r="N320" s="538"/>
    </row>
    <row r="321" spans="1:14" s="547" customFormat="1" x14ac:dyDescent="0.2">
      <c r="A321" s="1288" t="s">
        <v>297</v>
      </c>
      <c r="B321" s="566" t="s">
        <v>281</v>
      </c>
      <c r="C321" s="1573"/>
      <c r="D321" s="1573"/>
      <c r="E321" s="1573">
        <v>35747</v>
      </c>
      <c r="F321" s="1573"/>
      <c r="G321" s="1573"/>
      <c r="H321" s="1573"/>
      <c r="I321" s="1573"/>
      <c r="J321" s="1573"/>
      <c r="K321" s="1671">
        <f t="shared" si="24"/>
        <v>35747</v>
      </c>
      <c r="L321" s="1573">
        <v>10600</v>
      </c>
      <c r="M321" s="538"/>
      <c r="N321" s="538"/>
    </row>
    <row r="322" spans="1:14" s="547" customFormat="1" x14ac:dyDescent="0.2">
      <c r="A322" s="1288" t="s">
        <v>236</v>
      </c>
      <c r="B322" s="566" t="s">
        <v>282</v>
      </c>
      <c r="C322" s="1573"/>
      <c r="D322" s="1573"/>
      <c r="E322" s="1573">
        <v>-2934</v>
      </c>
      <c r="F322" s="1573"/>
      <c r="G322" s="1573"/>
      <c r="H322" s="1573"/>
      <c r="I322" s="1573"/>
      <c r="J322" s="1573"/>
      <c r="K322" s="1671">
        <f t="shared" si="24"/>
        <v>-2934</v>
      </c>
      <c r="L322" s="1573">
        <v>0</v>
      </c>
      <c r="M322" s="538"/>
      <c r="N322" s="538"/>
    </row>
    <row r="323" spans="1:14" s="547" customFormat="1" x14ac:dyDescent="0.2">
      <c r="A323" s="1288" t="s">
        <v>697</v>
      </c>
      <c r="B323" s="566" t="s">
        <v>283</v>
      </c>
      <c r="C323" s="1573"/>
      <c r="D323" s="1573"/>
      <c r="E323" s="1573">
        <v>61183</v>
      </c>
      <c r="F323" s="1573"/>
      <c r="G323" s="1573"/>
      <c r="H323" s="1573"/>
      <c r="I323" s="1573"/>
      <c r="J323" s="1573"/>
      <c r="K323" s="1671">
        <f t="shared" si="24"/>
        <v>61183</v>
      </c>
      <c r="L323" s="1573">
        <v>58000</v>
      </c>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v>105436</v>
      </c>
      <c r="F327" s="1573"/>
      <c r="G327" s="1573"/>
      <c r="H327" s="1573"/>
      <c r="I327" s="1573"/>
      <c r="J327" s="1573"/>
      <c r="K327" s="1671">
        <f t="shared" si="24"/>
        <v>105436</v>
      </c>
      <c r="L327" s="1573">
        <v>100000</v>
      </c>
      <c r="M327" s="538"/>
      <c r="N327" s="538"/>
    </row>
    <row r="328" spans="1:14" s="547" customFormat="1" x14ac:dyDescent="0.2">
      <c r="A328" s="1289" t="s">
        <v>469</v>
      </c>
      <c r="B328" s="561" t="s">
        <v>1122</v>
      </c>
      <c r="C328" s="1578"/>
      <c r="D328" s="1578"/>
      <c r="E328" s="1578"/>
      <c r="F328" s="1578"/>
      <c r="G328" s="1578"/>
      <c r="H328" s="1578"/>
      <c r="I328" s="1578"/>
      <c r="J328" s="1578"/>
      <c r="K328" s="1712">
        <f>SUM(C328:J328)</f>
        <v>0</v>
      </c>
      <c r="L328" s="1578"/>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234485</v>
      </c>
      <c r="F330" s="1673">
        <f t="shared" si="25"/>
        <v>0</v>
      </c>
      <c r="G330" s="1673">
        <f t="shared" si="25"/>
        <v>0</v>
      </c>
      <c r="H330" s="1673">
        <f t="shared" si="25"/>
        <v>0</v>
      </c>
      <c r="I330" s="1673">
        <f t="shared" si="25"/>
        <v>0</v>
      </c>
      <c r="J330" s="1673">
        <f t="shared" si="25"/>
        <v>0</v>
      </c>
      <c r="K330" s="1673">
        <f>SUM(K319:K329)</f>
        <v>234485</v>
      </c>
      <c r="L330" s="1673">
        <f>SUM(L319:L329)</f>
        <v>203653</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234485</v>
      </c>
      <c r="F342" s="1673">
        <f>SUM(F330)</f>
        <v>0</v>
      </c>
      <c r="G342" s="1673">
        <f>SUM(G330)</f>
        <v>0</v>
      </c>
      <c r="H342" s="1673">
        <f>SUM(H330,H334,H340)</f>
        <v>0</v>
      </c>
      <c r="I342" s="1673">
        <f>SUM(I330)</f>
        <v>0</v>
      </c>
      <c r="J342" s="1673">
        <f>SUM(J330)</f>
        <v>0</v>
      </c>
      <c r="K342" s="1673">
        <f>SUM(K330,K334,K340)</f>
        <v>234485</v>
      </c>
      <c r="L342" s="1680">
        <f>SUM(L330,L334,L340,L341)</f>
        <v>203653</v>
      </c>
    </row>
    <row r="343" spans="1:14" ht="12.75" customHeight="1" thickTop="1" x14ac:dyDescent="0.2">
      <c r="A343" s="2276" t="s">
        <v>989</v>
      </c>
      <c r="B343" s="2277"/>
      <c r="C343" s="1672"/>
      <c r="D343" s="1672"/>
      <c r="E343" s="1672"/>
      <c r="F343" s="1672"/>
      <c r="G343" s="1672"/>
      <c r="H343" s="1672"/>
      <c r="I343" s="1672"/>
      <c r="J343" s="1672"/>
      <c r="K343" s="1688">
        <f>'Revenues 9-14'!J268-'Expenditures 15-22'!K342</f>
        <v>-21915</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899999999999999" customHeight="1" x14ac:dyDescent="0.2">
      <c r="A345" s="2266" t="s">
        <v>960</v>
      </c>
      <c r="B345" s="2267"/>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v>5029</v>
      </c>
      <c r="F348" s="1572"/>
      <c r="G348" s="1572">
        <v>352844</v>
      </c>
      <c r="H348" s="1572"/>
      <c r="I348" s="1573"/>
      <c r="J348" s="1573"/>
      <c r="K348" s="1671">
        <f>SUM(C348:J348)</f>
        <v>357873</v>
      </c>
      <c r="L348" s="1572">
        <v>426276</v>
      </c>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5029</v>
      </c>
      <c r="F350" s="1673">
        <f t="shared" si="26"/>
        <v>0</v>
      </c>
      <c r="G350" s="1673">
        <f t="shared" si="26"/>
        <v>352844</v>
      </c>
      <c r="H350" s="1673">
        <f t="shared" si="26"/>
        <v>0</v>
      </c>
      <c r="I350" s="1673">
        <f t="shared" si="26"/>
        <v>0</v>
      </c>
      <c r="J350" s="1673">
        <f t="shared" si="26"/>
        <v>0</v>
      </c>
      <c r="K350" s="1673">
        <f t="shared" si="26"/>
        <v>357873</v>
      </c>
      <c r="L350" s="1673">
        <f t="shared" si="26"/>
        <v>426276</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5029</v>
      </c>
      <c r="F352" s="1673">
        <f t="shared" si="27"/>
        <v>0</v>
      </c>
      <c r="G352" s="1673">
        <f t="shared" si="27"/>
        <v>352844</v>
      </c>
      <c r="H352" s="1673">
        <f t="shared" si="27"/>
        <v>0</v>
      </c>
      <c r="I352" s="1673">
        <f t="shared" si="27"/>
        <v>0</v>
      </c>
      <c r="J352" s="1673">
        <f t="shared" si="27"/>
        <v>0</v>
      </c>
      <c r="K352" s="1673">
        <f t="shared" si="27"/>
        <v>357873</v>
      </c>
      <c r="L352" s="1673">
        <f t="shared" si="27"/>
        <v>426276</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5029</v>
      </c>
      <c r="F367" s="1673">
        <f t="shared" si="28"/>
        <v>0</v>
      </c>
      <c r="G367" s="1673">
        <f t="shared" si="28"/>
        <v>352844</v>
      </c>
      <c r="H367" s="1673">
        <f t="shared" si="28"/>
        <v>0</v>
      </c>
      <c r="I367" s="1673">
        <f t="shared" si="28"/>
        <v>0</v>
      </c>
      <c r="J367" s="1673">
        <f t="shared" si="28"/>
        <v>0</v>
      </c>
      <c r="K367" s="1673">
        <f t="shared" si="28"/>
        <v>357873</v>
      </c>
      <c r="L367" s="1673">
        <f t="shared" si="28"/>
        <v>426276</v>
      </c>
    </row>
    <row r="368" spans="1:14" ht="13.5" thickTop="1" x14ac:dyDescent="0.2">
      <c r="A368" s="2290" t="s">
        <v>989</v>
      </c>
      <c r="B368" s="2291"/>
      <c r="C368" s="1693"/>
      <c r="D368" s="1693"/>
      <c r="E368" s="1676"/>
      <c r="F368" s="1676"/>
      <c r="G368" s="1676"/>
      <c r="H368" s="1676"/>
      <c r="I368" s="1676"/>
      <c r="J368" s="1675"/>
      <c r="K368" s="1671">
        <f>'Revenues 9-14'!K268-'Expenditures 15-22'!K367</f>
        <v>-285108</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4d435f69-8686-490b-bd6d-b153bf22ab50"/>
    <ds:schemaRef ds:uri="http://www.w3.org/XML/1998/namespace"/>
    <ds:schemaRef ds:uri="http://schemas.microsoft.com/sharepoint/v3"/>
    <ds:schemaRef ds:uri="d21dc803-237d-4c68-8692-8d731fd29118"/>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2020-12-04T19:26:14Z</cp:lastPrinted>
  <dcterms:created xsi:type="dcterms:W3CDTF">2003-10-29T19:06:34Z</dcterms:created>
  <dcterms:modified xsi:type="dcterms:W3CDTF">2020-12-09T22:45:56Z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vt:lpwstr>
  </property>
  <property fmtid="{D5CDD505-2E9C-101B-9397-08002B2CF9AE}" pid="6" name="tabIndex">
    <vt:lpwstr>150</vt:lpwstr>
  </property>
  <property fmtid="{D5CDD505-2E9C-101B-9397-08002B2CF9AE}" pid="7" name="workpaperIndex">
    <vt:lpwstr/>
  </property>
</Properties>
</file>