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87CFC83-9A57-49B4-937D-9ECB41802DD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 SEFA (2)" sheetId="179"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6" l="1"/>
  <c r="L26" i="186"/>
  <c r="L25" i="186"/>
  <c r="L24" i="186"/>
  <c r="L23" i="186"/>
  <c r="L22" i="186"/>
  <c r="L21" i="186"/>
  <c r="L20" i="186"/>
  <c r="L19" i="186"/>
  <c r="L18" i="186"/>
  <c r="L17" i="186"/>
  <c r="L16" i="186"/>
  <c r="L15" i="186"/>
  <c r="L14" i="186"/>
  <c r="L13" i="186"/>
  <c r="L12" i="186"/>
  <c r="L11" i="186"/>
  <c r="I9" i="186"/>
  <c r="G9" i="186"/>
  <c r="F9" i="186"/>
  <c r="E9" i="186"/>
  <c r="J8" i="186"/>
  <c r="H8" i="186"/>
  <c r="L27" i="179"/>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B5752" i="106"/>
  <c r="D5752"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G33" i="108"/>
  <c r="E17" i="184"/>
  <c r="H17" i="184" s="1"/>
  <c r="D24" i="37"/>
  <c r="B4270" i="106" s="1"/>
  <c r="D4270" i="106" s="1"/>
  <c r="D22" i="37"/>
  <c r="F52" i="34"/>
  <c r="B7831" i="106" s="1"/>
  <c r="D7831" i="106" s="1"/>
  <c r="D36" i="108"/>
  <c r="F36" i="108"/>
  <c r="D68" i="36"/>
  <c r="H342" i="29"/>
  <c r="B7696" i="106"/>
  <c r="D7696" i="106" s="1"/>
  <c r="E66" i="184"/>
  <c r="N66" i="184" s="1"/>
  <c r="B7189" i="106"/>
  <c r="D7189" i="106" s="1"/>
  <c r="E64" i="184"/>
  <c r="N64" i="184" s="1"/>
  <c r="B7171" i="106"/>
  <c r="D7171" i="106" s="1"/>
  <c r="E62" i="184"/>
  <c r="N62" i="184" s="1"/>
  <c r="B7047" i="106"/>
  <c r="D7047" i="106" s="1"/>
  <c r="B6995" i="106"/>
  <c r="D6995" i="106" s="1"/>
  <c r="B2724" i="106"/>
  <c r="D2724" i="106" s="1"/>
  <c r="B7153" i="106"/>
  <c r="D7153" i="106" s="1"/>
  <c r="E60" i="184"/>
  <c r="N60" i="184" s="1"/>
  <c r="B7135" i="106"/>
  <c r="D7135" i="106" s="1"/>
  <c r="E58" i="184"/>
  <c r="D31" i="108"/>
  <c r="E16" i="184"/>
  <c r="H16" i="184" s="1"/>
  <c r="G30" i="108"/>
  <c r="H12" i="184"/>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2031" i="106"/>
  <c r="D2031"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K77" i="4"/>
  <c r="B3587" i="106" s="1"/>
  <c r="D3587" i="106" s="1"/>
  <c r="E367" i="29"/>
  <c r="B3635" i="106"/>
  <c r="B6216" i="106"/>
  <c r="D6216" i="106" s="1"/>
  <c r="L16" i="11"/>
  <c r="B2061" i="106" s="1"/>
  <c r="D2061" i="106" s="1"/>
  <c r="N23" i="3"/>
  <c r="B284" i="106" s="1"/>
  <c r="D284" i="106" s="1"/>
  <c r="K342" i="29"/>
  <c r="F13" i="34" s="1"/>
  <c r="N58" i="184"/>
  <c r="N68" i="184" s="1"/>
  <c r="E68" i="184"/>
  <c r="F41" i="108"/>
  <c r="G43" i="108" s="1"/>
  <c r="B1381" i="106"/>
  <c r="D1381" i="106" s="1"/>
  <c r="B5527" i="106"/>
  <c r="D5527" i="106" s="1"/>
  <c r="H19" i="184"/>
  <c r="L20" i="184" s="1"/>
  <c r="E19" i="184"/>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<sst xmlns="http://schemas.openxmlformats.org/spreadsheetml/2006/main" count="5318" uniqueCount="2130">
  <si>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</si>
  <si>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</si>
  <si>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</si>
  <si>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</si>
  <si>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</si>
  <si>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</si>
  <si>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</si>
  <si>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</si>
  <si>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</si>
  <si>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</si>
  <si>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</si>
  <si>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</si>
  <si>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</si>
  <si>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</si>
  <si>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</si>
  <si>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</si>
  <si>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</si>
  <si>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</si>
  <si>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</si>
  <si>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</si>
  <si>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</si>
  <si>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</si>
  <si>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</si>
  <si>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</si>
  <si>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</si>
  <si>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</si>
  <si>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</si>
  <si>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</si>
  <si>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</si>
  <si>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</si>
  <si>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</si>
  <si>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</si>
  <si>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</si>
  <si>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</si>
  <si>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</si>
  <si>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</si>
  <si>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</si>
  <si>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</si>
  <si>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</si>
  <si>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</si>
  <si>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</si>
  <si>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</si>
  <si>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</si>
  <si>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</si>
  <si>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</si>
  <si>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</si>
  <si>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</si>
  <si>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</si>
  <si>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</si>
  <si>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</si>
  <si>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</si>
  <si>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</si>
  <si>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</si>
  <si>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</si>
  <si>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</si>
  <si>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</si>
  <si>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</si>
  <si>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</si>
  <si>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</si>
  <si>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</si>
  <si>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</si>
  <si>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</si>
  <si>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</si>
  <si>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</si>
  <si>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</si>
  <si>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</si>
  <si>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</si>
  <si>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</si>
  <si>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</si>
  <si>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</si>
  <si>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</si>
  <si>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</si>
  <si>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</si>
  <si>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</si>
  <si>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</si>
  <si>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</si>
  <si>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</si>
  <si>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</si>
  <si>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</si>
  <si>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</si>
  <si>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</si>
  <si>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</si>
  <si>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</si>
  <si>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</si>
  <si>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</si>
  <si>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</si>
  <si>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</si>
  <si>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</si>
  <si>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</si>
  <si>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</si>
  <si>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</si>
  <si>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</si>
  <si>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</si>
  <si>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</si>
  <si>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</si>
  <si>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</si>
  <si>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</si>
  <si>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</si>
  <si>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</si>
  <si>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</si>
  <si>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</si>
  <si>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</si>
  <si>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</si>
  <si>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</si>
  <si>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</si>
  <si>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</si>
  <si>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</si>
  <si>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</si>
  <si>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</si>
  <si>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</si>
  <si>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</si>
  <si>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</si>
  <si>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</si>
  <si>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</si>
  <si>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</si>
  <si>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</si>
  <si>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</si>
  <si>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</si>
  <si>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</si>
  <si>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</si>
  <si>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</si>
  <si>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</si>
  <si>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</si>
  <si>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</si>
  <si>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</si>
  <si>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</si>
  <si>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</si>
  <si>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</si>
  <si>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</si>
  <si>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</si>
  <si>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</si>
  <si>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</si>
  <si>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</si>
  <si>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</si>
  <si>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</si>
  <si>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</si>
  <si>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</si>
  <si>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</si>
  <si>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</si>
  <si>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</si>
  <si>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</si>
  <si>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</si>
  <si>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</si>
  <si>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</si>
  <si>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</si>
  <si>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</si>
  <si>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</si>
  <si>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</si>
  <si>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</si>
  <si>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</si>
  <si>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</si>
  <si>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</si>
  <si>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</si>
  <si>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</si>
  <si>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</si>
  <si>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</si>
  <si>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</si>
  <si>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</si>
  <si>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</si>
  <si>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</si>
  <si>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</si>
  <si>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</si>
  <si>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</si>
  <si>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</si>
  <si>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</si>
  <si>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</si>
  <si>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</si>
  <si>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</si>
  <si>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</si>
  <si>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</si>
  <si>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</si>
  <si>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</si>
  <si>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</si>
  <si>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</si>
  <si>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</si>
  <si>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</si>
  <si>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</si>
  <si>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</si>
  <si>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</si>
  <si>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</si>
  <si>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</si>
  <si>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</si>
  <si>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</si>
  <si>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</si>
  <si>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</si>
  <si>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</si>
  <si>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</si>
  <si>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</si>
  <si>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</si>
  <si>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</si>
  <si>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</si>
  <si>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</si>
  <si>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</si>
  <si>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</si>
  <si>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</si>
  <si>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</si>
  <si>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</si>
  <si>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</si>
  <si>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</si>
  <si>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</si>
  <si>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</si>
  <si>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</si>
  <si>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</si>
  <si>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</si>
  <si>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</si>
  <si>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</si>
  <si>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</si>
  <si>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</si>
  <si>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</si>
  <si>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</si>
  <si>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</si>
  <si>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</si>
  <si>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</si>
  <si>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</si>
  <si>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</si>
  <si>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</si>
  <si>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</si>
  <si>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</si>
  <si>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</si>
  <si>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</si>
  <si>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</si>
  <si>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</si>
  <si>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</si>
  <si>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</si>
  <si>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</si>
  <si>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</si>
  <si>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</si>
  <si>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</si>
  <si>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</si>
  <si>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</si>
  <si>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</si>
  <si>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</si>
  <si>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</si>
  <si>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</si>
  <si>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</si>
  <si>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</si>
  <si>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</si>
  <si>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</si>
  <si>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</si>
  <si>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</si>
  <si>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</si>
  <si>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</si>
  <si>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</si>
  <si>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</si>
  <si>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</si>
  <si>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</si>
  <si>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</si>
  <si>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</si>
  <si>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</si>
  <si>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</si>
  <si>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</si>
  <si>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</si>
  <si>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</si>
  <si>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</si>
  <si>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</si>
  <si>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</si>
  <si>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</si>
  <si>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</si>
  <si>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</si>
  <si>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</si>
  <si>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</si>
  <si>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</si>
  <si>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</si>
  <si>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</si>
  <si>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</si>
  <si>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</si>
  <si>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</si>
  <si>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</si>
  <si>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</si>
  <si>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</si>
  <si>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</si>
  <si>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</si>
  <si>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</si>
  <si>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</si>
  <si>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</si>
  <si>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</si>
  <si>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</si>
  <si>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</si>
  <si>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</si>
  <si>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</si>
  <si>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</si>
  <si>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</si>
  <si>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</si>
  <si>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</si>
  <si>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</si>
  <si>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</si>
  <si>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</si>
  <si>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</si>
  <si>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</si>
  <si>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</si>
  <si>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</si>
  <si>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</si>
  <si>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</si>
  <si>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</si>
  <si>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</si>
  <si>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</si>
  <si>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</si>
  <si>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</si>
  <si>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</si>
  <si>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</si>
  <si>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</si>
  <si>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</si>
  <si>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</si>
  <si>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</si>
  <si>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</si>
  <si>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</si>
  <si>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</si>
  <si>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</si>
  <si>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</si>
  <si>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</si>
  <si>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</si>
  <si>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</si>
  <si>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</si>
  <si>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</si>
  <si>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</si>
  <si>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</si>
  <si>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</si>
  <si>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</si>
  <si>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</si>
  <si>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</si>
  <si>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</si>
  <si>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</si>
  <si>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</si>
  <si>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</si>
  <si>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</si>
  <si>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</si>
  <si>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</si>
  <si>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</si>
  <si>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</si>
  <si>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</si>
  <si>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</si>
  <si>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</si>
  <si>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</si>
  <si>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</si>
  <si>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</si>
  <si>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</si>
  <si>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</si>
  <si>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</si>
  <si>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</si>
  <si>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</si>
  <si>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</si>
  <si>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</si>
  <si>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</si>
  <si>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</si>
  <si>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</si>
  <si>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</si>
  <si>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</si>
  <si>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</si>
  <si>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</si>
  <si>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</si>
  <si>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</si>
  <si>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</si>
  <si>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</si>
  <si>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</si>
  <si>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</si>
  <si>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</si>
  <si>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</si>
  <si>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</si>
  <si>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</si>
  <si>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</si>
  <si>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</si>
  <si>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</si>
  <si>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</si>
  <si>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</si>
  <si>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</si>
  <si>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</si>
  <si>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</si>
  <si>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</si>
  <si>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</si>
  <si>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</si>
  <si>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</si>
  <si>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</si>
  <si>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</si>
  <si>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</si>
  <si>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</si>
  <si>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</si>
  <si>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</si>
  <si>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</si>
  <si>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</si>
  <si>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</si>
  <si>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</si>
  <si>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</si>
  <si>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</si>
  <si>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</si>
  <si>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</si>
  <si>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</si>
  <si>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</si>
  <si>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</si>
  <si>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</si>
  <si>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</si>
  <si>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</si>
  <si>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</si>
  <si>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</si>
  <si>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</si>
  <si>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</si>
  <si>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</si>
  <si>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</si>
  <si>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</si>
  <si>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</si>
  <si>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</si>
  <si>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</si>
  <si>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</si>
  <si>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</si>
  <si>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</si>
  <si>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</si>
  <si>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</si>
  <si>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</si>
  <si>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</si>
  <si>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</si>
  <si>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</si>
  <si>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</si>
  <si>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</si>
  <si>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</si>
  <si>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</si>
  <si>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</si>
  <si>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</si>
  <si>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</si>
  <si>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</si>
  <si>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</si>
  <si>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</si>
  <si>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</si>
  <si>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</si>
  <si>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</si>
  <si>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</si>
  <si>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</si>
  <si>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</si>
  <si>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</si>
  <si>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</si>
  <si>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</si>
  <si>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</si>
  <si>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</si>
  <si>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</si>
  <si>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</si>
  <si>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</si>
  <si>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</si>
  <si>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</si>
  <si>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</si>
  <si>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</si>
  <si>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</si>
  <si>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</si>
  <si>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</si>
  <si>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</si>
  <si>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</si>
  <si>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</si>
  <si>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</si>
  <si>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</si>
  <si>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</si>
  <si>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</si>
  <si>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</si>
  <si>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</si>
  <si>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</si>
  <si>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</si>
  <si>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</si>
  <si>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</si>
  <si>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</si>
  <si>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</si>
  <si>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</si>
  <si>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</si>
  <si>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</si>
  <si>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</si>
  <si>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</si>
  <si>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</si>
  <si>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</si>
  <si>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</si>
  <si>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</si>
  <si>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</si>
  <si>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</si>
  <si>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</si>
  <si>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</si>
  <si>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</si>
  <si>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</si>
  <si>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</si>
  <si>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</si>
  <si>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</si>
  <si>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</si>
  <si>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</si>
  <si>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</si>
  <si>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</si>
  <si>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</si>
  <si>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</si>
  <si>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</si>
  <si>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</si>
  <si>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</si>
  <si>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</si>
  <si>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</si>
  <si>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</si>
  <si>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</si>
  <si>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</si>
  <si>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</si>
  <si>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</si>
  <si>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</si>
  <si>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</si>
  <si>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</si>
  <si>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</si>
  <si>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</si>
  <si>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</si>
  <si>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</si>
  <si>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</si>
  <si>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</si>
  <si>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</si>
  <si>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</si>
  <si>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</si>
  <si>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</si>
  <si>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</si>
  <si>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</si>
  <si>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</si>
  <si>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</si>
  <si>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</si>
  <si>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</si>
  <si>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</si>
  <si>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</si>
  <si>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</si>
  <si>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</si>
  <si>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</si>
  <si>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</si>
  <si>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</si>
  <si>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</si>
  <si>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</si>
  <si>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</si>
  <si>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</si>
  <si>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</si>
  <si>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</si>
  <si>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</si>
  <si>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</si>
  <si>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</si>
  <si>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</si>
  <si>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</si>
  <si>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</si>
  <si>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</si>
  <si>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</si>
  <si>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</si>
  <si>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</si>
  <si>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</si>
  <si>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</si>
  <si>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</si>
  <si>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</si>
  <si>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</si>
  <si>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</si>
  <si>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</si>
  <si>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</si>
  <si>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</si>
  <si>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</si>
  <si>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</si>
  <si>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</si>
  <si>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</si>
  <si>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</si>
  <si>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</si>
  <si>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</si>
  <si>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</si>
  <si>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</si>
  <si>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</si>
  <si>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</si>
  <si>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</si>
  <si>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</si>
  <si>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</si>
  <si>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</si>
  <si>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</si>
  <si>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</si>
  <si>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</si>
  <si>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</si>
  <si>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</si>
  <si>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</si>
  <si>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</si>
  <si>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</si>
  <si>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</si>
  <si>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</si>
  <si>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</si>
  <si>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</si>
  <si>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</si>
  <si>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</si>
  <si>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</si>
  <si>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</si>
  <si>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</si>
  <si>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</si>
  <si>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</si>
  <si>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</si>
  <si>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</si>
  <si>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</si>
  <si>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</si>
  <si>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</si>
  <si>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</si>
  <si>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</si>
  <si>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</si>
  <si>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</si>
  <si>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</si>
  <si>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</si>
  <si>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</si>
  <si>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</si>
  <si>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</si>
  <si>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</si>
  <si>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</si>
  <si>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</si>
  <si>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</si>
  <si>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</si>
  <si>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</si>
  <si>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</si>
  <si>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</si>
  <si>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</si>
  <si>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</si>
  <si>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</si>
  <si>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</si>
  <si>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</si>
  <si>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</si>
  <si>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</si>
  <si>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</si>
  <si>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</si>
  <si>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</si>
  <si>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</si>
  <si>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</si>
  <si>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</si>
  <si>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</si>
  <si>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</si>
  <si>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</si>
  <si>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</si>
  <si>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</si>
  <si>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</si>
  <si>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</si>
  <si>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</si>
  <si>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</si>
  <si>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</si>
  <si>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</si>
  <si>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</si>
  <si>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</si>
  <si>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</si>
  <si>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</si>
  <si>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</si>
  <si>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</si>
  <si>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</si>
  <si>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</si>
  <si>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</si>
  <si>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</si>
  <si>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</si>
  <si>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</si>
  <si>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</si>
  <si>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</si>
  <si>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</si>
  <si>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</si>
  <si>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</si>
  <si>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</si>
  <si>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</si>
  <si>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</si>
  <si>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</si>
  <si>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</si>
  <si>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</si>
  <si>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</si>
  <si>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</si>
  <si>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</si>
  <si>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</si>
  <si>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</si>
  <si>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</si>
  <si>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</si>
  <si>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</si>
  <si>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</si>
  <si>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</si>
  <si>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</si>
  <si>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</si>
  <si>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</si>
  <si>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</si>
  <si>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</si>
  <si>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</si>
  <si>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</si>
  <si>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</si>
  <si>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</si>
  <si>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</si>
  <si>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</si>
  <si>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</si>
  <si>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</si>
  <si>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</si>
  <si>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</si>
  <si>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</si>
  <si>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</si>
  <si>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</si>
  <si>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</si>
  <si>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</si>
  <si>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</si>
  <si>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</si>
  <si>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</si>
  <si>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</si>
  <si>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</si>
  <si>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</si>
  <si>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</si>
  <si>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</si>
  <si>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</si>
  <si>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</si>
  <si>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</si>
  <si>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</si>
  <si>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</si>
  <si>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</si>
  <si>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</si>
  <si>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</si>
  <si>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</si>
  <si>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</si>
  <si>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</si>
  <si>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</si>
  <si>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</si>
  <si>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</si>
  <si>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</si>
  <si>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</si>
  <si>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</si>
  <si>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</si>
  <si>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</si>
  <si>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</si>
  <si>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</si>
  <si>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</si>
  <si>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</si>
  <si>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</si>
  <si>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</si>
  <si>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</si>
  <si>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</si>
  <si>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</si>
  <si>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</si>
  <si>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</si>
  <si>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</si>
  <si>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</si>
  <si>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</si>
  <si>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</si>
  <si>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</si>
  <si>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</si>
  <si>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</si>
  <si>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</si>
  <si>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</si>
  <si>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</si>
  <si>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</si>
  <si>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</si>
  <si>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</si>
  <si>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</si>
  <si>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</si>
  <si>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</si>
  <si>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</si>
  <si>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</si>
  <si>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</si>
  <si>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</si>
  <si>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</si>
  <si>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</si>
  <si>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</si>
  <si>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</si>
  <si>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</si>
  <si>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</si>
  <si>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</si>
  <si>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</si>
  <si>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</si>
  <si>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</si>
  <si>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</si>
  <si>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</si>
  <si>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</si>
  <si>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</si>
  <si>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</si>
  <si>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</si>
  <si>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</si>
  <si>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</si>
  <si>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</si>
  <si>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</si>
  <si>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</si>
  <si>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</si>
  <si>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</si>
  <si>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</si>
  <si>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</si>
  <si>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</si>
  <si>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</si>
  <si>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</si>
  <si>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</si>
  <si>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</si>
  <si>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</si>
  <si>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</si>
  <si>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</si>
  <si>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</si>
  <si>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</si>
  <si>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</si>
  <si>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</si>
  <si>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</si>
  <si>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</si>
  <si>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</si>
  <si>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</si>
  <si>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</si>
  <si>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</si>
  <si>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</si>
  <si>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</si>
  <si>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</si>
  <si>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</si>
  <si>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</si>
  <si>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</si>
  <si>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</si>
  <si>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</si>
  <si>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</si>
  <si>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</si>
  <si>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</si>
  <si>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</si>
  <si>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</si>
  <si>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</si>
  <si>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</si>
  <si>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</si>
  <si>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</si>
  <si>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</si>
  <si>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</si>
  <si>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</si>
  <si>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</si>
  <si>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</si>
  <si>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</si>
  <si>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</si>
  <si>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</si>
  <si>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</si>
  <si>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</si>
  <si>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</si>
  <si>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</si>
  <si>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</si>
  <si>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</si>
  <si>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</si>
  <si>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</si>
  <si>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</si>
  <si>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</si>
  <si>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</si>
  <si>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</si>
  <si>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</si>
  <si>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</si>
  <si>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</si>
  <si>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</si>
  <si>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</si>
  <si>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</si>
  <si>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</si>
  <si>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</si>
  <si>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</si>
  <si>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</si>
  <si>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</si>
  <si>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</si>
  <si>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</si>
  <si>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</si>
  <si>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</si>
  <si>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</si>
  <si>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</si>
  <si>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</si>
  <si>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</si>
  <si>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</si>
  <si>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</si>
  <si>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</si>
  <si>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</si>
  <si>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</si>
  <si>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</si>
  <si>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</si>
  <si>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</si>
  <si>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</si>
  <si>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</si>
  <si>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</si>
  <si>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</si>
  <si>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</si>
  <si>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</si>
  <si>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</si>
  <si>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</si>
  <si>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</si>
  <si>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</si>
  <si>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</si>
  <si>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</si>
  <si>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</si>
  <si>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</si>
  <si>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</si>
  <si>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</si>
  <si>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</si>
  <si>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</si>
  <si>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</si>
  <si>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</si>
  <si>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</si>
  <si>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</si>
  <si>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</si>
  <si>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</si>
  <si>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</si>
  <si>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</si>
  <si>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</si>
  <si>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</si>
  <si>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</si>
  <si>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</si>
  <si>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</si>
  <si>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</si>
  <si>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</si>
  <si>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</si>
  <si>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</si>
  <si>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</si>
  <si>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</si>
  <si>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</si>
  <si>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</si>
  <si>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</si>
  <si>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</si>
  <si>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</si>
  <si>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</si>
  <si>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</si>
  <si>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</si>
  <si>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</si>
  <si>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</si>
  <si>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</si>
  <si>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</si>
  <si>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</si>
  <si>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</si>
  <si>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</si>
  <si>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</si>
  <si>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</si>
  <si>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</si>
  <si>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</si>
  <si>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</si>
  <si>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</si>
  <si>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</si>
  <si>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</si>
  <si>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</si>
  <si>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</si>
  <si>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</si>
  <si>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</si>
  <si>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</si>
  <si>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</si>
  <si>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</si>
  <si>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</si>
  <si>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</si>
  <si>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</si>
  <si>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</si>
  <si>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</si>
  <si>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</si>
  <si>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</si>
  <si>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</si>
  <si>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</si>
  <si>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</si>
  <si>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</si>
  <si>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</si>
  <si>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</si>
  <si>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</si>
  <si>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</si>
  <si>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</si>
  <si>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</si>
  <si>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</si>
  <si>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</si>
  <si>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</si>
  <si>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</si>
  <si>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</si>
  <si>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</si>
  <si>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</si>
  <si>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</si>
  <si>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</si>
  <si>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</si>
  <si>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</si>
  <si>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</si>
  <si>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</si>
  <si>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</si>
  <si>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</si>
  <si>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</si>
  <si>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</si>
  <si>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</si>
  <si>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</si>
  <si>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</si>
  <si>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</si>
  <si>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</si>
  <si>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</si>
  <si>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</si>
  <si>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</si>
  <si>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</si>
  <si>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</si>
  <si>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</si>
  <si>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</si>
  <si>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</si>
  <si>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</si>
  <si>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</si>
  <si>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</si>
  <si>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</si>
  <si>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</si>
  <si>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</si>
  <si>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</si>
  <si>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</si>
  <si>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</si>
  <si>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</si>
  <si>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</si>
  <si>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</si>
  <si>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</si>
  <si>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</si>
  <si>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</si>
  <si>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</si>
  <si>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</si>
  <si>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</si>
  <si>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</si>
  <si>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</si>
  <si>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</si>
  <si>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</si>
  <si>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</si>
  <si>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</si>
  <si>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</si>
  <si>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</si>
  <si>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</si>
  <si>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</si>
  <si>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</si>
  <si>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</si>
  <si>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</si>
  <si>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</si>
  <si>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</si>
  <si>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</si>
  <si>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</si>
  <si>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</si>
  <si>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</si>
  <si>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</si>
  <si>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</si>
  <si>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</si>
  <si>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</si>
  <si>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</si>
  <si>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</si>
  <si>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</si>
  <si>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</si>
  <si>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</si>
  <si>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</si>
  <si>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</si>
  <si>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</si>
  <si>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</si>
  <si>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</si>
  <si>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</si>
  <si>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</si>
  <si>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</si>
  <si>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</si>
  <si>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</si>
  <si>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</si>
  <si>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</si>
  <si>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</si>
  <si>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</si>
  <si>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</si>
  <si>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</si>
  <si>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</si>
  <si>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</si>
  <si>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</si>
  <si>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</si>
  <si>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</si>
  <si>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</si>
  <si>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</si>
  <si>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</si>
  <si>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</si>
  <si>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</si>
  <si>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</si>
  <si>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</si>
  <si>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</si>
  <si>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</si>
  <si>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</si>
  <si>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</si>
  <si>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</si>
  <si>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</si>
  <si>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</si>
  <si>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</si>
  <si>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</si>
  <si>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</si>
  <si>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</si>
  <si>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</si>
  <si>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</si>
  <si>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</si>
  <si>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</si>
  <si>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</si>
  <si>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</si>
  <si>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</si>
  <si>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</si>
  <si>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</si>
  <si>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</si>
  <si>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</si>
  <si>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</si>
  <si>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</si>
  <si>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</si>
  <si>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</si>
  <si>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</si>
  <si>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</si>
  <si>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</si>
  <si>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</si>
  <si>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</si>
  <si>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</si>
  <si>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</si>
  <si>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</si>
  <si>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</si>
  <si>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</si>
  <si>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</si>
  <si>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</si>
  <si>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</si>
  <si>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</si>
  <si>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</si>
  <si>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</si>
  <si>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</si>
  <si>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</si>
  <si>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</si>
  <si>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</si>
  <si>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</si>
  <si>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</si>
  <si>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</si>
  <si>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</si>
  <si>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</si>
  <si>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</si>
  <si>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</si>
  <si>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</si>
  <si>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</si>
  <si>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</si>
  <si>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</si>
  <si>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</si>
  <si>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</si>
  <si>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</si>
  <si>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</si>
  <si>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</si>
  <si>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</si>
  <si>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</si>
  <si>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</si>
  <si>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</si>
  <si>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</si>
  <si>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</si>
  <si>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</si>
  <si>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</si>
  <si>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</si>
  <si>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</si>
  <si>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</si>
  <si>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</si>
  <si>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</si>
  <si>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</si>
  <si>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</si>
  <si>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</si>
  <si>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</si>
  <si>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</si>
  <si>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</si>
  <si>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</si>
  <si>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</si>
  <si>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</si>
  <si>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</si>
  <si>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</si>
  <si>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</si>
  <si>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</si>
  <si>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</si>
  <si>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</si>
  <si>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</si>
  <si>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</si>
  <si>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</si>
  <si>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</si>
  <si>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</si>
  <si>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</si>
  <si>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</si>
  <si>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</si>
  <si>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</si>
  <si>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</si>
  <si>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</si>
  <si>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</si>
  <si>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</si>
  <si>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</si>
  <si>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</si>
  <si>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</si>
  <si>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</si>
  <si>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</si>
  <si>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</si>
  <si>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</si>
  <si>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</si>
  <si>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</si>
  <si>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</si>
  <si>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</si>
  <si>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</si>
  <si>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</si>
  <si>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</si>
  <si>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</si>
  <si>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</si>
  <si>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</si>
  <si>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</si>
  <si>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</si>
  <si>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</si>
  <si>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</si>
  <si>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</si>
  <si>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</si>
  <si>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</si>
  <si>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</si>
  <si>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</si>
  <si>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</si>
  <si>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</si>
  <si>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</si>
  <si>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</si>
  <si>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</si>
  <si>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</si>
  <si>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</si>
  <si>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</si>
  <si>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</si>
  <si>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</si>
  <si>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</si>
  <si>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</si>
  <si>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</si>
  <si>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</si>
  <si>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</si>
  <si>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</si>
  <si>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</si>
  <si>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</si>
  <si>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</si>
  <si>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</si>
  <si>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</si>
  <si>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</si>
  <si>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</si>
  <si>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</si>
  <si>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</si>
  <si>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</si>
  <si>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</si>
  <si>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</si>
  <si>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</si>
  <si>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</si>
  <si>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</si>
  <si>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</si>
  <si>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</si>
  <si>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</si>
  <si>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</si>
  <si>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</si>
  <si>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</si>
  <si>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</si>
  <si>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</si>
  <si>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</si>
  <si>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</si>
  <si>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</si>
  <si>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</si>
  <si>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</si>
  <si>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</si>
  <si>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</si>
  <si>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</si>
  <si>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</si>
  <si>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</si>
  <si>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</si>
  <si>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</si>
  <si>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</si>
  <si>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</si>
  <si>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</si>
  <si>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</si>
  <si>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</si>
  <si>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</si>
  <si>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</si>
  <si>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</si>
  <si>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</si>
  <si>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</si>
  <si>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</si>
  <si>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</si>
  <si>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</si>
  <si>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</si>
  <si>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</si>
  <si>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</si>
  <si>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</si>
  <si>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</si>
  <si>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</si>
  <si>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</si>
  <si>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</si>
  <si>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</si>
  <si>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</si>
  <si>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</si>
  <si>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</si>
  <si>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</si>
  <si>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</si>
  <si>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</si>
  <si>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</si>
  <si>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</si>
  <si>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</si>
  <si>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</si>
  <si>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</si>
  <si>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</si>
  <si>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</si>
  <si>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</si>
  <si>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</si>
  <si>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</si>
  <si>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</si>
  <si>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</si>
  <si>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</si>
  <si>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</si>
  <si>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</si>
  <si>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</si>
  <si>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</si>
  <si>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</si>
  <si>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</si>
  <si>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</si>
  <si>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</si>
  <si>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</si>
  <si>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</si>
  <si>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</si>
  <si>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</si>
  <si>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</si>
  <si>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</si>
  <si>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</si>
  <si>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</si>
  <si>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</si>
  <si>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</si>
  <si>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</si>
  <si>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</si>
  <si>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</si>
  <si>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</si>
  <si>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</si>
  <si>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</si>
  <si>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</si>
  <si>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</si>
  <si>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</si>
  <si>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</si>
  <si>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</si>
  <si>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</si>
  <si>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</si>
  <si>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</si>
  <si>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</si>
  <si>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</si>
  <si>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</si>
  <si>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</si>
  <si>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</si>
  <si>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</si>
  <si>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</si>
  <si>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</si>
  <si>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</si>
  <si>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</si>
  <si>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</si>
  <si>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</si>
  <si>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</si>
  <si>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</si>
  <si>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</si>
  <si>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</si>
  <si>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</si>
  <si>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</si>
  <si>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</si>
  <si>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</si>
  <si>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</si>
  <si>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</si>
  <si>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</si>
  <si>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</si>
  <si>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</si>
  <si>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</si>
  <si>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</si>
  <si>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</si>
  <si>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</si>
  <si>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</si>
  <si>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</si>
  <si>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</si>
  <si>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</si>
  <si>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</si>
  <si>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</si>
  <si>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</si>
  <si>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</si>
  <si>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</si>
  <si>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</si>
  <si>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</si>
  <si>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</si>
  <si>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</si>
  <si>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</si>
  <si>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</si>
  <si>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</si>
  <si>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</si>
  <si>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</si>
  <si>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</si>
  <si>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</si>
  <si>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</si>
  <si>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</si>
  <si>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</si>
  <si>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</si>
  <si>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</si>
  <si>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</si>
  <si>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</si>
  <si>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</si>
  <si>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</si>
  <si>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</si>
  <si>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</si>
  <si>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</si>
  <si>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</si>
  <si>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</si>
  <si>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</si>
  <si>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</si>
  <si>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</si>
  <si>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</si>
  <si>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</si>
  <si>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</si>
  <si>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</si>
  <si>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</si>
  <si>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</si>
  <si>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</si>
  <si>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</si>
  <si>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</si>
  <si>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</si>
  <si>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</si>
  <si>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</si>
  <si>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</si>
  <si>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</si>
  <si>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</si>
  <si>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</si>
  <si>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</si>
  <si>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</si>
  <si>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</si>
  <si>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</si>
  <si>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</si>
  <si>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</si>
  <si>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</si>
  <si>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</si>
  <si>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</si>
  <si>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</si>
  <si>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</si>
  <si>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</si>
  <si>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</si>
  <si>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</si>
  <si>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</si>
  <si>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</si>
  <si>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</si>
  <si>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</si>
  <si>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</si>
  <si>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</si>
  <si>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</si>
  <si>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</si>
  <si>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</si>
  <si>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</si>
  <si>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</si>
  <si>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</si>
  <si>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</si>
  <si>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</si>
  <si>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</si>
  <si>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</si>
  <si>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</si>
  <si>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</si>
  <si>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</si>
  <si>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</si>
  <si>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</si>
  <si>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</si>
  <si>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</si>
  <si>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</si>
  <si>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</si>
  <si>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</si>
  <si>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</si>
  <si>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</si>
  <si>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</si>
  <si>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</si>
  <si>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</si>
  <si>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</si>
  <si>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</si>
  <si>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</si>
  <si>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</si>
  <si>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</si>
  <si>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</si>
  <si>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</si>
  <si>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</si>
  <si>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</si>
  <si>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</si>
  <si>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</si>
  <si>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</si>
  <si>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</si>
  <si>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</si>
  <si>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</si>
  <si>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</si>
  <si>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</si>
  <si>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</si>
  <si>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</si>
  <si>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</si>
  <si>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</si>
  <si>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</si>
  <si>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</si>
  <si>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</si>
  <si>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</si>
  <si>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</si>
  <si>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</si>
  <si>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</si>
  <si>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</si>
  <si>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</si>
  <si>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</si>
  <si>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</si>
  <si>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</si>
  <si>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</si>
  <si>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</si>
  <si>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</si>
  <si>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</si>
  <si>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</si>
  <si>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</si>
  <si>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</si>
  <si>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</si>
  <si>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</si>
  <si>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</si>
  <si>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</si>
  <si>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</si>
  <si>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</si>
  <si>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</si>
  <si>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</si>
  <si>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</si>
  <si>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</si>
  <si>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</si>
  <si>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</si>
  <si>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</si>
  <si>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</si>
  <si>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</si>
  <si>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</si>
  <si>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</si>
  <si>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</si>
  <si>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</si>
  <si>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</si>
  <si>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</si>
  <si>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</si>
  <si>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</si>
  <si>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</si>
  <si>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</si>
  <si>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</si>
  <si>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</si>
  <si>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</si>
  <si>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</si>
  <si>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</si>
  <si>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</si>
  <si>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</si>
  <si>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</si>
  <si>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</si>
  <si>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</si>
  <si>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</si>
  <si>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</si>
  <si>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</si>
  <si>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</si>
  <si>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</si>
  <si>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</si>
  <si>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</si>
  <si>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</si>
  <si>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</si>
  <si>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</si>
  <si>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</si>
  <si>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</si>
  <si>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</si>
  <si>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</si>
  <si>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</si>
  <si>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</si>
  <si>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</si>
  <si>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</si>
  <si>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</si>
  <si>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</si>
  <si>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</si>
  <si>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</si>
  <si>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</si>
  <si>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</si>
  <si>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</si>
  <si>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</si>
  <si>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</si>
  <si>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</si>
  <si>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</si>
  <si>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</si>
  <si>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</si>
  <si>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</si>
  <si>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</si>
  <si>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</si>
  <si>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</si>
  <si>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</si>
  <si>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</si>
  <si>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</si>
  <si>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</si>
  <si>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</si>
  <si>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</si>
  <si>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</si>
  <si>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</si>
  <si>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</si>
  <si>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</si>
  <si>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</si>
  <si>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</si>
  <si>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</si>
  <si>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</si>
  <si>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</si>
  <si>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</si>
  <si>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</si>
  <si>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</si>
  <si>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</si>
  <si>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</si>
  <si>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</si>
  <si>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</si>
  <si>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</si>
  <si>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</si>
  <si>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</si>
  <si>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</si>
  <si>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</si>
  <si>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</si>
  <si>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</si>
  <si>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</si>
  <si>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</si>
  <si>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</si>
  <si>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</si>
  <si>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</si>
  <si>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</si>
  <si>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</si>
  <si>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</si>
  <si>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</si>
  <si>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</si>
  <si>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</si>
  <si>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</si>
  <si>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</si>
  <si>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</si>
  <si>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</si>
  <si>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</si>
  <si>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</si>
  <si>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</si>
  <si>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</si>
  <si>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</si>
  <si>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</si>
  <si>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</si>
  <si>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</si>
  <si>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</si>
  <si>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</si>
  <si>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</si>
  <si>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</si>
  <si>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</si>
  <si>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</si>
  <si>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</si>
  <si>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</si>
  <si>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</si>
  <si>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</si>
  <si>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</si>
  <si>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</si>
  <si>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</si>
  <si>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</si>
  <si>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</si>
  <si>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</si>
  <si>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</si>
  <si>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</si>
  <si>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</si>
  <si>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</si>
  <si>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</si>
  <si>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</si>
  <si>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</si>
  <si>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</si>
  <si>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</si>
  <si>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</si>
  <si>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</si>
  <si>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</si>
  <si>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</si>
  <si>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</si>
  <si>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</si>
  <si>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</si>
  <si>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</si>
  <si>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</si>
  <si>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</si>
  <si>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</si>
  <si>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</si>
  <si>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</si>
  <si>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</si>
  <si>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</si>
  <si>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</si>
  <si>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</si>
  <si>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</si>
  <si>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</si>
  <si>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</si>
  <si>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</si>
  <si>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</si>
  <si>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</si>
  <si>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</si>
  <si>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</si>
  <si>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</si>
  <si>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</si>
  <si>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</si>
  <si>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</si>
  <si>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</si>
  <si>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</si>
  <si>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</si>
  <si>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</si>
  <si>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</si>
  <si>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</si>
  <si>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</si>
  <si>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</si>
  <si>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</si>
  <si>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</si>
  <si>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</si>
  <si>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</si>
  <si>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</si>
  <si>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</si>
  <si>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</si>
  <si>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</si>
  <si>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</si>
  <si>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</si>
  <si>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</si>
  <si>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</si>
  <si>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</si>
  <si>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</si>
  <si>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</si>
  <si>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</si>
  <si>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</si>
  <si>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</si>
  <si>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</si>
  <si>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</si>
  <si>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</si>
  <si>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</si>
  <si>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</si>
  <si>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</si>
  <si>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</si>
  <si>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</si>
  <si>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</si>
  <si>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</si>
  <si>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</si>
  <si>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</si>
  <si>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</si>
  <si>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</si>
  <si>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</si>
  <si>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</si>
  <si>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</si>
  <si>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</si>
  <si>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</si>
  <si>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</si>
  <si>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</si>
  <si>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</si>
  <si>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</si>
  <si>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</si>
  <si>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</si>
  <si>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</si>
  <si>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</si>
  <si>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</si>
  <si>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</si>
  <si>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</si>
  <si>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</si>
  <si>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</si>
  <si>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</si>
  <si>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</si>
  <si>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</si>
  <si>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</si>
  <si>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</si>
  <si>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</si>
  <si>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</si>
  <si>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</si>
  <si>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</si>
  <si>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</si>
  <si>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</si>
  <si>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</si>
  <si>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</si>
  <si>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</si>
  <si>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</si>
  <si>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</si>
  <si>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</si>
  <si>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</si>
  <si>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</si>
  <si>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</si>
  <si>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</si>
  <si>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</si>
  <si>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</si>
  <si>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</si>
  <si>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</si>
  <si>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</si>
  <si>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</si>
  <si>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</si>
  <si>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</si>
  <si>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</si>
  <si>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</si>
  <si>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</si>
  <si>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</si>
  <si>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</si>
  <si>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</si>
  <si>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</si>
  <si>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</si>
  <si>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</si>
  <si>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</si>
  <si>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</si>
  <si>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</si>
  <si>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</si>
  <si>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</si>
  <si>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</si>
  <si>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</si>
  <si>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</si>
  <si>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</si>
  <si>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</si>
  <si>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</si>
  <si>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</si>
  <si>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</si>
  <si>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</si>
  <si>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</si>
  <si>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</si>
  <si>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</si>
  <si>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</si>
  <si>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</si>
  <si>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</si>
  <si>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</si>
  <si>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</si>
  <si>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</si>
  <si>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</si>
  <si>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</si>
  <si>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</si>
  <si>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</si>
  <si>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</si>
  <si>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</si>
  <si>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</si>
  <si>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</si>
  <si>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</si>
  <si>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</si>
  <si>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</si>
  <si>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</si>
  <si>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</si>
  <si>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</si>
  <si>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</si>
  <si>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</si>
  <si>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</si>
  <si>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</si>
  <si>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</si>
  <si>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</si>
  <si>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</si>
  <si>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</si>
  <si>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</si>
  <si>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</si>
  <si>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</si>
  <si>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</si>
  <si>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</si>
  <si>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</si>
  <si>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</si>
  <si>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</si>
  <si>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</si>
  <si>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</si>
  <si>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</si>
  <si>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</si>
  <si>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</si>
  <si>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</si>
  <si>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</si>
  <si>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</si>
  <si>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</si>
  <si>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</si>
  <si>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</si>
  <si>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</si>
  <si>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</si>
  <si>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</si>
  <si>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</si>
  <si>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</si>
  <si>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</si>
  <si>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</si>
  <si>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</si>
  <si>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</si>
  <si>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</si>
  <si>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</si>
  <si>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</si>
  <si>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</si>
  <si>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</si>
  <si>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</si>
  <si>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</si>
  <si>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</si>
  <si>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</si>
  <si>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</si>
  <si>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</si>
  <si>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</si>
  <si>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</si>
  <si>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</si>
  <si>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</si>
  <si>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</si>
  <si>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</si>
  <si>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</si>
  <si>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</si>
  <si>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</si>
  <si>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</si>
  <si>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</si>
  <si>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</si>
  <si>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</si>
  <si>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</si>
  <si>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</si>
  <si>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</si>
  <si>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</si>
  <si>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</si>
  <si>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</si>
  <si>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</si>
  <si>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</si>
  <si>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</si>
  <si>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</si>
  <si>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</si>
  <si>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</si>
  <si>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</si>
  <si>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</si>
  <si>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</si>
  <si>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</si>
  <si>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</si>
  <si>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</si>
  <si>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</si>
  <si>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</si>
  <si>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</si>
  <si>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</si>
  <si>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</si>
  <si>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</si>
  <si>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</si>
  <si>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</si>
  <si>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</si>
  <si>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</si>
  <si>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</si>
  <si>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</si>
  <si>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</si>
  <si>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</si>
  <si>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</si>
  <si>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</si>
  <si>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</si>
  <si>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</si>
  <si>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</si>
  <si>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</si>
  <si>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</si>
  <si>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</si>
  <si>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</si>
  <si>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</si>
  <si>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</si>
  <si>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</si>
  <si>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</si>
  <si>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</si>
  <si>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</si>
  <si>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</si>
  <si>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</si>
  <si>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</si>
  <si>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</si>
  <si>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</si>
  <si>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</si>
  <si>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</si>
  <si>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</si>
  <si>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</si>
  <si>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</si>
  <si>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</si>
  <si>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</si>
  <si>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</si>
  <si>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</si>
  <si>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</si>
  <si>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</si>
  <si>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</si>
  <si>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</si>
  <si>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</si>
  <si>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</si>
  <si>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</si>
  <si>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</si>
  <si>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</si>
  <si>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</si>
  <si>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</si>
  <si>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</si>
  <si>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</si>
  <si>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</si>
  <si>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</si>
  <si>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</si>
  <si>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</si>
  <si>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</si>
  <si>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</si>
  <si>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</si>
  <si>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</si>
  <si>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</si>
  <si>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</si>
  <si>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</si>
  <si>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</si>
  <si>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</si>
  <si>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</si>
  <si>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</si>
  <si>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</si>
  <si>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</si>
  <si>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</si>
  <si>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</si>
  <si>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</si>
  <si>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</si>
  <si>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</si>
  <si>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</si>
  <si>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</si>
  <si>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</si>
  <si>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</si>
  <si>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</si>
  <si>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</si>
  <si>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</si>
  <si>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</si>
  <si>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</si>
  <si>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</si>
  <si>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</si>
  <si>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</si>
  <si>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</si>
  <si>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</si>
  <si>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</si>
  <si>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</si>
  <si>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</si>
  <si>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</si>
  <si>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</si>
  <si>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</si>
  <si>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</si>
  <si>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</si>
  <si>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</si>
  <si>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</si>
  <si>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</si>
  <si>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</si>
  <si>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</si>
  <si>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</si>
  <si>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</si>
  <si>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</si>
  <si>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</si>
  <si>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</si>
  <si>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</si>
  <si>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</si>
  <si>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</si>
  <si>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</si>
  <si>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</si>
  <si>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</si>
  <si>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</si>
  <si>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</si>
  <si>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</si>
  <si>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</si>
  <si>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</si>
  <si>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</si>
  <si>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</si>
  <si>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</si>
  <si>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</si>
  <si>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</si>
  <si>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</si>
  <si>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</si>
  <si>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</si>
  <si>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</si>
  <si>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</si>
  <si>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</si>
  <si>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</si>
  <si>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</si>
  <si>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</si>
  <si>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</si>
  <si>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</si>
  <si>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</si>
  <si>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</si>
  <si>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</si>
  <si>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</si>
  <si>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</si>
  <si>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</si>
  <si>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</si>
  <si>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</si>
  <si>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</si>
  <si>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</si>
  <si>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</si>
  <si>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</si>
  <si>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</si>
  <si>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</si>
  <si>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</si>
  <si>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</si>
  <si>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</si>
  <si>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</si>
  <si>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</si>
  <si>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</si>
  <si>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</si>
  <si>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</si>
  <si>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</si>
  <si>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</si>
  <si>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</si>
  <si>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</si>
  <si>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</si>
  <si>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</si>
  <si>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</si>
  <si>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</si>
  <si>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</si>
  <si>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</si>
  <si>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</si>
  <si>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</si>
  <si>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</si>
  <si>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</si>
  <si>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</si>
  <si>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</si>
  <si>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</si>
  <si>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</si>
  <si>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</si>
  <si>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</si>
  <si>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</si>
  <si>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</si>
  <si>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</si>
  <si>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</si>
  <si>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</si>
  <si>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</si>
  <si>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</si>
  <si>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</si>
  <si>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</si>
  <si>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</si>
  <si>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</si>
  <si>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</si>
  <si>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</si>
  <si>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</si>
  <si>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</si>
  <si>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</si>
  <si>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</si>
  <si>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</si>
  <si>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</si>
  <si>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</si>
  <si>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</si>
  <si>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</si>
  <si>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</si>
  <si>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</si>
  <si>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</si>
  <si>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</si>
  <si>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</si>
  <si>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</si>
  <si>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</si>
  <si>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</si>
  <si>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</si>
  <si>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</si>
  <si>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</si>
  <si>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</si>
  <si>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</si>
  <si>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</si>
  <si>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</si>
  <si>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8931 FULLERTON AVENUE</t>
  </si>
  <si>
    <t>RIVER GROVE</t>
  </si>
  <si>
    <t>708-453-1266</t>
  </si>
  <si>
    <t>708-453-0817</t>
  </si>
  <si>
    <t>MR. JIM PRATHER</t>
  </si>
  <si>
    <t>EVOY, KAMSCHULTE, JACOBS &amp; CO. LLP</t>
  </si>
  <si>
    <t>JAMES HENRY, CPA</t>
  </si>
  <si>
    <t>2122 YEOMAN STREET</t>
  </si>
  <si>
    <t>WAUKEGAN</t>
  </si>
  <si>
    <t>IL</t>
  </si>
  <si>
    <t>847-662-8305</t>
  </si>
  <si>
    <t>847-662-8300</t>
  </si>
  <si>
    <t>066--003289</t>
  </si>
  <si>
    <t>JHENRY@EKJLLP.COM</t>
  </si>
  <si>
    <t>Evoy, Kamschulte, Jacobs &amp; Co. LLP</t>
  </si>
  <si>
    <t>2018 REFUNDING AND WORKING CASH FUND BONDS</t>
  </si>
  <si>
    <t>1 AND 3</t>
  </si>
  <si>
    <t>Collective Liability Insurance Coop (CLIC), Educational Benefit Coop (EBC)</t>
  </si>
  <si>
    <t>IL School District Liquid Asset Fund (ISDLAF)</t>
  </si>
  <si>
    <t>Leyden Area Special Education Cooperative (LASEC)</t>
  </si>
  <si>
    <t>ED-Board of Ed Services-Purch Svcs</t>
  </si>
  <si>
    <t>Barry &amp; Associates Consulting</t>
  </si>
  <si>
    <t>U S DEPARTMENT OF EDUCATION</t>
  </si>
  <si>
    <t>Passed Through IL State Board of Education</t>
  </si>
  <si>
    <t>2020-4300</t>
  </si>
  <si>
    <t>2019-4300</t>
  </si>
  <si>
    <t>2019-4331</t>
  </si>
  <si>
    <t>2020-4909</t>
  </si>
  <si>
    <t>2019-4909</t>
  </si>
  <si>
    <t>2020-4932</t>
  </si>
  <si>
    <t>2019-4932</t>
  </si>
  <si>
    <t xml:space="preserve">    Title II - Teacher Quality</t>
  </si>
  <si>
    <t xml:space="preserve">    Title III - Language Instruction Program Limited English Proficiency</t>
  </si>
  <si>
    <t xml:space="preserve">    Title I - School Improvement &amp; Accountability</t>
  </si>
  <si>
    <t xml:space="preserve">    Title I - Low-Income</t>
  </si>
  <si>
    <t>2019-4625</t>
  </si>
  <si>
    <t xml:space="preserve">  Passed Through IL State Board of Education through Leyden Area Special Educ Cooperative</t>
  </si>
  <si>
    <t>2020-4600</t>
  </si>
  <si>
    <t xml:space="preserve">    Federal Special Education - IDEA, Part B, Pre-School Flow-Through</t>
  </si>
  <si>
    <t xml:space="preserve">    Federal Special Education - IDEA, Room &amp; Board Reimbursement</t>
  </si>
  <si>
    <t>2019-4600</t>
  </si>
  <si>
    <t xml:space="preserve">    Federal Special Education - IDEA, Part B, Flow-Through</t>
  </si>
  <si>
    <t>2020-4620</t>
  </si>
  <si>
    <t>U S DEPARTMENT OF AGRICULTURE</t>
  </si>
  <si>
    <t>Special Education Cluster</t>
  </si>
  <si>
    <t>Total Special Education Cluster</t>
  </si>
  <si>
    <t>Child Nutrition Cluster</t>
  </si>
  <si>
    <t>(M) National School Lunch Program</t>
  </si>
  <si>
    <t>2020-4210</t>
  </si>
  <si>
    <t>2019-4210</t>
  </si>
  <si>
    <t>(M) School Breakfast Program</t>
  </si>
  <si>
    <t>(M) Summer Food Service Program</t>
  </si>
  <si>
    <t>2020-4225</t>
  </si>
  <si>
    <t>(M) National School Lunch Program - Non-Cash USDA Foods</t>
  </si>
  <si>
    <t>Total Child Nutrition Cluster</t>
  </si>
  <si>
    <t>TOTAL U S DEPARTMENT OF AGRICULTURE</t>
  </si>
  <si>
    <t>U S DEPARTMENT OF EDUCATION (Continued)</t>
  </si>
  <si>
    <t>TOTAL U S DEPARTMENT OF EDUCATION</t>
  </si>
  <si>
    <t>U S DEPARTMENT OF HEALTH AND HUMAN SERVICES</t>
  </si>
  <si>
    <t>Passed Through the IL Department of Healthcare and Family Srvices</t>
  </si>
  <si>
    <t>Passed Through IL State Board of Education (continued)</t>
  </si>
  <si>
    <t xml:space="preserve">    Medicaid Medical Assistance, Administrative Claim</t>
  </si>
  <si>
    <t>2020-4991</t>
  </si>
  <si>
    <t>2019-4991</t>
  </si>
  <si>
    <t>TOTAL U S DEPARTMENT OF HEALTH AND HUMAN SERVICES</t>
  </si>
  <si>
    <t>TOTAL FEDERAL FINANCIAL ASSISTANCE</t>
  </si>
  <si>
    <t>Value of Federal Awards Expended in the Form of Non-Cash Assistance</t>
  </si>
  <si>
    <t>Federal Insurance in Effect During the Year</t>
  </si>
  <si>
    <t>Federal Loans or Loan Guarantees, Including Interest Subsidies, Outstanding at Year End</t>
  </si>
  <si>
    <t>Amounts Provided to Subrecipients</t>
  </si>
  <si>
    <t>The accompanying Schedule of Expenditures of Federal Awards includes the federal grant activity of Rhodes School District No. 84.5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</si>
  <si>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Of the federal expenditures presented in the schedule, Rhodes School District No. 84.5</t>
    </r>
    <r>
      <rPr>
        <sz val="9"/>
        <rFont val="Calibri"/>
        <family val="2"/>
        <scheme val="minor"/>
      </rPr>
      <t xml:space="preserve"> provided federal awards to subrecipients as follows:</t>
    </r>
  </si>
  <si>
    <t>NONE - N/A</t>
  </si>
  <si>
    <t>N/A</t>
  </si>
  <si>
    <t>NONE</t>
  </si>
  <si>
    <r>
      <t xml:space="preserve">The following amounts were expended in the form of non-cash assistance by Rhodes School District No. 84.5 and are </t>
    </r>
    <r>
      <rPr>
        <sz val="9"/>
        <rFont val="Calibri"/>
        <family val="2"/>
        <scheme val="minor"/>
      </rPr>
      <t>included in the Schedule of Expenditures of Federal Awards:</t>
    </r>
  </si>
  <si>
    <t>Unmodified</t>
  </si>
  <si>
    <t>10.555, 10.553, 10.559</t>
  </si>
  <si>
    <t>2020-4625</t>
  </si>
  <si>
    <t xml:space="preserve"> Rhodes SD 84-5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</si>
</sst>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759402</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2000</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2048</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2048</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6016084502</v>
      </c>
      <c r="B13" s="2087"/>
      <c r="C13" s="2087"/>
      <c r="D13" s="2087"/>
      <c r="E13" s="2087"/>
      <c r="F13" s="2087"/>
      <c r="G13" s="2087"/>
      <c r="H13" s="2088"/>
      <c r="I13" s="31"/>
      <c r="J13" s="30"/>
      <c r="K13" s="28"/>
      <c r="L13" s="30"/>
      <c r="M13" s="30"/>
      <c r="N13" s="30"/>
      <c r="O13" s="30"/>
      <c r="P13" s="30"/>
      <c r="Q13" s="30"/>
      <c r="R13" s="30"/>
      <c r="S13" s="30"/>
      <c r="T13" s="2091" t="s">
        <v>2055</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2049</v>
      </c>
      <c r="B15" s="2089"/>
      <c r="C15" s="2089"/>
      <c r="D15" s="2089"/>
      <c r="E15" s="2089"/>
      <c r="F15" s="2089"/>
      <c r="G15" s="2089"/>
      <c r="H15" s="2090"/>
      <c r="T15" s="2052" t="s">
        <v>2056</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2129</v>
      </c>
      <c r="B17" s="2114"/>
      <c r="C17" s="2114"/>
      <c r="D17" s="2114"/>
      <c r="E17" s="2114"/>
      <c r="F17" s="2114"/>
      <c r="G17" s="2114"/>
      <c r="H17" s="2115"/>
      <c r="T17" s="2101" t="s">
        <v>2057</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2050</v>
      </c>
      <c r="B19" s="2085"/>
      <c r="C19" s="2085"/>
      <c r="D19" s="2085"/>
      <c r="E19" s="2085"/>
      <c r="F19" s="2085"/>
      <c r="G19" s="2085"/>
      <c r="H19" s="2083"/>
      <c r="I19" s="30"/>
      <c r="J19" s="96"/>
      <c r="K19" s="40"/>
      <c r="L19" s="38"/>
      <c r="M19" s="109" t="s">
        <v>312</v>
      </c>
      <c r="P19" s="27"/>
      <c r="Q19" s="27"/>
      <c r="R19" s="27"/>
      <c r="S19" s="31"/>
      <c r="T19" s="2084" t="s">
        <v>2058</v>
      </c>
      <c r="U19" s="2082"/>
      <c r="V19" s="2082"/>
      <c r="W19" s="2083"/>
      <c r="X19" s="2099" t="s">
        <v>2059</v>
      </c>
      <c r="Y19" s="2100"/>
      <c r="Z19" s="2097">
        <v>60087</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2051</v>
      </c>
      <c r="B21" s="2082"/>
      <c r="C21" s="2082"/>
      <c r="D21" s="2082"/>
      <c r="E21" s="2082"/>
      <c r="F21" s="2082"/>
      <c r="G21" s="2082"/>
      <c r="H21" s="2083"/>
      <c r="I21" s="2107" t="s">
        <v>673</v>
      </c>
      <c r="J21" s="2070"/>
      <c r="K21" s="2070"/>
      <c r="L21" s="2070"/>
      <c r="M21" s="2070"/>
      <c r="N21" s="2070"/>
      <c r="O21" s="2070"/>
      <c r="P21" s="2070"/>
      <c r="Q21" s="2070"/>
      <c r="R21" s="2070"/>
      <c r="S21" s="2071"/>
      <c r="T21" s="2049" t="s">
        <v>2061</v>
      </c>
      <c r="U21" s="2050"/>
      <c r="V21" s="2050"/>
      <c r="W21" s="2050"/>
      <c r="X21" s="2063" t="s">
        <v>2060</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2062</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60717</v>
      </c>
      <c r="B25" s="2082"/>
      <c r="C25" s="2082"/>
      <c r="D25" s="2082"/>
      <c r="E25" s="2082"/>
      <c r="F25" s="2082"/>
      <c r="G25" s="2082"/>
      <c r="H25" s="2083"/>
      <c r="I25" s="110"/>
      <c r="J25" s="2148"/>
      <c r="K25" s="2148"/>
      <c r="L25" s="2148"/>
      <c r="M25" s="2148"/>
      <c r="N25" s="2148"/>
      <c r="O25" s="2148"/>
      <c r="P25" s="2148"/>
      <c r="Q25" s="2148"/>
      <c r="R25" s="2148"/>
      <c r="S25" s="2149"/>
      <c r="T25" s="2041" t="s">
        <v>2063</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2054</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2052</v>
      </c>
      <c r="B42" s="2131"/>
      <c r="C42" s="2132"/>
      <c r="D42" s="2145" t="s">
        <v>2053</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7" sqref="E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7008362</v>
      </c>
      <c r="C4" s="1722">
        <v>3843190</v>
      </c>
      <c r="D4" s="1723">
        <f>B4-C4</f>
        <v>3165172</v>
      </c>
      <c r="E4" s="1722">
        <v>7666320</v>
      </c>
      <c r="F4" s="1723">
        <f>E4-C4</f>
        <v>3823130</v>
      </c>
    </row>
    <row r="5" spans="1:8" ht="13.7" customHeight="1" x14ac:dyDescent="0.2">
      <c r="A5" s="579" t="s">
        <v>865</v>
      </c>
      <c r="B5" s="1724">
        <f>'Revenues 9-14'!D5</f>
        <v>976886</v>
      </c>
      <c r="C5" s="1664">
        <v>520610</v>
      </c>
      <c r="D5" s="1725">
        <f t="shared" ref="D5:D18" si="0">B5-C5</f>
        <v>456276</v>
      </c>
      <c r="E5" s="1664">
        <v>1038549</v>
      </c>
      <c r="F5" s="1725">
        <f>E5-C5</f>
        <v>517939</v>
      </c>
    </row>
    <row r="6" spans="1:8" ht="13.7" customHeight="1" x14ac:dyDescent="0.2">
      <c r="A6" s="579" t="s">
        <v>408</v>
      </c>
      <c r="B6" s="1724">
        <f>'Revenues 9-14'!E5</f>
        <v>474459</v>
      </c>
      <c r="C6" s="1664">
        <v>236513</v>
      </c>
      <c r="D6" s="1725">
        <f t="shared" si="0"/>
        <v>237946</v>
      </c>
      <c r="E6" s="1664">
        <v>471857</v>
      </c>
      <c r="F6" s="1725">
        <f t="shared" ref="F6:F18" si="1">E6-C6</f>
        <v>235344</v>
      </c>
    </row>
    <row r="7" spans="1:8" ht="13.7" customHeight="1" x14ac:dyDescent="0.2">
      <c r="A7" s="579" t="s">
        <v>154</v>
      </c>
      <c r="B7" s="1724">
        <f>'Revenues 9-14'!F5</f>
        <v>0</v>
      </c>
      <c r="C7" s="1664">
        <v>0</v>
      </c>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91141</v>
      </c>
      <c r="C10" s="1664">
        <v>46630</v>
      </c>
      <c r="D10" s="1725">
        <f t="shared" si="0"/>
        <v>44511</v>
      </c>
      <c r="E10" s="1664">
        <v>93044</v>
      </c>
      <c r="F10" s="1725">
        <f t="shared" si="1"/>
        <v>46414</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710308</v>
      </c>
      <c r="C14" s="1664">
        <v>372438</v>
      </c>
      <c r="D14" s="1725">
        <f t="shared" si="0"/>
        <v>337870</v>
      </c>
      <c r="E14" s="1664">
        <v>742897</v>
      </c>
      <c r="F14" s="1725">
        <f t="shared" si="1"/>
        <v>370459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9261156</v>
      </c>
      <c r="C19" s="1726">
        <f>SUM(C4:C18)</f>
        <v>5019381</v>
      </c>
      <c r="D19" s="1726">
        <f>SUM(D4:D18)</f>
        <v>4241775</v>
      </c>
      <c r="E19" s="1726">
        <f>SUM(E4:E18)</f>
        <v>10012667</v>
      </c>
      <c r="F19" s="1726">
        <f>SUM(F4:F18)</f>
        <v>4993286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4"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1776</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2003</v>
      </c>
      <c r="B24" s="2291"/>
      <c r="C24" s="2299"/>
      <c r="D24" s="2300"/>
      <c r="E24" s="2300"/>
      <c r="F24" s="2301"/>
    </row>
    <row r="25" spans="1:11" ht="13.5" thickBot="1" x14ac:dyDescent="0.25">
      <c r="A25" s="2305" t="s">
        <v>2004</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t="s">
        <v>2065</v>
      </c>
      <c r="B32" s="595">
        <v>43293</v>
      </c>
      <c r="C32" s="1734">
        <v>6135000</v>
      </c>
      <c r="D32" s="1735" t="s">
        <v>2066</v>
      </c>
      <c r="E32" s="1734">
        <v>5625000</v>
      </c>
      <c r="F32" s="1734"/>
      <c r="G32" s="1734"/>
      <c r="H32" s="1734">
        <v>180000</v>
      </c>
      <c r="I32" s="1736">
        <f>((E32+F32)-H32)+G32</f>
        <v>5445000</v>
      </c>
      <c r="J32" s="1734">
        <v>5414363</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6135000</v>
      </c>
      <c r="D49" s="1742"/>
      <c r="E49" s="1736">
        <f t="shared" ref="E49:J49" si="2">SUM(E31:E48)</f>
        <v>5625000</v>
      </c>
      <c r="F49" s="1736">
        <f t="shared" si="2"/>
        <v>0</v>
      </c>
      <c r="G49" s="1736">
        <f t="shared" si="2"/>
        <v>0</v>
      </c>
      <c r="H49" s="1736">
        <f t="shared" si="2"/>
        <v>180000</v>
      </c>
      <c r="I49" s="1736">
        <f t="shared" si="2"/>
        <v>5445000</v>
      </c>
      <c r="J49" s="1736">
        <f t="shared" si="2"/>
        <v>5414363</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G38" sqref="G3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1786</v>
      </c>
      <c r="K2" s="616" t="s">
        <v>137</v>
      </c>
    </row>
    <row r="3" spans="1:11" x14ac:dyDescent="0.2">
      <c r="A3" s="2325" t="str">
        <f>"Cash Basis Fund Balance as of July 1, "&amp;'AFR20'!E2-1</f>
        <v>Cash Basis Fund Balance as of July 1, 2019</v>
      </c>
      <c r="B3" s="2326"/>
      <c r="C3" s="2326"/>
      <c r="D3" s="2326"/>
      <c r="E3" s="2327"/>
      <c r="F3" s="617"/>
      <c r="G3" s="1744"/>
      <c r="H3" s="1744">
        <v>0</v>
      </c>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710308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1787</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710308</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710308</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1783</v>
      </c>
      <c r="B19" s="2356"/>
      <c r="C19" s="2356"/>
      <c r="D19" s="2356"/>
      <c r="E19" s="2357"/>
      <c r="F19" s="635" t="s">
        <v>927</v>
      </c>
      <c r="G19" s="1753"/>
      <c r="H19" s="1753"/>
      <c r="I19" s="1753"/>
      <c r="J19" s="1745"/>
      <c r="K19" s="1763"/>
    </row>
    <row r="20" spans="1:15" x14ac:dyDescent="0.2">
      <c r="A20" s="2333" t="s">
        <v>1788</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1789</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710308</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2" sqref="A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1872</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7000</v>
      </c>
      <c r="D5" s="1770"/>
      <c r="E5" s="1770"/>
      <c r="F5" s="1765">
        <f>(C5+D5)-E5</f>
        <v>7000</v>
      </c>
      <c r="G5" s="676"/>
      <c r="H5" s="680"/>
      <c r="I5" s="680"/>
      <c r="J5" s="680"/>
      <c r="K5" s="637"/>
      <c r="L5" s="1442">
        <f>F5-K5</f>
        <v>7000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21010720</v>
      </c>
      <c r="D8" s="1771">
        <v>538854</v>
      </c>
      <c r="E8" s="1771"/>
      <c r="F8" s="1765">
        <f>(C8+D8)-E8</f>
        <v>21549574</v>
      </c>
      <c r="G8" s="681">
        <v>50</v>
      </c>
      <c r="H8" s="619">
        <v>6576431</v>
      </c>
      <c r="I8" s="619">
        <v>425607</v>
      </c>
      <c r="J8" s="619"/>
      <c r="K8" s="1442">
        <f>(H8+I8)-J8</f>
        <v>7002038</v>
      </c>
      <c r="L8" s="1442">
        <f>F8-K8</f>
        <v>14547536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317137</v>
      </c>
      <c r="D10" s="1772"/>
      <c r="E10" s="1772"/>
      <c r="F10" s="1773">
        <f>(C10+D10)-E10</f>
        <v>317137</v>
      </c>
      <c r="G10" s="681">
        <v>20</v>
      </c>
      <c r="H10" s="683">
        <v>219418</v>
      </c>
      <c r="I10" s="683">
        <v>5577</v>
      </c>
      <c r="J10" s="683"/>
      <c r="K10" s="1442">
        <f>(H10+I10)-J10</f>
        <v>224995</v>
      </c>
      <c r="L10" s="1442">
        <f>F10-K10</f>
        <v>92142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3748718</v>
      </c>
      <c r="D12" s="1771">
        <v>192934</v>
      </c>
      <c r="E12" s="1771"/>
      <c r="F12" s="1765">
        <f>(C12+D12)-E12</f>
        <v>3941652</v>
      </c>
      <c r="G12" s="681">
        <v>10</v>
      </c>
      <c r="H12" s="619">
        <v>3094804</v>
      </c>
      <c r="I12" s="619">
        <v>123642</v>
      </c>
      <c r="J12" s="619"/>
      <c r="K12" s="1442">
        <f>(H12+I12)-J12</f>
        <v>3218446</v>
      </c>
      <c r="L12" s="1442">
        <f>F12-K12</f>
        <v>723206</v>
      </c>
    </row>
    <row r="13" spans="1:14" ht="14.25" thickTop="1" thickBot="1" x14ac:dyDescent="0.25">
      <c r="A13" s="684" t="s">
        <v>1112</v>
      </c>
      <c r="B13" s="679">
        <v>252</v>
      </c>
      <c r="C13" s="1771">
        <v>692943</v>
      </c>
      <c r="D13" s="1771">
        <v>50000</v>
      </c>
      <c r="E13" s="1771"/>
      <c r="F13" s="1765">
        <f>(C13+D13)-E13</f>
        <v>742943</v>
      </c>
      <c r="G13" s="681">
        <v>5</v>
      </c>
      <c r="H13" s="619">
        <v>623193</v>
      </c>
      <c r="I13" s="619">
        <v>42790</v>
      </c>
      <c r="J13" s="619"/>
      <c r="K13" s="1442">
        <f>(H13+I13)-J13</f>
        <v>665983</v>
      </c>
      <c r="L13" s="1442">
        <f>F13-K13</f>
        <v>76960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25776518</v>
      </c>
      <c r="D16" s="1765">
        <f>SUM(D3,D5:D6,D8:D10,D12:D15)</f>
        <v>781788</v>
      </c>
      <c r="E16" s="1765">
        <f>SUM(E3,E5:E6,E8:E10,E12:E15)</f>
        <v>0</v>
      </c>
      <c r="F16" s="1765">
        <f>SUM(F3,F5:F6,F8:F10,F12:F15)</f>
        <v>26558306</v>
      </c>
      <c r="G16" s="681"/>
      <c r="H16" s="1435">
        <f>SUM(H3,H6,H8:H10,H12:H14,)</f>
        <v>10513846</v>
      </c>
      <c r="I16" s="1435">
        <f>SUM(I3,I6,I8:I10,I12:I14,)</f>
        <v>597616</v>
      </c>
      <c r="J16" s="1435">
        <f>SUM(J3,J6,J8:J10,J12:J14,)</f>
        <v>0</v>
      </c>
      <c r="K16" s="1435">
        <f>(H16+I16)-J16</f>
        <v>11111462</v>
      </c>
      <c r="L16" s="1435">
        <f>F16-K16</f>
        <v>15446844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597616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25" colorId="8" zoomScale="110" zoomScaleNormal="110" workbookViewId="0">
      <selection activeCell="J81" sqref="J8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8610291</v>
      </c>
      <c r="G8" s="701"/>
    </row>
    <row r="9" spans="1:9" x14ac:dyDescent="0.2">
      <c r="A9" s="705" t="s">
        <v>457</v>
      </c>
      <c r="B9" s="706" t="s">
        <v>1845</v>
      </c>
      <c r="C9" s="707"/>
      <c r="D9" s="705" t="s">
        <v>498</v>
      </c>
      <c r="E9" s="704"/>
      <c r="F9" s="1775">
        <f>'Expenditures 15-22'!K151</f>
        <v>1474558</v>
      </c>
      <c r="G9" s="708"/>
    </row>
    <row r="10" spans="1:9" x14ac:dyDescent="0.2">
      <c r="A10" s="705" t="s">
        <v>496</v>
      </c>
      <c r="B10" s="706" t="s">
        <v>1846</v>
      </c>
      <c r="C10" s="707"/>
      <c r="D10" s="705" t="s">
        <v>498</v>
      </c>
      <c r="E10" s="704"/>
      <c r="F10" s="1775">
        <f>'Expenditures 15-22'!K174</f>
        <v>443888</v>
      </c>
      <c r="G10" s="708"/>
    </row>
    <row r="11" spans="1:9" x14ac:dyDescent="0.2">
      <c r="A11" s="705" t="s">
        <v>458</v>
      </c>
      <c r="B11" s="706" t="s">
        <v>1847</v>
      </c>
      <c r="C11" s="707"/>
      <c r="D11" s="705" t="s">
        <v>498</v>
      </c>
      <c r="E11" s="704"/>
      <c r="F11" s="1775">
        <f>'Expenditures 15-22'!K210</f>
        <v>659029</v>
      </c>
      <c r="G11" s="708"/>
    </row>
    <row r="12" spans="1:9" x14ac:dyDescent="0.2">
      <c r="A12" s="705" t="s">
        <v>459</v>
      </c>
      <c r="B12" s="706" t="s">
        <v>1848</v>
      </c>
      <c r="C12" s="707"/>
      <c r="D12" s="705" t="s">
        <v>498</v>
      </c>
      <c r="E12" s="704"/>
      <c r="F12" s="1775">
        <f>'Expenditures 15-22'!K295</f>
        <v>420762</v>
      </c>
      <c r="G12" s="708"/>
    </row>
    <row r="13" spans="1:9" x14ac:dyDescent="0.2">
      <c r="A13" s="705" t="s">
        <v>106</v>
      </c>
      <c r="B13" s="706" t="s">
        <v>1849</v>
      </c>
      <c r="C13" s="707"/>
      <c r="D13" s="705" t="s">
        <v>498</v>
      </c>
      <c r="E13" s="704"/>
      <c r="F13" s="1775">
        <f>'Expenditures 15-22'!K342</f>
        <v>82374</v>
      </c>
      <c r="G13" s="709"/>
    </row>
    <row r="14" spans="1:9" ht="12" customHeight="1" thickBot="1" x14ac:dyDescent="0.25">
      <c r="A14" s="1443"/>
      <c r="B14" s="1444"/>
      <c r="C14" s="1445"/>
      <c r="D14" s="1446" t="s">
        <v>498</v>
      </c>
      <c r="E14" s="1447" t="s">
        <v>952</v>
      </c>
      <c r="F14" s="1776">
        <f>SUM(F8:F13)</f>
        <v>11690902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219461</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69818</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145903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14464</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217065</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434999</v>
      </c>
      <c r="G53" s="701"/>
    </row>
    <row r="54" spans="1:7" x14ac:dyDescent="0.2">
      <c r="A54" s="705" t="s">
        <v>456</v>
      </c>
      <c r="B54" s="705" t="s">
        <v>1459</v>
      </c>
      <c r="C54" s="724" t="s">
        <v>975</v>
      </c>
      <c r="D54" s="720" t="s">
        <v>1086</v>
      </c>
      <c r="E54" s="704"/>
      <c r="F54" s="1782">
        <f>'Expenditures 15-22'!G114</f>
        <v>181947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547502</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180000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50000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7417</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558</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2069134</v>
      </c>
      <c r="G77" s="701"/>
    </row>
    <row r="78" spans="1:9" s="728" customFormat="1" ht="12" customHeight="1" thickTop="1" thickBot="1" x14ac:dyDescent="0.25">
      <c r="A78" s="1450"/>
      <c r="B78" s="1448"/>
      <c r="C78" s="1445"/>
      <c r="D78" s="1449" t="s">
        <v>2009</v>
      </c>
      <c r="E78" s="1447"/>
      <c r="F78" s="1788">
        <f>(F14-F77)</f>
        <v>9621768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534.79999999999995</v>
      </c>
      <c r="G79" s="733"/>
      <c r="H79" s="705"/>
      <c r="I79" s="705"/>
    </row>
    <row r="80" spans="1:9" s="728" customFormat="1" ht="12" customHeight="1" thickBot="1" x14ac:dyDescent="0.25">
      <c r="A80" s="1452"/>
      <c r="B80" s="1448"/>
      <c r="C80" s="1445"/>
      <c r="D80" s="1449" t="s">
        <v>2010</v>
      </c>
      <c r="E80" s="1447" t="s">
        <v>952</v>
      </c>
      <c r="F80" s="1790">
        <f>IF(F79&gt;0,F78/F79," Complete Line 79")</f>
        <v>17991.338818249813</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26593</v>
      </c>
      <c r="G95" s="745"/>
    </row>
    <row r="96" spans="1:7" x14ac:dyDescent="0.2">
      <c r="A96" s="741" t="s">
        <v>139</v>
      </c>
      <c r="B96" s="741" t="s">
        <v>174</v>
      </c>
      <c r="C96" s="743">
        <v>1700</v>
      </c>
      <c r="D96" s="751" t="str">
        <f>'Revenues 9-14'!A82</f>
        <v>Total District/School Activity Income</v>
      </c>
      <c r="E96" s="739"/>
      <c r="F96" s="1793">
        <f>SUM('Revenues 9-14'!C82,'Revenues 9-14'!D82)</f>
        <v>2997</v>
      </c>
      <c r="G96" s="745"/>
    </row>
    <row r="97" spans="1:7" x14ac:dyDescent="0.2">
      <c r="A97" s="741" t="s">
        <v>456</v>
      </c>
      <c r="B97" s="741" t="s">
        <v>175</v>
      </c>
      <c r="C97" s="743">
        <f>'Revenues 9-14'!B84</f>
        <v>1811</v>
      </c>
      <c r="D97" s="744" t="str">
        <f>'Revenues 9-14'!A84</f>
        <v>Rentals - Regular Textbooks</v>
      </c>
      <c r="E97" s="739"/>
      <c r="F97" s="1793">
        <f>'Revenues 9-14'!C84</f>
        <v>25418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31608</v>
      </c>
      <c r="G104" s="745"/>
    </row>
    <row r="105" spans="1:7" x14ac:dyDescent="0.2">
      <c r="A105" s="741" t="s">
        <v>456</v>
      </c>
      <c r="B105" s="741" t="s">
        <v>803</v>
      </c>
      <c r="C105" s="743">
        <f>'Revenues 9-14'!B106</f>
        <v>1993</v>
      </c>
      <c r="D105" s="744" t="str">
        <f>'Revenues 9-14'!A106</f>
        <v>Other Local Fees (Describe &amp; Itemize)</v>
      </c>
      <c r="E105" s="739"/>
      <c r="F105" s="1793">
        <f>('Revenues 9-14'!C106)</f>
        <v>41629</v>
      </c>
      <c r="G105" s="745"/>
    </row>
    <row r="106" spans="1:7" x14ac:dyDescent="0.2">
      <c r="A106" s="741" t="s">
        <v>500</v>
      </c>
      <c r="B106" s="741" t="s">
        <v>1907</v>
      </c>
      <c r="C106" s="746">
        <v>3100</v>
      </c>
      <c r="D106" s="752" t="str">
        <f>'Revenues 9-14'!A132</f>
        <v>Total Special Education</v>
      </c>
      <c r="E106" s="739"/>
      <c r="F106" s="1793">
        <f>SUM('Revenues 9-14'!C132:D132,'Revenues 9-14'!F132)</f>
        <v>89562</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3821</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206791</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1923</v>
      </c>
      <c r="C122" s="761">
        <f>'Revenues 9-14'!B168</f>
        <v>3999</v>
      </c>
      <c r="D122" s="762" t="s">
        <v>540</v>
      </c>
      <c r="E122" s="764"/>
      <c r="F122" s="1793">
        <f>SUM('Revenues 9-14'!C168:G168,'Revenues 9-14'!J168)</f>
        <v>22429</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328076</v>
      </c>
      <c r="G126" s="763"/>
    </row>
    <row r="127" spans="1:7" x14ac:dyDescent="0.2">
      <c r="A127" s="760" t="s">
        <v>663</v>
      </c>
      <c r="B127" s="760" t="s">
        <v>1928</v>
      </c>
      <c r="C127" s="765">
        <v>4300</v>
      </c>
      <c r="D127" s="766" t="str">
        <f>'Revenues 9-14'!A204</f>
        <v>Total Title I</v>
      </c>
      <c r="E127" s="739"/>
      <c r="F127" s="1793">
        <f>SUM('Revenues 9-14'!C204,'Revenues 9-14'!D204,'Revenues 9-14'!F204,'Revenues 9-14'!G204)</f>
        <v>228642</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91195</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10889</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19284</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34994</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14688</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46191</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202866</v>
      </c>
      <c r="G172" s="760"/>
    </row>
    <row r="173" spans="1:7" x14ac:dyDescent="0.2">
      <c r="A173" s="1529" t="s">
        <v>659</v>
      </c>
      <c r="B173" s="1530" t="s">
        <v>1882</v>
      </c>
      <c r="C173" s="1531">
        <v>3300</v>
      </c>
      <c r="D173" s="1532" t="s">
        <v>1885</v>
      </c>
      <c r="E173" s="739"/>
      <c r="F173" s="1794">
        <v>88714</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1566387</v>
      </c>
    </row>
    <row r="176" spans="1:7" ht="12" customHeight="1" x14ac:dyDescent="0.2">
      <c r="A176" s="1443"/>
      <c r="B176" s="1453"/>
      <c r="C176" s="1454"/>
      <c r="D176" s="1455" t="s">
        <v>2011</v>
      </c>
      <c r="E176" s="1456"/>
      <c r="F176" s="1793">
        <f>'PCTC-OEPP 27-28'!F78-F175</f>
        <v>8055381</v>
      </c>
    </row>
    <row r="177" spans="1:9" ht="12" customHeight="1" x14ac:dyDescent="0.2">
      <c r="A177" s="1443"/>
      <c r="B177" s="1453"/>
      <c r="C177" s="1454"/>
      <c r="D177" s="1455" t="s">
        <v>1791</v>
      </c>
      <c r="E177" s="1456"/>
      <c r="F177" s="1793">
        <f>'Cap Outlay Deprec 26'!I18</f>
        <v>597616</v>
      </c>
    </row>
    <row r="178" spans="1:9" ht="12" customHeight="1" x14ac:dyDescent="0.2">
      <c r="A178" s="1443"/>
      <c r="B178" s="1453"/>
      <c r="C178" s="1454"/>
      <c r="D178" s="1455" t="s">
        <v>2012</v>
      </c>
      <c r="E178" s="1456"/>
      <c r="F178" s="1793">
        <f>F176+F177</f>
        <v>8652997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534.79999999999995</v>
      </c>
      <c r="G179" s="763"/>
      <c r="I179" s="701"/>
    </row>
    <row r="180" spans="1:9" ht="12" customHeight="1" thickBot="1" x14ac:dyDescent="0.25">
      <c r="A180" s="1443"/>
      <c r="B180" s="1457"/>
      <c r="C180" s="1454"/>
      <c r="D180" s="1455" t="s">
        <v>2014</v>
      </c>
      <c r="E180" s="1456" t="s">
        <v>1528</v>
      </c>
      <c r="F180" s="1798">
        <f>F178/F179</f>
        <v>16179.874719521318</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2" zoomScaleNormal="100" workbookViewId="0">
      <selection activeCell="D17" sqref="D17"/>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7" t="s">
        <v>1792</v>
      </c>
      <c r="B4" s="2378"/>
      <c r="C4" s="2378"/>
      <c r="D4" s="2378"/>
      <c r="E4" s="2378"/>
      <c r="F4" s="2379"/>
    </row>
    <row r="5" spans="1:6" x14ac:dyDescent="0.25">
      <c r="A5" s="2380"/>
      <c r="B5" s="2381"/>
      <c r="C5" s="2381"/>
      <c r="D5" s="2381"/>
      <c r="E5" s="2381"/>
      <c r="F5" s="2382"/>
    </row>
    <row r="6" spans="1:6" ht="18.75" x14ac:dyDescent="0.25">
      <c r="A6" s="1867" t="s">
        <v>1793</v>
      </c>
      <c r="B6" s="1868"/>
      <c r="C6" s="1869"/>
      <c r="D6" s="1869"/>
      <c r="E6" s="1869"/>
      <c r="F6" s="1870"/>
    </row>
    <row r="7" spans="1:6" ht="47.25" customHeight="1" x14ac:dyDescent="0.25">
      <c r="A7" s="2383" t="s">
        <v>1982</v>
      </c>
      <c r="B7" s="2384"/>
      <c r="C7" s="2384"/>
      <c r="D7" s="2384"/>
      <c r="E7" s="2384"/>
      <c r="F7" s="2385"/>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6" t="s">
        <v>1978</v>
      </c>
      <c r="B10" s="2387"/>
      <c r="C10" s="2387"/>
      <c r="D10" s="2387"/>
      <c r="E10" s="2387"/>
      <c r="F10" s="2388"/>
    </row>
    <row r="11" spans="1:6" ht="33" customHeight="1" x14ac:dyDescent="0.25">
      <c r="A11" s="2383" t="s">
        <v>1983</v>
      </c>
      <c r="B11" s="2384"/>
      <c r="C11" s="2384"/>
      <c r="D11" s="2384"/>
      <c r="E11" s="2384"/>
      <c r="F11" s="2385"/>
    </row>
    <row r="12" spans="1:6" ht="15" customHeight="1" x14ac:dyDescent="0.25">
      <c r="A12" s="1873" t="s">
        <v>1979</v>
      </c>
      <c r="B12" s="1874"/>
      <c r="C12" s="1875"/>
      <c r="D12" s="1875"/>
      <c r="E12" s="1875"/>
      <c r="F12" s="1876"/>
    </row>
    <row r="13" spans="1:6" ht="17.25" customHeight="1" x14ac:dyDescent="0.25">
      <c r="A13" s="2383" t="s">
        <v>1980</v>
      </c>
      <c r="B13" s="2384"/>
      <c r="C13" s="2384"/>
      <c r="D13" s="2384"/>
      <c r="E13" s="2384"/>
      <c r="F13" s="2385"/>
    </row>
    <row r="14" spans="1:6" ht="15" customHeight="1" x14ac:dyDescent="0.25">
      <c r="A14" s="1873" t="s">
        <v>1797</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5" t="s">
        <v>2070</v>
      </c>
      <c r="B18" s="1908">
        <v>102300300</v>
      </c>
      <c r="C18" s="2036" t="s">
        <v>2071</v>
      </c>
      <c r="D18" s="1886">
        <v>36000</v>
      </c>
      <c r="E18" s="1906" t="str">
        <f t="shared" ref="E18:E81" si="0">IF(D18&lt;25000,D18,"25,000")</f>
        <v>25,000</v>
      </c>
      <c r="F18" s="1906">
        <f t="shared" ref="F18:F81" si="1">IF(D18&gt;=25000,(D18-E18),"0")</f>
        <v>11000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36000</v>
      </c>
      <c r="E142" s="1893">
        <f>SUM(E18:E141)</f>
        <v>0</v>
      </c>
      <c r="F142" s="1894">
        <f>SUM(F18:F141)</f>
        <v>11000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B23" sqref="B2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253777</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19362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5873837</v>
      </c>
      <c r="F19" s="1802"/>
      <c r="G19" s="1804">
        <f>'Expenditures 15-22'!K33-SUM('Expenditures 15-22'!G33,'Expenditures 15-22'!I33)+'Expenditures 15-22'!D229</f>
        <v>5873837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456059</v>
      </c>
      <c r="F21" s="1805"/>
      <c r="G21" s="1808">
        <f>'Expenditures 15-22'!K42-SUM('Expenditures 15-22'!G42,'Expenditures 15-22'!I42)+'Expenditures 15-22'!K120-SUM('Expenditures 15-22'!G120,'Expenditures 15-22'!I120)+'Expenditures 15-22'!K180-SUM('Expenditures 15-22'!G180,'Expenditures 15-22'!I180)+'Expenditures 15-22'!D238</f>
        <v>456059</v>
      </c>
      <c r="H21" s="817"/>
      <c r="I21" s="157"/>
    </row>
    <row r="22" spans="1:9" s="542" customFormat="1" ht="12" customHeight="1" x14ac:dyDescent="0.2">
      <c r="A22" s="824" t="s">
        <v>560</v>
      </c>
      <c r="B22" s="825"/>
      <c r="C22" s="823">
        <v>2200</v>
      </c>
      <c r="D22" s="1805"/>
      <c r="E22" s="1807">
        <f>'Expenditures 15-22'!K47-SUM('Expenditures 15-22'!G47,'Expenditures 15-22'!I47)+'Expenditures 15-22'!D243</f>
        <v>111045</v>
      </c>
      <c r="F22" s="1805"/>
      <c r="G22" s="1808">
        <f>'Expenditures 15-22'!K47-SUM('Expenditures 15-22'!G47,'Expenditures 15-22'!I47)+'Expenditures 15-22'!D243</f>
        <v>111045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553441</v>
      </c>
      <c r="F23" s="1805"/>
      <c r="G23" s="1807">
        <f>'Expenditures 15-22'!K53-SUM('Expenditures 15-22'!G53,'Expenditures 15-22'!I53)+'Expenditures 15-22'!D257+'Expenditures 15-22'!K330-SUM('Expenditures 15-22'!G330,'Expenditures 15-22'!I330)</f>
        <v>553441</v>
      </c>
      <c r="H23" s="817"/>
      <c r="I23" s="157"/>
    </row>
    <row r="24" spans="1:9" s="542" customFormat="1" ht="12" customHeight="1" x14ac:dyDescent="0.2">
      <c r="A24" s="824" t="s">
        <v>562</v>
      </c>
      <c r="B24" s="825"/>
      <c r="C24" s="823">
        <v>2400</v>
      </c>
      <c r="D24" s="1805"/>
      <c r="E24" s="1807">
        <f>'Expenditures 15-22'!K57-SUM('Expenditures 15-22'!G57,'Expenditures 15-22'!I57)+'Expenditures 15-22'!D261</f>
        <v>613737</v>
      </c>
      <c r="F24" s="1805"/>
      <c r="G24" s="1808">
        <f>'Expenditures 15-22'!K57-SUM('Expenditures 15-22'!G57,'Expenditures 15-22'!I57)+'Expenditures 15-22'!D261</f>
        <v>613737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29719</v>
      </c>
      <c r="E26" s="1807">
        <f>'Expenditures 15-22'!K122-SUM('Expenditures 15-22'!G122,'Expenditures 15-22'!I122)+E7</f>
        <v>0</v>
      </c>
      <c r="F26" s="1807">
        <f>'Expenditures 15-22'!K59-SUM('Expenditures 15-22'!G59,'Expenditures 15-22'!I59)+'Expenditures 15-22'!D263-E7</f>
        <v>29719</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267807</v>
      </c>
      <c r="E27" s="1807">
        <f>E8</f>
        <v>0</v>
      </c>
      <c r="F27" s="1807">
        <f>'Expenditures 15-22'!K60-SUM('Expenditures 15-22'!G60,'Expenditures 15-22'!I60)+'Expenditures 15-22'!D264-E8</f>
        <v>267807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1023982</v>
      </c>
      <c r="F28" s="1809">
        <f>'Expenditures 15-22'!K61-SUM('Expenditures 15-22'!G61,'Expenditures 15-22'!I61)+'Expenditures 15-22'!K124-SUM('Expenditures 15-22'!G124,'Expenditures 15-22'!I124)+'Expenditures 15-22'!D266-E9</f>
        <v>1023982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709296</v>
      </c>
      <c r="F29" s="1805"/>
      <c r="G29" s="1808">
        <f>'Expenditures 15-22'!K62-SUM('Expenditures 15-22'!G62,'Expenditures 15-22'!I62)+'Expenditures 15-22'!K125-SUM('Expenditures 15-22'!G125,'Expenditures 15-22'!I125)+'Expenditures 15-22'!K182-SUM('Expenditures 15-22'!G182,'Expenditures 15-22'!I182)+'Expenditures 15-22'!D267</f>
        <v>709296</v>
      </c>
      <c r="H29" s="815"/>
    </row>
    <row r="30" spans="1:9" ht="12" customHeight="1" x14ac:dyDescent="0.2">
      <c r="A30" s="824" t="s">
        <v>100</v>
      </c>
      <c r="B30" s="827"/>
      <c r="C30" s="823">
        <v>2560</v>
      </c>
      <c r="D30" s="1805"/>
      <c r="E30" s="1807">
        <f>'Expenditures 15-22'!K63-SUM('Expenditures 15-22'!G63,'Expenditures 15-22'!I63)+'Expenditures 15-22'!D268-E10</f>
        <v>125569</v>
      </c>
      <c r="F30" s="1805"/>
      <c r="G30" s="1807">
        <f>'Expenditures 15-22'!K63-SUM('Expenditures 15-22'!G63,'Expenditures 15-22'!I63)+'Expenditures 15-22'!D268-E10</f>
        <v>125569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-11000</v>
      </c>
      <c r="F40" s="1805"/>
      <c r="G40" s="1809">
        <f>-'Contracts Paid in CY 29'!F142</f>
        <v>-11000</v>
      </c>
    </row>
    <row r="41" spans="1:7" ht="12" customHeight="1" x14ac:dyDescent="0.2">
      <c r="A41" s="828" t="s">
        <v>155</v>
      </c>
      <c r="B41" s="829"/>
      <c r="C41" s="830"/>
      <c r="D41" s="1809">
        <f>SUM(D19:D39)</f>
        <v>297526</v>
      </c>
      <c r="E41" s="1809">
        <f>SUM(E19:E40)</f>
        <v>9455966</v>
      </c>
      <c r="F41" s="1809">
        <f>SUM(F19:F39)</f>
        <v>1321508</v>
      </c>
      <c r="G41" s="1809">
        <f>SUM(G19:G40)</f>
        <v>8431984</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297526</v>
      </c>
      <c r="F43" s="1458" t="s">
        <v>470</v>
      </c>
      <c r="G43" s="1810">
        <f>F41</f>
        <v>1321508</v>
      </c>
    </row>
    <row r="44" spans="1:7" ht="12" customHeight="1" x14ac:dyDescent="0.2">
      <c r="A44" s="817"/>
      <c r="B44" s="157"/>
      <c r="C44" s="831"/>
      <c r="D44" s="1458" t="s">
        <v>471</v>
      </c>
      <c r="E44" s="1810">
        <f>E41</f>
        <v>9455966</v>
      </c>
      <c r="F44" s="1458" t="s">
        <v>471</v>
      </c>
      <c r="G44" s="1810">
        <f>G41</f>
        <v>8431984</v>
      </c>
    </row>
    <row r="45" spans="1:7" ht="12" customHeight="1" x14ac:dyDescent="0.2">
      <c r="A45" s="817"/>
      <c r="B45" s="157"/>
      <c r="C45" s="157"/>
      <c r="D45" s="1459" t="s">
        <v>999</v>
      </c>
      <c r="E45" s="1811">
        <f>(E43/E44)</f>
        <v>3.1464368632459126E-2</v>
      </c>
      <c r="F45" s="1459" t="s">
        <v>999</v>
      </c>
      <c r="G45" s="1811">
        <f>(G43/G44)</f>
        <v>0.15672562946039745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D26" sqref="D2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Rhodes SD 84-5</v>
      </c>
      <c r="D6" s="2404"/>
      <c r="E6" s="2404"/>
      <c r="F6" s="1482"/>
      <c r="G6" s="1507"/>
      <c r="L6" s="1507"/>
      <c r="M6" s="1855"/>
      <c r="N6" s="1855"/>
      <c r="O6" s="1855"/>
    </row>
    <row r="7" spans="1:15" ht="11.25" customHeight="1" thickBot="1" x14ac:dyDescent="0.3">
      <c r="A7" s="1480"/>
      <c r="B7" s="1481"/>
      <c r="C7" s="2405">
        <f>COVER!A13</f>
        <v>6016084502</v>
      </c>
      <c r="D7" s="2405"/>
      <c r="E7" s="2405"/>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2048</v>
      </c>
      <c r="D19" s="1495" t="s">
        <v>2048</v>
      </c>
      <c r="E19" s="1498"/>
      <c r="F19" s="1497" t="s">
        <v>2067</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2048</v>
      </c>
      <c r="D20" s="1495" t="s">
        <v>2048</v>
      </c>
      <c r="E20" s="1498"/>
      <c r="F20" s="1497" t="s">
        <v>2068</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c r="F26" s="1497" t="s">
        <v>2069</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N15" sqref="N15"/>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Rhodes SD 84-5</v>
      </c>
      <c r="K6" s="2420"/>
      <c r="L6" s="2421"/>
      <c r="M6" s="838"/>
      <c r="N6" s="1998"/>
    </row>
    <row r="7" spans="1:14" x14ac:dyDescent="0.2">
      <c r="A7" s="2422" t="s">
        <v>864</v>
      </c>
      <c r="B7" s="2423"/>
      <c r="C7" s="2423"/>
      <c r="D7" s="2423"/>
      <c r="E7" s="2424"/>
      <c r="F7" s="839"/>
      <c r="G7" s="838"/>
      <c r="H7" s="838"/>
      <c r="I7" s="1924" t="s">
        <v>369</v>
      </c>
      <c r="J7" s="2425">
        <f>COVER!A13</f>
        <v>6016084502</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296743</v>
      </c>
      <c r="F12" s="1942"/>
      <c r="G12" s="1968">
        <f>G68</f>
        <v>0</v>
      </c>
      <c r="H12" s="1944">
        <f t="shared" ref="H12:H18" si="0">SUM(E12:G12)</f>
        <v>296743</v>
      </c>
      <c r="I12" s="1943">
        <v>286700</v>
      </c>
      <c r="J12" s="1942"/>
      <c r="K12" s="1943"/>
      <c r="L12" s="1944">
        <f t="shared" ref="L12:L18" si="1">SUM(I12:K12)</f>
        <v>286700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29719</v>
      </c>
      <c r="F15" s="1944">
        <f>'Expenditures 15-22'!K122</f>
        <v>0</v>
      </c>
      <c r="G15" s="1968">
        <f>J68</f>
        <v>0</v>
      </c>
      <c r="H15" s="1944">
        <f t="shared" si="0"/>
        <v>29719</v>
      </c>
      <c r="I15" s="1943">
        <v>41000</v>
      </c>
      <c r="J15" s="1943"/>
      <c r="K15" s="1943"/>
      <c r="L15" s="1944">
        <f t="shared" si="1"/>
        <v>41000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326462</v>
      </c>
      <c r="F19" s="1950">
        <f t="shared" si="2"/>
        <v>0</v>
      </c>
      <c r="G19" s="1950">
        <f t="shared" ref="G19" si="3">SUM(G12:G17)-G18</f>
        <v>0</v>
      </c>
      <c r="H19" s="1950">
        <f t="shared" si="2"/>
        <v>326462</v>
      </c>
      <c r="I19" s="1950">
        <f t="shared" si="2"/>
        <v>327700</v>
      </c>
      <c r="J19" s="1950">
        <f t="shared" si="2"/>
        <v>0</v>
      </c>
      <c r="K19" s="1950">
        <f t="shared" si="2"/>
        <v>0</v>
      </c>
      <c r="L19" s="1950">
        <f t="shared" si="2"/>
        <v>327700</v>
      </c>
      <c r="M19" s="838"/>
      <c r="N19" s="1998"/>
    </row>
    <row r="20" spans="1:14" ht="13.5" thickTop="1" x14ac:dyDescent="0.2">
      <c r="A20" s="2003">
        <v>9</v>
      </c>
      <c r="B20" s="2432" t="s">
        <v>2018</v>
      </c>
      <c r="C20" s="2432"/>
      <c r="D20" s="2433"/>
      <c r="E20" s="1951"/>
      <c r="F20" s="1951"/>
      <c r="G20" s="1951"/>
      <c r="H20" s="1951"/>
      <c r="I20" s="1951"/>
      <c r="J20" s="1951"/>
      <c r="K20" s="1951"/>
      <c r="L20" s="1952">
        <f>IF(AND(H19&gt;0,L19&gt;0),(((L19-H19)/H19)),"Enter Budget Data")</f>
        <v>3.7921718301058009E-3</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2021</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2022</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2023</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2024</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47" t="s">
        <v>2026</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Rhodes SD 84-5</v>
      </c>
      <c r="M52" s="2420"/>
      <c r="N52" s="2450"/>
    </row>
    <row r="53" spans="1:14" x14ac:dyDescent="0.2">
      <c r="A53" s="1982"/>
      <c r="B53" s="1983"/>
      <c r="C53" s="1983"/>
      <c r="D53" s="1983"/>
      <c r="E53" s="1983"/>
      <c r="F53" s="1983"/>
      <c r="G53" s="1983"/>
      <c r="H53" s="1983"/>
      <c r="I53" s="1983"/>
      <c r="J53" s="1983"/>
      <c r="K53" s="1924" t="s">
        <v>369</v>
      </c>
      <c r="L53" s="2425">
        <f>J7</f>
        <v>6016084502</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2027</v>
      </c>
      <c r="H55" s="2454"/>
      <c r="I55" s="2454"/>
      <c r="J55" s="2454"/>
      <c r="K55" s="2454"/>
      <c r="L55" s="2454"/>
      <c r="M55" s="2454"/>
      <c r="N55" s="2455"/>
    </row>
    <row r="56" spans="1:14" ht="63.75" x14ac:dyDescent="0.2">
      <c r="A56" s="2456" t="s">
        <v>2028</v>
      </c>
      <c r="B56" s="2457"/>
      <c r="C56" s="2458"/>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2038</v>
      </c>
      <c r="B58" s="2439"/>
      <c r="C58" s="2439"/>
      <c r="D58" s="1967">
        <v>2362</v>
      </c>
      <c r="E58" s="1977">
        <f>'Expenditures 15-22'!K320</f>
        <v>53490</v>
      </c>
      <c r="F58" s="1972"/>
      <c r="G58" s="2031"/>
      <c r="H58" s="2032"/>
      <c r="I58" s="2032"/>
      <c r="J58" s="2032"/>
      <c r="K58" s="2032"/>
      <c r="L58" s="2032"/>
      <c r="M58" s="2032">
        <v>53490</v>
      </c>
      <c r="N58" s="1975">
        <f>IF((SUM(G58:M58))=E58,SUM(G58:M58),"Column N does not agree with Column E")</f>
        <v>53490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28884</v>
      </c>
      <c r="F60" s="1972"/>
      <c r="G60" s="2031"/>
      <c r="H60" s="2032"/>
      <c r="I60" s="2032"/>
      <c r="J60" s="2032"/>
      <c r="K60" s="2032"/>
      <c r="L60" s="2032"/>
      <c r="M60" s="2032">
        <v>28884</v>
      </c>
      <c r="N60" s="1975">
        <f t="shared" ref="N60:N67" si="4">IF((SUM(G60:M60))=E60,SUM(G60:M60),"Column N does not agree with Column E")</f>
        <v>28884</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2039</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82374</v>
      </c>
      <c r="F68" s="1973"/>
      <c r="G68" s="1974">
        <f t="shared" ref="G68:N68" si="5">SUM(G57:G67)</f>
        <v>0</v>
      </c>
      <c r="H68" s="1974">
        <f t="shared" si="5"/>
        <v>0</v>
      </c>
      <c r="I68" s="1974">
        <f t="shared" si="5"/>
        <v>0</v>
      </c>
      <c r="J68" s="1974">
        <f t="shared" si="5"/>
        <v>0</v>
      </c>
      <c r="K68" s="1974">
        <f t="shared" si="5"/>
        <v>0</v>
      </c>
      <c r="L68" s="1974">
        <f t="shared" si="5"/>
        <v>0</v>
      </c>
      <c r="M68" s="1974">
        <f t="shared" si="5"/>
        <v>82374</v>
      </c>
      <c r="N68" s="1988">
        <f t="shared" si="5"/>
        <v>82374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Rhodes SD 84-5</v>
      </c>
    </row>
    <row r="65" spans="2:2" x14ac:dyDescent="0.2">
      <c r="B65" s="849">
        <f>COVER!A13</f>
        <v>6016084502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742950</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1969</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10937113</v>
      </c>
      <c r="C8" s="1813">
        <f>'Acct Summary 7-8'!D8</f>
        <v>1026999</v>
      </c>
      <c r="D8" s="1813">
        <f>'Acct Summary 7-8'!F8</f>
        <v>496370</v>
      </c>
      <c r="E8" s="1813">
        <f>'Acct Summary 7-8'!I8</f>
        <v>91151</v>
      </c>
      <c r="F8" s="1813">
        <f>SUM(B8:E8)</f>
        <v>12551633</v>
      </c>
    </row>
    <row r="9" spans="1:8" s="858" customFormat="1" ht="14.25" customHeight="1" thickBot="1" x14ac:dyDescent="0.25">
      <c r="A9" s="857" t="s">
        <v>1353</v>
      </c>
      <c r="B9" s="1814">
        <f>'Acct Summary 7-8'!C17</f>
        <v>8610291</v>
      </c>
      <c r="C9" s="1814">
        <f>'Acct Summary 7-8'!D17</f>
        <v>1474558</v>
      </c>
      <c r="D9" s="1814">
        <f>'Acct Summary 7-8'!F17</f>
        <v>659029</v>
      </c>
      <c r="E9" s="1813"/>
      <c r="F9" s="1813">
        <f>SUM(B9:E9)</f>
        <v>10743878</v>
      </c>
    </row>
    <row r="10" spans="1:8" s="858" customFormat="1" ht="14.25" thickTop="1" thickBot="1" x14ac:dyDescent="0.25">
      <c r="A10" s="859" t="s">
        <v>1354</v>
      </c>
      <c r="B10" s="1815">
        <f>(B8-B9)</f>
        <v>2326822</v>
      </c>
      <c r="C10" s="1815">
        <f>(C8-C9)</f>
        <v>-447559</v>
      </c>
      <c r="D10" s="1815">
        <f>(D8-D9)</f>
        <v>-162659</v>
      </c>
      <c r="E10" s="1814">
        <f>(E8-E9)</f>
        <v>91151</v>
      </c>
      <c r="F10" s="1816">
        <f>SUM(F8-F9)</f>
        <v>1807755</v>
      </c>
    </row>
    <row r="11" spans="1:8" s="858" customFormat="1" ht="14.25" thickTop="1" thickBot="1" x14ac:dyDescent="0.25">
      <c r="A11" s="860" t="s">
        <v>1900</v>
      </c>
      <c r="B11" s="1817">
        <f>'Acct Summary 7-8'!C81</f>
        <v>17241691</v>
      </c>
      <c r="C11" s="1817">
        <f>'Acct Summary 7-8'!D81</f>
        <v>120675</v>
      </c>
      <c r="D11" s="1817">
        <f>'Acct Summary 7-8'!F81</f>
        <v>43571</v>
      </c>
      <c r="E11" s="1817">
        <f>'Acct Summary 7-8'!I81</f>
        <v>139163</v>
      </c>
      <c r="F11" s="1818">
        <f>SUM(B11:E11)</f>
        <v>17545100</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3" colorId="8" zoomScale="110" zoomScaleNormal="110" workbookViewId="0">
      <selection activeCell="D20" sqref="D2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6016084502</v>
      </c>
      <c r="E2" s="1542">
        <v>2020</v>
      </c>
      <c r="F2" s="1542">
        <v>1</v>
      </c>
      <c r="G2" s="1899">
        <v>101000300</v>
      </c>
    </row>
    <row r="3" spans="1:7" ht="15" x14ac:dyDescent="0.25">
      <c r="A3" t="s">
        <v>950</v>
      </c>
      <c r="B3" s="135" t="str">
        <f>COVER!A15</f>
        <v>COOK</v>
      </c>
      <c r="E3" s="1830" t="s">
        <v>1968</v>
      </c>
      <c r="F3" s="1830" t="s">
        <v>1967</v>
      </c>
      <c r="G3" s="1899">
        <v>101000400</v>
      </c>
    </row>
    <row r="4" spans="1:7" ht="15" x14ac:dyDescent="0.25">
      <c r="A4" t="s">
        <v>1000</v>
      </c>
      <c r="B4" s="135" t="str">
        <f>COVER!A17</f>
        <v xml:space="preserve"> Rhodes SD 84-5</v>
      </c>
      <c r="E4" s="1828">
        <v>44119</v>
      </c>
      <c r="F4" s="1829">
        <v>44151</v>
      </c>
      <c r="G4" s="1899">
        <v>101000600</v>
      </c>
    </row>
    <row r="5" spans="1:7" ht="15" x14ac:dyDescent="0.25">
      <c r="A5" t="s">
        <v>699</v>
      </c>
      <c r="B5" s="135" t="str">
        <f>COVER!A38</f>
        <v>MR. JIM PRATHER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066--003289</v>
      </c>
      <c r="G15" s="1899">
        <v>402100400</v>
      </c>
    </row>
    <row r="16" spans="1:7" ht="15" x14ac:dyDescent="0.25">
      <c r="A16" t="s">
        <v>419</v>
      </c>
      <c r="B16" s="135" t="str">
        <f>COVER!T13</f>
        <v>EVOY, KAMSCHULTE, JACOBS &amp; CO. LLP</v>
      </c>
      <c r="G16" s="1899">
        <v>402100600</v>
      </c>
    </row>
    <row r="17" spans="1:7" ht="15" x14ac:dyDescent="0.25">
      <c r="A17" t="s">
        <v>878</v>
      </c>
      <c r="B17" s="135" t="str">
        <f>COVER!T15</f>
        <v>JAMES HENRY, CPA</v>
      </c>
      <c r="G17" s="1899">
        <v>402100800</v>
      </c>
    </row>
    <row r="18" spans="1:7" ht="15" x14ac:dyDescent="0.25">
      <c r="A18" t="s">
        <v>1140</v>
      </c>
      <c r="B18" s="135" t="str">
        <f>COVER!T17</f>
        <v>2122 YEOMAN STREET</v>
      </c>
      <c r="G18" s="1899">
        <v>102200300</v>
      </c>
    </row>
    <row r="19" spans="1:7" ht="15" x14ac:dyDescent="0.25">
      <c r="A19" t="s">
        <v>880</v>
      </c>
      <c r="B19" s="135" t="str">
        <f>COVER!T25</f>
        <v>JHENRY@EKJLLP.COM</v>
      </c>
      <c r="G19" s="1899">
        <v>102200400</v>
      </c>
    </row>
    <row r="20" spans="1:7" ht="15" x14ac:dyDescent="0.25">
      <c r="A20" t="s">
        <v>881</v>
      </c>
      <c r="B20" s="135" t="str">
        <f>COVER!T19</f>
        <v>WAUKEGAN</v>
      </c>
      <c r="G20" s="1899">
        <v>102200600</v>
      </c>
    </row>
    <row r="21" spans="1:7" ht="15" x14ac:dyDescent="0.25">
      <c r="A21" t="s">
        <v>476</v>
      </c>
      <c r="B21" s="135" t="str">
        <f>COVER!X19</f>
        <v>IL</v>
      </c>
      <c r="G21" s="1899">
        <v>102200800</v>
      </c>
    </row>
    <row r="22" spans="1:7" ht="15" x14ac:dyDescent="0.25">
      <c r="A22" t="s">
        <v>882</v>
      </c>
      <c r="B22" s="135">
        <f>COVER!Z19</f>
        <v>60087</v>
      </c>
      <c r="G22" s="1899">
        <v>102300300</v>
      </c>
    </row>
    <row r="23" spans="1:7" ht="15" x14ac:dyDescent="0.25">
      <c r="A23" t="s">
        <v>1142</v>
      </c>
      <c r="B23" s="135" t="str">
        <f>COVER!T21</f>
        <v>847-662-8300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34700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17247759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6068</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6068</v>
      </c>
      <c r="C91" s="2" t="s">
        <v>569</v>
      </c>
      <c r="D91" s="2" t="str">
        <f t="shared" si="0"/>
        <v>Error?</v>
      </c>
      <c r="G91" s="1899">
        <v>102640400</v>
      </c>
    </row>
    <row r="92" spans="1:7" ht="15" x14ac:dyDescent="0.25">
      <c r="A92" s="5">
        <v>31</v>
      </c>
      <c r="B92" s="1832">
        <f>'Assets-Liab 5-6'!C39</f>
        <v>17241691</v>
      </c>
      <c r="D92" s="2" t="str">
        <f t="shared" si="0"/>
        <v>Error?</v>
      </c>
      <c r="G92" s="1899">
        <v>102640600</v>
      </c>
    </row>
    <row r="93" spans="1:7" ht="15" x14ac:dyDescent="0.25">
      <c r="A93" s="5">
        <v>32</v>
      </c>
      <c r="B93" s="1832">
        <f>'Assets-Liab 5-6'!C41</f>
        <v>17247759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120675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120675</v>
      </c>
      <c r="D123" s="2" t="str">
        <f t="shared" si="0"/>
        <v>Error?</v>
      </c>
      <c r="G123" s="1899">
        <v>203000400</v>
      </c>
    </row>
    <row r="124" spans="1:7" ht="15" x14ac:dyDescent="0.25">
      <c r="A124" s="5">
        <v>63</v>
      </c>
      <c r="B124" s="1832">
        <f>'Assets-Liab 5-6'!D41</f>
        <v>120675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30637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30637</v>
      </c>
      <c r="D140" s="2" t="str">
        <f t="shared" si="1"/>
        <v>Error?</v>
      </c>
    </row>
    <row r="141" spans="1:7" x14ac:dyDescent="0.2">
      <c r="A141" s="5">
        <v>80</v>
      </c>
      <c r="B141" s="1832">
        <f>'Assets-Liab 5-6'!E41</f>
        <v>30637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43571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43571</v>
      </c>
      <c r="D170" s="2" t="str">
        <f t="shared" si="1"/>
        <v>Error?</v>
      </c>
    </row>
    <row r="171" spans="1:4" x14ac:dyDescent="0.2">
      <c r="A171" s="5">
        <v>110</v>
      </c>
      <c r="B171" s="1832">
        <f>'Assets-Liab 5-6'!F41</f>
        <v>43571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285557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285557</v>
      </c>
      <c r="D189" s="2" t="str">
        <f t="shared" si="1"/>
        <v>Error?</v>
      </c>
    </row>
    <row r="190" spans="1:4" x14ac:dyDescent="0.2">
      <c r="A190" s="5">
        <v>129</v>
      </c>
      <c r="B190" s="1832">
        <f>'Assets-Liab 5-6'!G41</f>
        <v>285557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85203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85203</v>
      </c>
      <c r="D212" s="2" t="str">
        <f t="shared" si="2"/>
        <v>Error?</v>
      </c>
    </row>
    <row r="213" spans="1:4" x14ac:dyDescent="0.2">
      <c r="A213" s="12">
        <v>152</v>
      </c>
      <c r="B213" s="1832">
        <f>'Assets-Liab 5-6'!H41</f>
        <v>85203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7000</v>
      </c>
      <c r="D273" s="2" t="str">
        <f t="shared" si="3"/>
        <v>Error?</v>
      </c>
    </row>
    <row r="274" spans="1:4" x14ac:dyDescent="0.2">
      <c r="A274" s="5">
        <v>213</v>
      </c>
      <c r="B274" s="1832">
        <f>'Assets-Liab 5-6'!M17</f>
        <v>14547536</v>
      </c>
      <c r="D274" s="2" t="str">
        <f t="shared" si="3"/>
        <v>Error?</v>
      </c>
    </row>
    <row r="275" spans="1:4" x14ac:dyDescent="0.2">
      <c r="A275" s="5">
        <v>214</v>
      </c>
      <c r="B275" s="1832">
        <f>'Assets-Liab 5-6'!M18</f>
        <v>92142</v>
      </c>
      <c r="D275" s="2" t="str">
        <f t="shared" si="3"/>
        <v>Error?</v>
      </c>
    </row>
    <row r="276" spans="1:4" x14ac:dyDescent="0.2">
      <c r="A276" s="5">
        <v>215</v>
      </c>
      <c r="B276" s="1832">
        <f>'Assets-Liab 5-6'!M19</f>
        <v>800166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15446844</v>
      </c>
      <c r="C279" s="2" t="s">
        <v>569</v>
      </c>
      <c r="D279" s="2" t="str">
        <f t="shared" si="3"/>
        <v>Error?</v>
      </c>
    </row>
    <row r="280" spans="1:4" x14ac:dyDescent="0.2">
      <c r="A280" s="5">
        <v>219</v>
      </c>
      <c r="B280" s="1832">
        <f>'Assets-Liab 5-6'!M40</f>
        <v>15446844</v>
      </c>
      <c r="D280" s="2" t="str">
        <f t="shared" si="3"/>
        <v>Error?</v>
      </c>
    </row>
    <row r="281" spans="1:4" x14ac:dyDescent="0.2">
      <c r="A281" s="5">
        <v>220</v>
      </c>
      <c r="B281" s="1832">
        <f>'Assets-Liab 5-6'!M41</f>
        <v>15446844</v>
      </c>
      <c r="C281" s="2" t="s">
        <v>569</v>
      </c>
      <c r="D281" s="2" t="str">
        <f t="shared" si="3"/>
        <v>Error?</v>
      </c>
    </row>
    <row r="282" spans="1:4" x14ac:dyDescent="0.2">
      <c r="A282" s="5">
        <v>221</v>
      </c>
      <c r="B282" s="1832">
        <f>'Assets-Liab 5-6'!N21</f>
        <v>30637</v>
      </c>
      <c r="D282" s="2" t="str">
        <f t="shared" si="3"/>
        <v>Error?</v>
      </c>
    </row>
    <row r="283" spans="1:4" x14ac:dyDescent="0.2">
      <c r="A283" s="5">
        <v>222</v>
      </c>
      <c r="B283" s="1832">
        <f>'Assets-Liab 5-6'!N22</f>
        <v>5414363</v>
      </c>
      <c r="D283" s="2" t="str">
        <f t="shared" si="3"/>
        <v>Error?</v>
      </c>
    </row>
    <row r="284" spans="1:4" x14ac:dyDescent="0.2">
      <c r="A284" s="5">
        <v>223</v>
      </c>
      <c r="B284" s="1832">
        <f>'Assets-Liab 5-6'!N23</f>
        <v>5445000</v>
      </c>
      <c r="C284" s="2" t="s">
        <v>569</v>
      </c>
      <c r="D284" s="2" t="str">
        <f t="shared" si="3"/>
        <v>Error?</v>
      </c>
    </row>
    <row r="285" spans="1:4" x14ac:dyDescent="0.2">
      <c r="A285" s="5">
        <v>224</v>
      </c>
      <c r="B285" s="1832">
        <f>'Assets-Liab 5-6'!N36</f>
        <v>5445000</v>
      </c>
      <c r="D285" s="2" t="str">
        <f t="shared" si="3"/>
        <v>Error?</v>
      </c>
    </row>
    <row r="286" spans="1:4" x14ac:dyDescent="0.2">
      <c r="A286" s="10">
        <v>225</v>
      </c>
      <c r="B286" s="1832"/>
      <c r="D286" s="2" t="str">
        <f t="shared" si="3"/>
        <v>OK</v>
      </c>
    </row>
    <row r="287" spans="1:4" x14ac:dyDescent="0.2">
      <c r="A287" s="5">
        <v>226</v>
      </c>
      <c r="B287" s="1832">
        <f>'Assets-Liab 5-6'!N37</f>
        <v>5445000</v>
      </c>
      <c r="C287" s="2" t="s">
        <v>569</v>
      </c>
      <c r="D287" s="2" t="str">
        <f t="shared" si="3"/>
        <v>Error?</v>
      </c>
    </row>
    <row r="288" spans="1:4" x14ac:dyDescent="0.2">
      <c r="A288" s="5">
        <v>227</v>
      </c>
      <c r="B288" s="1832">
        <f>'Assets-Liab 5-6'!N41</f>
        <v>5445000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2917272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151574</v>
      </c>
      <c r="D718" s="2" t="str">
        <f t="shared" si="10"/>
        <v>Error?</v>
      </c>
    </row>
    <row r="719" spans="1:4" x14ac:dyDescent="0.2">
      <c r="A719" s="5">
        <v>658</v>
      </c>
      <c r="B719" s="1832">
        <f>'Expenditures 15-22'!C15</f>
        <v>14461</v>
      </c>
      <c r="D719" s="2" t="str">
        <f t="shared" si="10"/>
        <v>Error?</v>
      </c>
    </row>
    <row r="720" spans="1:4" x14ac:dyDescent="0.2">
      <c r="A720" s="5">
        <v>659</v>
      </c>
      <c r="B720" s="1832">
        <f>'Expenditures 15-22'!C33</f>
        <v>4376405</v>
      </c>
      <c r="C720" s="2" t="s">
        <v>569</v>
      </c>
      <c r="D720" s="2" t="str">
        <f t="shared" si="10"/>
        <v>Error?</v>
      </c>
    </row>
    <row r="721" spans="1:4" x14ac:dyDescent="0.2">
      <c r="A721" s="5">
        <v>660</v>
      </c>
      <c r="B721" s="1832">
        <f>'Expenditures 15-22'!C36</f>
        <v>132631</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65998</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59551</v>
      </c>
      <c r="D725" s="2" t="str">
        <f t="shared" si="10"/>
        <v>Error?</v>
      </c>
    </row>
    <row r="726" spans="1:4" x14ac:dyDescent="0.2">
      <c r="A726" s="5">
        <v>665</v>
      </c>
      <c r="B726" s="1832">
        <f>'Expenditures 15-22'!C41</f>
        <v>98219</v>
      </c>
      <c r="D726" s="2" t="str">
        <f t="shared" si="10"/>
        <v>Error?</v>
      </c>
    </row>
    <row r="727" spans="1:4" x14ac:dyDescent="0.2">
      <c r="A727" s="5">
        <v>666</v>
      </c>
      <c r="B727" s="1832">
        <f>'Expenditures 15-22'!C42</f>
        <v>356399</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60771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60771</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250629</v>
      </c>
      <c r="D733" s="2" t="str">
        <f t="shared" si="10"/>
        <v>Error?</v>
      </c>
    </row>
    <row r="734" spans="1:4" x14ac:dyDescent="0.2">
      <c r="A734" s="5">
        <v>673</v>
      </c>
      <c r="B734" s="1832">
        <f>'Expenditures 15-22'!C53</f>
        <v>250629</v>
      </c>
      <c r="C734" s="2" t="s">
        <v>569</v>
      </c>
      <c r="D734" s="2" t="str">
        <f t="shared" si="10"/>
        <v>Error?</v>
      </c>
    </row>
    <row r="735" spans="1:4" x14ac:dyDescent="0.2">
      <c r="A735" s="5">
        <v>674</v>
      </c>
      <c r="B735" s="1832">
        <f>'Expenditures 15-22'!C55</f>
        <v>454247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454247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177391</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95430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272821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1394867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5771272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572382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786363</v>
      </c>
      <c r="C778" s="2" t="s">
        <v>569</v>
      </c>
      <c r="D778" s="2" t="str">
        <f t="shared" si="11"/>
        <v>Error?</v>
      </c>
    </row>
    <row r="779" spans="1:4" x14ac:dyDescent="0.2">
      <c r="A779" s="5">
        <v>718</v>
      </c>
      <c r="B779" s="1832">
        <f>'Expenditures 15-22'!D36</f>
        <v>38667</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9149</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8523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56339</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7891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7891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38353</v>
      </c>
      <c r="D791" s="2" t="str">
        <f t="shared" si="11"/>
        <v>Error?</v>
      </c>
    </row>
    <row r="792" spans="1:4" x14ac:dyDescent="0.2">
      <c r="A792" s="5">
        <v>731</v>
      </c>
      <c r="B792" s="1832">
        <f>'Expenditures 15-22'!D53</f>
        <v>38353</v>
      </c>
      <c r="C792" s="2" t="s">
        <v>569</v>
      </c>
      <c r="D792" s="2" t="str">
        <f t="shared" si="11"/>
        <v>Error?</v>
      </c>
    </row>
    <row r="793" spans="1:4" x14ac:dyDescent="0.2">
      <c r="A793" s="5">
        <v>732</v>
      </c>
      <c r="B793" s="1832">
        <f>'Expenditures 15-22'!D55</f>
        <v>105634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105634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48625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9122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57747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265964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1052327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4809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4220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35415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5654</v>
      </c>
      <c r="D842" s="2" t="str">
        <f t="shared" si="12"/>
        <v>Error?</v>
      </c>
    </row>
    <row r="843" spans="1:4" x14ac:dyDescent="0.2">
      <c r="A843" s="5">
        <v>782</v>
      </c>
      <c r="B843" s="1832">
        <f>'Expenditures 15-22'!E42</f>
        <v>5654</v>
      </c>
      <c r="C843" s="2" t="s">
        <v>569</v>
      </c>
      <c r="D843" s="2" t="str">
        <f t="shared" si="12"/>
        <v>Error?</v>
      </c>
    </row>
    <row r="844" spans="1:4" x14ac:dyDescent="0.2">
      <c r="A844" s="5">
        <v>783</v>
      </c>
      <c r="B844" s="1832">
        <f>'Expenditures 15-22'!E44</f>
        <v>16151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19566</v>
      </c>
      <c r="D846" s="2" t="str">
        <f t="shared" si="12"/>
        <v>Error?</v>
      </c>
    </row>
    <row r="847" spans="1:4" x14ac:dyDescent="0.2">
      <c r="A847" s="5">
        <v>786</v>
      </c>
      <c r="B847" s="1832">
        <f>'Expenditures 15-22'!E47</f>
        <v>35717</v>
      </c>
      <c r="C847" s="2" t="s">
        <v>569</v>
      </c>
      <c r="D847" s="2" t="str">
        <f t="shared" si="12"/>
        <v>Error?</v>
      </c>
    </row>
    <row r="848" spans="1:4" x14ac:dyDescent="0.2">
      <c r="A848" s="5">
        <v>787</v>
      </c>
      <c r="B848" s="1832">
        <f>'Expenditures 15-22'!E49</f>
        <v>154746</v>
      </c>
      <c r="D848" s="2" t="str">
        <f t="shared" si="12"/>
        <v>Error?</v>
      </c>
    </row>
    <row r="849" spans="1:4" x14ac:dyDescent="0.2">
      <c r="A849" s="5">
        <v>788</v>
      </c>
      <c r="B849" s="1832">
        <f>'Expenditures 15-22'!E50</f>
        <v>3071</v>
      </c>
      <c r="D849" s="2" t="str">
        <f t="shared" si="12"/>
        <v>Error?</v>
      </c>
    </row>
    <row r="850" spans="1:4" x14ac:dyDescent="0.2">
      <c r="A850" s="5">
        <v>789</v>
      </c>
      <c r="B850" s="1832">
        <f>'Expenditures 15-22'!E53</f>
        <v>157817</v>
      </c>
      <c r="C850" s="2" t="s">
        <v>569</v>
      </c>
      <c r="D850" s="2" t="str">
        <f t="shared" si="12"/>
        <v>Error?</v>
      </c>
    </row>
    <row r="851" spans="1:4" x14ac:dyDescent="0.2">
      <c r="A851" s="5">
        <v>790</v>
      </c>
      <c r="B851" s="1832">
        <f>'Expenditures 15-22'!E55</f>
        <v>1264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1264</v>
      </c>
      <c r="C853" s="2" t="s">
        <v>569</v>
      </c>
      <c r="D853" s="2" t="str">
        <f t="shared" si="12"/>
        <v>Error?</v>
      </c>
    </row>
    <row r="854" spans="1:4" x14ac:dyDescent="0.2">
      <c r="A854" s="5">
        <v>793</v>
      </c>
      <c r="B854" s="1832">
        <f>'Expenditures 15-22'!E59</f>
        <v>10744</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352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11096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211548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249330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203278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17761</v>
      </c>
      <c r="D892" s="2" t="str">
        <f t="shared" si="12"/>
        <v>Error?</v>
      </c>
    </row>
    <row r="893" spans="1:4" x14ac:dyDescent="0.2">
      <c r="A893" s="5">
        <v>832</v>
      </c>
      <c r="B893" s="1832">
        <f>'Expenditures 15-22'!F15</f>
        <v>3</v>
      </c>
      <c r="D893" s="2" t="str">
        <f t="shared" si="12"/>
        <v>Error?</v>
      </c>
    </row>
    <row r="894" spans="1:4" x14ac:dyDescent="0.2">
      <c r="A894" s="5">
        <v>833</v>
      </c>
      <c r="B894" s="1832">
        <f>'Expenditures 15-22'!F33</f>
        <v>375240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2274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8342</v>
      </c>
      <c r="D900" s="2" t="str">
        <f t="shared" si="13"/>
        <v>Error?</v>
      </c>
    </row>
    <row r="901" spans="1:4" x14ac:dyDescent="0.2">
      <c r="A901" s="5">
        <v>840</v>
      </c>
      <c r="B901" s="1832">
        <f>'Expenditures 15-22'!F42</f>
        <v>10616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5252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5252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10111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10111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3894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253425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257319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283298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658538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87205</v>
      </c>
      <c r="D937" s="2" t="str">
        <f t="shared" si="13"/>
        <v>Error?</v>
      </c>
    </row>
    <row r="938" spans="1:4" x14ac:dyDescent="0.2">
      <c r="A938" s="5">
        <v>877</v>
      </c>
      <c r="B938" s="1832" t="str">
        <f>'Expenditures 15-22'!G16</f>
        <v xml:space="preserve"> </v>
      </c>
      <c r="D938" s="2" t="e">
        <f t="shared" si="13"/>
        <v>#VALUE!</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99981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78717</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78717</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3249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3249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81966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181947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217065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92</v>
      </c>
      <c r="D1016" s="2" t="str">
        <f t="shared" si="14"/>
        <v>Error?</v>
      </c>
    </row>
    <row r="1017" spans="1:4" x14ac:dyDescent="0.2">
      <c r="A1017" s="5">
        <v>956</v>
      </c>
      <c r="B1017" s="1832">
        <f>'Expenditures 15-22'!H42</f>
        <v>92</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9940</v>
      </c>
      <c r="D1022" s="2" t="str">
        <f t="shared" si="14"/>
        <v>Error?</v>
      </c>
    </row>
    <row r="1023" spans="1:4" x14ac:dyDescent="0.2">
      <c r="A1023" s="5">
        <v>962</v>
      </c>
      <c r="B1023" s="1832">
        <f>'Expenditures 15-22'!H50</f>
        <v>4690</v>
      </c>
      <c r="D1023" s="2" t="str">
        <f t="shared" ref="D1023:D1086" si="15">IF(ISBLANK(B1023),"OK",IF(A1023-B1023=0,"OK","Error?"))</f>
        <v>Error?</v>
      </c>
    </row>
    <row r="1024" spans="1:4" x14ac:dyDescent="0.2">
      <c r="A1024" s="5">
        <v>963</v>
      </c>
      <c r="B1024" s="1832">
        <f>'Expenditures 15-22'!H53</f>
        <v>14630</v>
      </c>
      <c r="C1024" s="2" t="s">
        <v>569</v>
      </c>
      <c r="D1024" s="2" t="str">
        <f t="shared" si="15"/>
        <v>Error?</v>
      </c>
    </row>
    <row r="1025" spans="1:4" x14ac:dyDescent="0.2">
      <c r="A1025" s="5">
        <v>964</v>
      </c>
      <c r="B1025" s="1832">
        <f>'Expenditures 15-22'!H55</f>
        <v>13483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13483</v>
      </c>
      <c r="C1027" s="2" t="s">
        <v>569</v>
      </c>
      <c r="D1027" s="2" t="str">
        <f t="shared" si="15"/>
        <v>Error?</v>
      </c>
    </row>
    <row r="1028" spans="1:4" x14ac:dyDescent="0.2">
      <c r="A1028" s="5">
        <v>967</v>
      </c>
      <c r="B1028" s="1832">
        <f>'Expenditures 15-22'!H59</f>
        <v>18975</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18975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47180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432632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696877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3784946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173555</v>
      </c>
      <c r="C1106" s="2" t="s">
        <v>569</v>
      </c>
      <c r="D1106" s="2" t="str">
        <f t="shared" si="16"/>
        <v>Error?</v>
      </c>
    </row>
    <row r="1107" spans="1:4" x14ac:dyDescent="0.2">
      <c r="A1107" s="5">
        <v>1046</v>
      </c>
      <c r="B1107" s="1832">
        <f>'Expenditures 15-22'!K15</f>
        <v>14464</v>
      </c>
      <c r="C1107" s="2" t="s">
        <v>569</v>
      </c>
      <c r="D1107" s="2" t="str">
        <f t="shared" si="16"/>
        <v>Error?</v>
      </c>
    </row>
    <row r="1108" spans="1:4" x14ac:dyDescent="0.2">
      <c r="A1108" s="5">
        <v>1047</v>
      </c>
      <c r="B1108" s="1832">
        <f>'Expenditures 15-22'!K33</f>
        <v>5890469</v>
      </c>
      <c r="C1108" s="2" t="s">
        <v>569</v>
      </c>
      <c r="D1108" s="2" t="str">
        <f t="shared" si="16"/>
        <v>Error?</v>
      </c>
    </row>
    <row r="1109" spans="1:4" x14ac:dyDescent="0.2">
      <c r="A1109" s="5">
        <v>1048</v>
      </c>
      <c r="B1109" s="1832">
        <f>'Expenditures 15-22'!K36</f>
        <v>171298</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77421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68074</v>
      </c>
      <c r="C1113" s="2" t="s">
        <v>569</v>
      </c>
      <c r="D1113" s="2" t="str">
        <f t="shared" si="16"/>
        <v>Error?</v>
      </c>
    </row>
    <row r="1114" spans="1:4" x14ac:dyDescent="0.2">
      <c r="A1114" s="5">
        <v>1053</v>
      </c>
      <c r="B1114" s="1832">
        <f>'Expenditures 15-22'!K41</f>
        <v>112307</v>
      </c>
      <c r="C1114" s="2" t="s">
        <v>569</v>
      </c>
      <c r="D1114" s="2" t="str">
        <f t="shared" si="16"/>
        <v>Error?</v>
      </c>
    </row>
    <row r="1115" spans="1:4" x14ac:dyDescent="0.2">
      <c r="A1115" s="5">
        <v>1054</v>
      </c>
      <c r="B1115" s="1832">
        <f>'Expenditures 15-22'!K42</f>
        <v>429100</v>
      </c>
      <c r="C1115" s="2" t="s">
        <v>569</v>
      </c>
      <c r="D1115" s="2" t="str">
        <f t="shared" si="16"/>
        <v>Error?</v>
      </c>
    </row>
    <row r="1116" spans="1:4" x14ac:dyDescent="0.2">
      <c r="A1116" s="5">
        <v>1055</v>
      </c>
      <c r="B1116" s="1832">
        <f>'Expenditures 15-22'!K44</f>
        <v>16151</v>
      </c>
      <c r="C1116" s="2" t="s">
        <v>569</v>
      </c>
      <c r="D1116" s="2" t="str">
        <f t="shared" si="16"/>
        <v>Error?</v>
      </c>
    </row>
    <row r="1117" spans="1:4" x14ac:dyDescent="0.2">
      <c r="A1117" s="5">
        <v>1056</v>
      </c>
      <c r="B1117" s="1832">
        <f>'Expenditures 15-22'!K45</f>
        <v>152631</v>
      </c>
      <c r="C1117" s="2" t="s">
        <v>569</v>
      </c>
      <c r="D1117" s="2" t="str">
        <f t="shared" si="16"/>
        <v>Error?</v>
      </c>
    </row>
    <row r="1118" spans="1:4" x14ac:dyDescent="0.2">
      <c r="A1118" s="5">
        <v>1057</v>
      </c>
      <c r="B1118" s="1832">
        <f>'Expenditures 15-22'!K46</f>
        <v>19566</v>
      </c>
      <c r="C1118" s="2" t="s">
        <v>569</v>
      </c>
      <c r="D1118" s="2" t="str">
        <f t="shared" si="16"/>
        <v>Error?</v>
      </c>
    </row>
    <row r="1119" spans="1:4" x14ac:dyDescent="0.2">
      <c r="A1119" s="5">
        <v>1058</v>
      </c>
      <c r="B1119" s="1832">
        <f>'Expenditures 15-22'!K47</f>
        <v>188348</v>
      </c>
      <c r="C1119" s="2" t="s">
        <v>569</v>
      </c>
      <c r="D1119" s="2" t="str">
        <f t="shared" si="16"/>
        <v>Error?</v>
      </c>
    </row>
    <row r="1120" spans="1:4" x14ac:dyDescent="0.2">
      <c r="A1120" s="5">
        <v>1059</v>
      </c>
      <c r="B1120" s="1832">
        <f>'Expenditures 15-22'!K49</f>
        <v>164686</v>
      </c>
      <c r="C1120" s="2" t="s">
        <v>569</v>
      </c>
      <c r="D1120" s="2" t="str">
        <f t="shared" si="16"/>
        <v>Error?</v>
      </c>
    </row>
    <row r="1121" spans="1:4" x14ac:dyDescent="0.2">
      <c r="A1121" s="5">
        <v>1060</v>
      </c>
      <c r="B1121" s="1832">
        <f>'Expenditures 15-22'!K50</f>
        <v>296743</v>
      </c>
      <c r="C1121" s="2" t="s">
        <v>569</v>
      </c>
      <c r="D1121" s="2" t="str">
        <f t="shared" si="16"/>
        <v>Error?</v>
      </c>
    </row>
    <row r="1122" spans="1:4" x14ac:dyDescent="0.2">
      <c r="A1122" s="5">
        <v>1061</v>
      </c>
      <c r="B1122" s="1832">
        <f>'Expenditures 15-22'!K53</f>
        <v>461429</v>
      </c>
      <c r="C1122" s="2" t="s">
        <v>569</v>
      </c>
      <c r="D1122" s="2" t="str">
        <f t="shared" si="16"/>
        <v>Error?</v>
      </c>
    </row>
    <row r="1123" spans="1:4" x14ac:dyDescent="0.2">
      <c r="A1123" s="5">
        <v>1062</v>
      </c>
      <c r="B1123" s="1832">
        <f>'Expenditures 15-22'!K55</f>
        <v>584739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584739</v>
      </c>
      <c r="C1125" s="2" t="s">
        <v>569</v>
      </c>
      <c r="D1125" s="2" t="str">
        <f t="shared" si="16"/>
        <v>Error?</v>
      </c>
    </row>
    <row r="1126" spans="1:4" x14ac:dyDescent="0.2">
      <c r="A1126" s="5">
        <v>1065</v>
      </c>
      <c r="B1126" s="1832">
        <f>'Expenditures 15-22'!K59</f>
        <v>29719</v>
      </c>
      <c r="C1126" s="2" t="s">
        <v>569</v>
      </c>
      <c r="D1126" s="2" t="str">
        <f t="shared" si="16"/>
        <v>Error?</v>
      </c>
    </row>
    <row r="1127" spans="1:4" x14ac:dyDescent="0.2">
      <c r="A1127" s="5">
        <v>1066</v>
      </c>
      <c r="B1127" s="1832">
        <f>'Expenditures 15-22'!K60</f>
        <v>229910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361578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621207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2284823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434999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8610291</v>
      </c>
      <c r="C1152" s="2" t="s">
        <v>569</v>
      </c>
      <c r="D1152" s="2" t="str">
        <f t="shared" si="17"/>
        <v>Error?</v>
      </c>
    </row>
    <row r="1153" spans="1:4" x14ac:dyDescent="0.2">
      <c r="A1153" s="5">
        <v>1092</v>
      </c>
      <c r="B1153" s="1832">
        <f>'Expenditures 15-22'!K115</f>
        <v>2326822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510125</v>
      </c>
      <c r="D1221" s="2" t="str">
        <f t="shared" si="18"/>
        <v>Error?</v>
      </c>
    </row>
    <row r="1222" spans="1:4" x14ac:dyDescent="0.2">
      <c r="A1222" s="10">
        <v>1161</v>
      </c>
      <c r="B1222" s="1832"/>
      <c r="D1222" s="2" t="str">
        <f t="shared" si="18"/>
        <v>OK</v>
      </c>
    </row>
    <row r="1223" spans="1:4" x14ac:dyDescent="0.2">
      <c r="A1223" s="5">
        <v>1162</v>
      </c>
      <c r="B1223" s="1832">
        <f>'Expenditures 15-22'!C127</f>
        <v>510125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510125</v>
      </c>
      <c r="C1225" s="2" t="s">
        <v>569</v>
      </c>
      <c r="D1225" s="2" t="str">
        <f t="shared" si="18"/>
        <v>Error?</v>
      </c>
    </row>
    <row r="1226" spans="1:4" x14ac:dyDescent="0.2">
      <c r="A1226" s="5">
        <v>1165</v>
      </c>
      <c r="B1226" s="1832">
        <f>'Expenditures 15-22'!C151</f>
        <v>510125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102905</v>
      </c>
      <c r="D1229" s="2" t="str">
        <f t="shared" si="18"/>
        <v>Error?</v>
      </c>
    </row>
    <row r="1230" spans="1:4" x14ac:dyDescent="0.2">
      <c r="A1230" s="10">
        <v>1169</v>
      </c>
      <c r="B1230" s="1832"/>
      <c r="D1230" s="2" t="str">
        <f t="shared" si="18"/>
        <v>OK</v>
      </c>
    </row>
    <row r="1231" spans="1:4" x14ac:dyDescent="0.2">
      <c r="A1231" s="5">
        <v>1170</v>
      </c>
      <c r="B1231" s="1832">
        <f>'Expenditures 15-22'!D127</f>
        <v>102905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102905</v>
      </c>
      <c r="C1233" s="2" t="s">
        <v>569</v>
      </c>
      <c r="D1233" s="2" t="str">
        <f t="shared" si="18"/>
        <v>Error?</v>
      </c>
    </row>
    <row r="1234" spans="1:4" x14ac:dyDescent="0.2">
      <c r="A1234" s="5">
        <v>1173</v>
      </c>
      <c r="B1234" s="1832">
        <f>'Expenditures 15-22'!D151</f>
        <v>102905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13997</v>
      </c>
      <c r="D1236" s="2" t="str">
        <f t="shared" si="18"/>
        <v>Error?</v>
      </c>
    </row>
    <row r="1237" spans="1:4" x14ac:dyDescent="0.2">
      <c r="A1237" s="5">
        <v>1176</v>
      </c>
      <c r="B1237" s="1832">
        <f>'Expenditures 15-22'!E124</f>
        <v>130065</v>
      </c>
      <c r="D1237" s="2" t="str">
        <f t="shared" si="18"/>
        <v>Error?</v>
      </c>
    </row>
    <row r="1238" spans="1:4" x14ac:dyDescent="0.2">
      <c r="A1238" s="10">
        <v>1177</v>
      </c>
      <c r="B1238" s="1832"/>
      <c r="D1238" s="2" t="str">
        <f t="shared" si="18"/>
        <v>OK</v>
      </c>
    </row>
    <row r="1239" spans="1:4" x14ac:dyDescent="0.2">
      <c r="A1239" s="5">
        <v>1178</v>
      </c>
      <c r="B1239" s="1832">
        <f>'Expenditures 15-22'!E127</f>
        <v>144062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144062</v>
      </c>
      <c r="C1241" s="2" t="s">
        <v>569</v>
      </c>
      <c r="D1241" s="2" t="str">
        <f t="shared" si="18"/>
        <v>Error?</v>
      </c>
    </row>
    <row r="1242" spans="1:4" x14ac:dyDescent="0.2">
      <c r="A1242" s="5">
        <v>1181</v>
      </c>
      <c r="B1242" s="1832">
        <f>'Expenditures 15-22'!E151</f>
        <v>144062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300</v>
      </c>
      <c r="D1244" s="2" t="str">
        <f t="shared" si="18"/>
        <v>Error?</v>
      </c>
    </row>
    <row r="1245" spans="1:4" x14ac:dyDescent="0.2">
      <c r="A1245" s="5">
        <v>1184</v>
      </c>
      <c r="B1245" s="1832">
        <f>'Expenditures 15-22'!F124</f>
        <v>169664</v>
      </c>
      <c r="D1245" s="2" t="str">
        <f t="shared" si="18"/>
        <v>Error?</v>
      </c>
    </row>
    <row r="1246" spans="1:4" x14ac:dyDescent="0.2">
      <c r="A1246" s="10">
        <v>1185</v>
      </c>
      <c r="B1246" s="1832"/>
      <c r="D1246" s="2" t="str">
        <f t="shared" si="18"/>
        <v>OK</v>
      </c>
    </row>
    <row r="1247" spans="1:4" x14ac:dyDescent="0.2">
      <c r="A1247" s="5">
        <v>1186</v>
      </c>
      <c r="B1247" s="1832">
        <f>'Expenditures 15-22'!F127</f>
        <v>169964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169964</v>
      </c>
      <c r="C1249" s="2" t="s">
        <v>569</v>
      </c>
      <c r="D1249" s="2" t="str">
        <f t="shared" si="18"/>
        <v>Error?</v>
      </c>
    </row>
    <row r="1250" spans="1:4" x14ac:dyDescent="0.2">
      <c r="A1250" s="5">
        <v>1189</v>
      </c>
      <c r="B1250" s="1832">
        <f>'Expenditures 15-22'!F151</f>
        <v>169964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371455</v>
      </c>
      <c r="D1252" s="2" t="str">
        <f t="shared" si="18"/>
        <v>Error?</v>
      </c>
    </row>
    <row r="1253" spans="1:4" x14ac:dyDescent="0.2">
      <c r="A1253" s="5">
        <v>1192</v>
      </c>
      <c r="B1253" s="1832">
        <f>'Expenditures 15-22'!G124</f>
        <v>176047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547502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547502</v>
      </c>
      <c r="C1258" s="2" t="s">
        <v>569</v>
      </c>
      <c r="D1258" s="2" t="str">
        <f t="shared" si="18"/>
        <v>Error?</v>
      </c>
    </row>
    <row r="1259" spans="1:4" x14ac:dyDescent="0.2">
      <c r="A1259" s="5">
        <v>1198</v>
      </c>
      <c r="B1259" s="1832">
        <f>'Expenditures 15-22'!G151</f>
        <v>547502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385752</v>
      </c>
      <c r="C1275" s="2" t="s">
        <v>569</v>
      </c>
      <c r="D1275" s="2" t="str">
        <f t="shared" si="18"/>
        <v>Error?</v>
      </c>
    </row>
    <row r="1276" spans="1:4" x14ac:dyDescent="0.2">
      <c r="A1276" s="5">
        <v>1215</v>
      </c>
      <c r="B1276" s="1832">
        <f>'Expenditures 15-22'!K124</f>
        <v>1088806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1474558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1474558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1474558</v>
      </c>
      <c r="C1288" s="2" t="s">
        <v>569</v>
      </c>
      <c r="D1288" s="2" t="str">
        <f t="shared" si="19"/>
        <v>Error?</v>
      </c>
    </row>
    <row r="1289" spans="1:4" x14ac:dyDescent="0.2">
      <c r="A1289" s="5">
        <v>1228</v>
      </c>
      <c r="B1289" s="1832">
        <f>'Expenditures 15-22'!K152</f>
        <v>-447559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263888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180000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443888</v>
      </c>
      <c r="C1317" s="2" t="s">
        <v>569</v>
      </c>
      <c r="D1317" s="2" t="str">
        <f t="shared" si="19"/>
        <v>Error?</v>
      </c>
    </row>
    <row r="1318" spans="1:4" x14ac:dyDescent="0.2">
      <c r="A1318" s="5">
        <v>1257</v>
      </c>
      <c r="B1318" s="1832">
        <f>'Expenditures 15-22'!H174</f>
        <v>443888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263888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180000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443888</v>
      </c>
      <c r="C1331" s="2" t="s">
        <v>569</v>
      </c>
      <c r="D1331" s="2" t="str">
        <f t="shared" si="19"/>
        <v>Error?</v>
      </c>
    </row>
    <row r="1332" spans="1:4" x14ac:dyDescent="0.2">
      <c r="A1332" s="5">
        <v>1271</v>
      </c>
      <c r="B1332" s="1832">
        <f>'Expenditures 15-22'!K174</f>
        <v>443888</v>
      </c>
      <c r="C1332" s="2" t="s">
        <v>569</v>
      </c>
      <c r="D1332" s="2" t="str">
        <f t="shared" si="19"/>
        <v>Error?</v>
      </c>
    </row>
    <row r="1333" spans="1:4" x14ac:dyDescent="0.2">
      <c r="A1333" s="5">
        <v>1272</v>
      </c>
      <c r="B1333" s="1832">
        <f>'Expenditures 15-22'!K175</f>
        <v>30623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457924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457924</v>
      </c>
      <c r="C1339" s="2" t="s">
        <v>569</v>
      </c>
      <c r="D1339" s="2" t="str">
        <f t="shared" si="19"/>
        <v>Error?</v>
      </c>
    </row>
    <row r="1340" spans="1:4" x14ac:dyDescent="0.2">
      <c r="A1340" s="5">
        <v>1279</v>
      </c>
      <c r="B1340" s="1832">
        <f>'Expenditures 15-22'!C210</f>
        <v>457924</v>
      </c>
      <c r="C1340" s="2" t="s">
        <v>569</v>
      </c>
      <c r="D1340" s="2" t="str">
        <f t="shared" si="19"/>
        <v>Error?</v>
      </c>
    </row>
    <row r="1341" spans="1:4" x14ac:dyDescent="0.2">
      <c r="A1341" s="5">
        <v>1280</v>
      </c>
      <c r="B1341" s="1832">
        <f>'Expenditures 15-22'!D182</f>
        <v>28169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28169</v>
      </c>
      <c r="C1345" s="2" t="s">
        <v>569</v>
      </c>
      <c r="D1345" s="2" t="str">
        <f t="shared" si="20"/>
        <v>Error?</v>
      </c>
    </row>
    <row r="1346" spans="1:4" x14ac:dyDescent="0.2">
      <c r="A1346" s="5">
        <v>1285</v>
      </c>
      <c r="B1346" s="1832">
        <f>'Expenditures 15-22'!D210</f>
        <v>28169</v>
      </c>
      <c r="C1346" s="2" t="s">
        <v>569</v>
      </c>
      <c r="D1346" s="2" t="str">
        <f t="shared" si="20"/>
        <v>Error?</v>
      </c>
    </row>
    <row r="1347" spans="1:4" x14ac:dyDescent="0.2">
      <c r="A1347" s="5">
        <v>1286</v>
      </c>
      <c r="B1347" s="1832">
        <f>'Expenditures 15-22'!E182</f>
        <v>55941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55941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55941</v>
      </c>
      <c r="C1353" s="2" t="s">
        <v>569</v>
      </c>
      <c r="D1353" s="2" t="str">
        <f t="shared" si="20"/>
        <v>Error?</v>
      </c>
    </row>
    <row r="1354" spans="1:4" x14ac:dyDescent="0.2">
      <c r="A1354" s="5">
        <v>1293</v>
      </c>
      <c r="B1354" s="1832">
        <f>'Expenditures 15-22'!F182</f>
        <v>66416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66416</v>
      </c>
      <c r="C1358" s="2" t="s">
        <v>569</v>
      </c>
      <c r="D1358" s="2" t="str">
        <f t="shared" si="20"/>
        <v>Error?</v>
      </c>
    </row>
    <row r="1359" spans="1:4" x14ac:dyDescent="0.2">
      <c r="A1359" s="5">
        <v>1298</v>
      </c>
      <c r="B1359" s="1832">
        <f>'Expenditures 15-22'!F210</f>
        <v>66416</v>
      </c>
      <c r="C1359" s="2" t="s">
        <v>569</v>
      </c>
      <c r="D1359" s="2" t="str">
        <f t="shared" si="20"/>
        <v>Error?</v>
      </c>
    </row>
    <row r="1360" spans="1:4" x14ac:dyDescent="0.2">
      <c r="A1360" s="5">
        <v>1299</v>
      </c>
      <c r="B1360" s="1832">
        <f>'Expenditures 15-22'!G182</f>
        <v>50000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50000</v>
      </c>
      <c r="C1364" s="2" t="s">
        <v>569</v>
      </c>
      <c r="D1364" s="2" t="str">
        <f t="shared" si="20"/>
        <v>Error?</v>
      </c>
    </row>
    <row r="1365" spans="1:4" x14ac:dyDescent="0.2">
      <c r="A1365" s="5">
        <v>1304</v>
      </c>
      <c r="B1365" s="1832">
        <f>'Expenditures 15-22'!G210</f>
        <v>50000</v>
      </c>
      <c r="C1365" s="2" t="s">
        <v>569</v>
      </c>
      <c r="D1365" s="2" t="str">
        <f t="shared" si="20"/>
        <v>Error?</v>
      </c>
    </row>
    <row r="1366" spans="1:4" x14ac:dyDescent="0.2">
      <c r="A1366" s="5">
        <v>1305</v>
      </c>
      <c r="B1366" s="1832">
        <f>'Expenditures 15-22'!H182</f>
        <v>579</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579</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579</v>
      </c>
      <c r="C1376" s="2" t="s">
        <v>569</v>
      </c>
      <c r="D1376" s="2" t="str">
        <f t="shared" si="20"/>
        <v>Error?</v>
      </c>
    </row>
    <row r="1377" spans="1:4" x14ac:dyDescent="0.2">
      <c r="A1377" s="5">
        <v>1316</v>
      </c>
      <c r="B1377" s="1832">
        <f>'Expenditures 15-22'!K182</f>
        <v>659029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659029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659029</v>
      </c>
      <c r="C1388" s="2" t="s">
        <v>569</v>
      </c>
      <c r="D1388" s="2" t="str">
        <f t="shared" si="20"/>
        <v>Error?</v>
      </c>
    </row>
    <row r="1389" spans="1:4" x14ac:dyDescent="0.2">
      <c r="A1389" s="5">
        <v>1328</v>
      </c>
      <c r="B1389" s="1832">
        <f>'Expenditures 15-22'!K211</f>
        <v>-162659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2764</v>
      </c>
      <c r="D1408" s="2" t="str">
        <f t="shared" si="21"/>
        <v>Error?</v>
      </c>
    </row>
    <row r="1409" spans="1:4" x14ac:dyDescent="0.2">
      <c r="A1409" s="5">
        <v>1348</v>
      </c>
      <c r="B1409" s="1832">
        <f>'Expenditures 15-22'!D224</f>
        <v>558</v>
      </c>
      <c r="D1409" s="2" t="str">
        <f t="shared" si="21"/>
        <v>Error?</v>
      </c>
    </row>
    <row r="1410" spans="1:4" x14ac:dyDescent="0.2">
      <c r="A1410" s="5">
        <v>1349</v>
      </c>
      <c r="B1410" s="1832">
        <f>'Expenditures 15-22'!D229</f>
        <v>83349</v>
      </c>
      <c r="C1410" s="2" t="s">
        <v>569</v>
      </c>
      <c r="D1410" s="2" t="str">
        <f t="shared" si="21"/>
        <v>Error?</v>
      </c>
    </row>
    <row r="1411" spans="1:4" x14ac:dyDescent="0.2">
      <c r="A1411" s="5">
        <v>1350</v>
      </c>
      <c r="B1411" s="1832">
        <f>'Expenditures 15-22'!D232</f>
        <v>1740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14783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855</v>
      </c>
      <c r="D1415" s="2" t="str">
        <f t="shared" si="21"/>
        <v>Error?</v>
      </c>
    </row>
    <row r="1416" spans="1:4" x14ac:dyDescent="0.2">
      <c r="A1416" s="5">
        <v>1355</v>
      </c>
      <c r="B1416" s="1832">
        <f>'Expenditures 15-22'!D237</f>
        <v>9581</v>
      </c>
      <c r="D1416" s="2" t="str">
        <f t="shared" si="21"/>
        <v>Error?</v>
      </c>
    </row>
    <row r="1417" spans="1:4" x14ac:dyDescent="0.2">
      <c r="A1417" s="5">
        <v>1356</v>
      </c>
      <c r="B1417" s="1832">
        <f>'Expenditures 15-22'!D238</f>
        <v>26959</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1414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1414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9638</v>
      </c>
      <c r="D1423" s="2" t="str">
        <f t="shared" si="21"/>
        <v>Error?</v>
      </c>
    </row>
    <row r="1424" spans="1:4" x14ac:dyDescent="0.2">
      <c r="A1424" s="5">
        <v>1363</v>
      </c>
      <c r="B1424" s="1832">
        <f>'Expenditures 15-22'!D257</f>
        <v>9638</v>
      </c>
      <c r="C1424" s="2" t="s">
        <v>569</v>
      </c>
      <c r="D1424" s="2" t="str">
        <f t="shared" si="21"/>
        <v>Error?</v>
      </c>
    </row>
    <row r="1425" spans="1:4" x14ac:dyDescent="0.2">
      <c r="A1425" s="5">
        <v>1364</v>
      </c>
      <c r="B1425" s="1832">
        <f>'Expenditures 15-22'!D259</f>
        <v>28998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28998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37897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111223</v>
      </c>
      <c r="D1431" s="2" t="str">
        <f t="shared" si="21"/>
        <v>Error?</v>
      </c>
    </row>
    <row r="1432" spans="1:4" x14ac:dyDescent="0.2">
      <c r="A1432" s="5">
        <v>1371</v>
      </c>
      <c r="B1432" s="1832">
        <f>'Expenditures 15-22'!D267</f>
        <v>100267</v>
      </c>
      <c r="D1432" s="2" t="str">
        <f t="shared" si="21"/>
        <v>Error?</v>
      </c>
    </row>
    <row r="1433" spans="1:4" x14ac:dyDescent="0.2">
      <c r="A1433" s="5">
        <v>1372</v>
      </c>
      <c r="B1433" s="1832">
        <f>'Expenditures 15-22'!D268</f>
        <v>21017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270404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337413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420762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2764</v>
      </c>
      <c r="C1472" s="2" t="s">
        <v>569</v>
      </c>
      <c r="D1472" s="2" t="str">
        <f t="shared" si="22"/>
        <v>Error?</v>
      </c>
    </row>
    <row r="1473" spans="1:4" x14ac:dyDescent="0.2">
      <c r="A1473" s="5">
        <v>1412</v>
      </c>
      <c r="B1473" s="1832">
        <f>'Expenditures 15-22'!K224</f>
        <v>558</v>
      </c>
      <c r="C1473" s="2" t="s">
        <v>569</v>
      </c>
      <c r="D1473" s="2" t="str">
        <f t="shared" si="22"/>
        <v>Error?</v>
      </c>
    </row>
    <row r="1474" spans="1:4" x14ac:dyDescent="0.2">
      <c r="A1474" s="5">
        <v>1413</v>
      </c>
      <c r="B1474" s="1832">
        <f>'Expenditures 15-22'!K229</f>
        <v>83349</v>
      </c>
      <c r="C1474" s="2" t="s">
        <v>569</v>
      </c>
      <c r="D1474" s="2" t="str">
        <f t="shared" si="22"/>
        <v>Error?</v>
      </c>
    </row>
    <row r="1475" spans="1:4" x14ac:dyDescent="0.2">
      <c r="A1475" s="5">
        <v>1414</v>
      </c>
      <c r="B1475" s="1832">
        <f>'Expenditures 15-22'!K232</f>
        <v>1740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14783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855</v>
      </c>
      <c r="C1479" s="2" t="s">
        <v>569</v>
      </c>
      <c r="D1479" s="2" t="str">
        <f t="shared" si="22"/>
        <v>Error?</v>
      </c>
    </row>
    <row r="1480" spans="1:4" x14ac:dyDescent="0.2">
      <c r="A1480" s="5">
        <v>1419</v>
      </c>
      <c r="B1480" s="1832">
        <f>'Expenditures 15-22'!K237</f>
        <v>9581</v>
      </c>
      <c r="C1480" s="2" t="s">
        <v>569</v>
      </c>
      <c r="D1480" s="2" t="str">
        <f t="shared" si="22"/>
        <v>Error?</v>
      </c>
    </row>
    <row r="1481" spans="1:4" x14ac:dyDescent="0.2">
      <c r="A1481" s="5">
        <v>1420</v>
      </c>
      <c r="B1481" s="1832">
        <f>'Expenditures 15-22'!K238</f>
        <v>26959</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1414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1414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9638</v>
      </c>
      <c r="C1487" s="2" t="s">
        <v>569</v>
      </c>
      <c r="D1487" s="2" t="str">
        <f t="shared" si="22"/>
        <v>Error?</v>
      </c>
    </row>
    <row r="1488" spans="1:4" x14ac:dyDescent="0.2">
      <c r="A1488" s="5">
        <v>1427</v>
      </c>
      <c r="B1488" s="1832">
        <f>'Expenditures 15-22'!K257</f>
        <v>9638</v>
      </c>
      <c r="C1488" s="2" t="s">
        <v>569</v>
      </c>
      <c r="D1488" s="2" t="str">
        <f t="shared" si="22"/>
        <v>Error?</v>
      </c>
    </row>
    <row r="1489" spans="1:4" x14ac:dyDescent="0.2">
      <c r="A1489" s="5">
        <v>1428</v>
      </c>
      <c r="B1489" s="1832">
        <f>'Expenditures 15-22'!K259</f>
        <v>28998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28998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37897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111223</v>
      </c>
      <c r="C1495" s="2" t="s">
        <v>569</v>
      </c>
      <c r="D1495" s="2" t="str">
        <f t="shared" si="22"/>
        <v>Error?</v>
      </c>
    </row>
    <row r="1496" spans="1:4" x14ac:dyDescent="0.2">
      <c r="A1496" s="5">
        <v>1435</v>
      </c>
      <c r="B1496" s="1832">
        <f>'Expenditures 15-22'!K267</f>
        <v>100267</v>
      </c>
      <c r="C1496" s="2" t="s">
        <v>569</v>
      </c>
      <c r="D1496" s="2" t="str">
        <f t="shared" si="22"/>
        <v>Error?</v>
      </c>
    </row>
    <row r="1497" spans="1:4" x14ac:dyDescent="0.2">
      <c r="A1497" s="5">
        <v>1436</v>
      </c>
      <c r="B1497" s="1832">
        <f>'Expenditures 15-22'!K268</f>
        <v>21017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270404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337413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420762</v>
      </c>
      <c r="C1517" s="2" t="s">
        <v>569</v>
      </c>
      <c r="D1517" s="2" t="str">
        <f t="shared" si="22"/>
        <v>Error?</v>
      </c>
    </row>
    <row r="1518" spans="1:4" x14ac:dyDescent="0.2">
      <c r="A1518" s="5">
        <v>1457</v>
      </c>
      <c r="B1518" s="1832">
        <f>'Expenditures 15-22'!K296</f>
        <v>163786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3800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3800</v>
      </c>
      <c r="C1535" s="2" t="s">
        <v>569</v>
      </c>
      <c r="D1535" s="2" t="str">
        <f t="shared" ref="D1535:D1598" si="23">IF(ISBLANK(B1535),"OK",IF(A1535-B1535=0,"OK","Error?"))</f>
        <v>Error?</v>
      </c>
    </row>
    <row r="1536" spans="1:4" x14ac:dyDescent="0.2">
      <c r="A1536" s="5">
        <v>1475</v>
      </c>
      <c r="B1536" s="1832">
        <f>'Expenditures 15-22'!E312</f>
        <v>3800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2339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2339</v>
      </c>
      <c r="C1547" s="2" t="s">
        <v>569</v>
      </c>
      <c r="D1547" s="2" t="str">
        <f t="shared" si="23"/>
        <v>Error?</v>
      </c>
    </row>
    <row r="1548" spans="1:4" x14ac:dyDescent="0.2">
      <c r="A1548" s="5">
        <v>1487</v>
      </c>
      <c r="B1548" s="1832">
        <f>'Expenditures 15-22'!G312</f>
        <v>2339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6139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6139</v>
      </c>
      <c r="C1559" s="2" t="s">
        <v>569</v>
      </c>
      <c r="D1559" s="2" t="str">
        <f t="shared" si="23"/>
        <v>Error?</v>
      </c>
    </row>
    <row r="1560" spans="1:4" x14ac:dyDescent="0.2">
      <c r="A1560" s="5">
        <v>1499</v>
      </c>
      <c r="B1560" s="1832">
        <f>'Expenditures 15-22'!K312</f>
        <v>6139</v>
      </c>
      <c r="C1560" s="2" t="s">
        <v>569</v>
      </c>
      <c r="D1560" s="2" t="str">
        <f t="shared" si="23"/>
        <v>Error?</v>
      </c>
    </row>
    <row r="1561" spans="1:4" x14ac:dyDescent="0.2">
      <c r="A1561" s="5">
        <v>1500</v>
      </c>
      <c r="B1561" s="1832">
        <f>'Expenditures 15-22'!K313</f>
        <v>-6139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14914869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17241691</v>
      </c>
      <c r="C1630" s="2" t="s">
        <v>569</v>
      </c>
      <c r="D1630" s="2" t="str">
        <f t="shared" si="24"/>
        <v>Error?</v>
      </c>
    </row>
    <row r="1631" spans="1:4" x14ac:dyDescent="0.2">
      <c r="A1631" s="5">
        <v>1570</v>
      </c>
      <c r="B1631" s="1832">
        <f>'Acct Summary 7-8'!D79</f>
        <v>168234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120675</v>
      </c>
      <c r="C1644" s="2" t="s">
        <v>569</v>
      </c>
      <c r="D1644" s="2" t="str">
        <f t="shared" si="24"/>
        <v>Error?</v>
      </c>
    </row>
    <row r="1645" spans="1:4" x14ac:dyDescent="0.2">
      <c r="A1645" s="5">
        <v>1584</v>
      </c>
      <c r="B1645" s="1832">
        <f>'Acct Summary 7-8'!E79</f>
        <v>14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30637</v>
      </c>
      <c r="C1658" s="2" t="s">
        <v>569</v>
      </c>
      <c r="D1658" s="2" t="str">
        <f t="shared" si="24"/>
        <v>Error?</v>
      </c>
    </row>
    <row r="1659" spans="1:4" x14ac:dyDescent="0.2">
      <c r="A1659" s="5">
        <v>1598</v>
      </c>
      <c r="B1659" s="1832">
        <f>'Acct Summary 7-8'!F79</f>
        <v>161230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43571</v>
      </c>
      <c r="C1672" s="2" t="s">
        <v>569</v>
      </c>
      <c r="D1672" s="2" t="str">
        <f t="shared" si="25"/>
        <v>Error?</v>
      </c>
    </row>
    <row r="1673" spans="1:4" x14ac:dyDescent="0.2">
      <c r="A1673" s="5">
        <v>1612</v>
      </c>
      <c r="B1673" s="1832">
        <f>'Acct Summary 7-8'!G79</f>
        <v>121771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285557</v>
      </c>
      <c r="C1686" s="2" t="s">
        <v>569</v>
      </c>
      <c r="D1686" s="2" t="str">
        <f t="shared" si="25"/>
        <v>Error?</v>
      </c>
    </row>
    <row r="1687" spans="1:4" x14ac:dyDescent="0.2">
      <c r="A1687" s="5">
        <v>1626</v>
      </c>
      <c r="B1687" s="1832">
        <f>'Acct Summary 7-8'!H79</f>
        <v>91342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85203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7008362</v>
      </c>
      <c r="C1744" s="2" t="s">
        <v>569</v>
      </c>
      <c r="D1744" s="2" t="str">
        <f t="shared" si="26"/>
        <v>Error?</v>
      </c>
    </row>
    <row r="1745" spans="1:5" x14ac:dyDescent="0.2">
      <c r="A1745" s="5">
        <v>1684</v>
      </c>
      <c r="B1745" s="1832">
        <f>'Tax Sched 23'!B5</f>
        <v>976886</v>
      </c>
      <c r="C1745" s="2" t="s">
        <v>569</v>
      </c>
      <c r="D1745" s="2" t="str">
        <f t="shared" si="26"/>
        <v>Error?</v>
      </c>
    </row>
    <row r="1746" spans="1:5" x14ac:dyDescent="0.2">
      <c r="A1746" s="5">
        <v>1685</v>
      </c>
      <c r="B1746" s="1832">
        <f>'Tax Sched 23'!B6</f>
        <v>474459</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91141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710308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9261156</v>
      </c>
      <c r="C1759" s="2" t="s">
        <v>569</v>
      </c>
      <c r="D1759" s="2" t="str">
        <f t="shared" si="26"/>
        <v>Error?</v>
      </c>
    </row>
    <row r="1760" spans="1:5" x14ac:dyDescent="0.2">
      <c r="A1760" s="5">
        <v>1699</v>
      </c>
      <c r="B1760" s="1832">
        <f>'Tax Sched 23'!D4</f>
        <v>3165172</v>
      </c>
      <c r="C1760" s="2" t="s">
        <v>569</v>
      </c>
      <c r="D1760" s="2" t="str">
        <f t="shared" si="26"/>
        <v>Error?</v>
      </c>
    </row>
    <row r="1761" spans="1:7" x14ac:dyDescent="0.2">
      <c r="A1761" s="5">
        <v>1700</v>
      </c>
      <c r="B1761" s="1832">
        <f>'Tax Sched 23'!D5</f>
        <v>456276</v>
      </c>
      <c r="C1761" s="2" t="s">
        <v>569</v>
      </c>
      <c r="D1761" s="2" t="str">
        <f t="shared" si="26"/>
        <v>Error?</v>
      </c>
    </row>
    <row r="1762" spans="1:7" s="8" customFormat="1" x14ac:dyDescent="0.2">
      <c r="A1762" s="5">
        <v>1701</v>
      </c>
      <c r="B1762" s="1832">
        <f>'Tax Sched 23'!D6</f>
        <v>237946</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44511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337870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4241775</v>
      </c>
      <c r="C1775" s="2" t="s">
        <v>569</v>
      </c>
      <c r="D1775" s="2" t="str">
        <f t="shared" si="26"/>
        <v>Error?</v>
      </c>
    </row>
    <row r="1776" spans="1:7" x14ac:dyDescent="0.2">
      <c r="A1776" s="5">
        <v>1715</v>
      </c>
      <c r="B1776" s="1832">
        <f>'Tax Sched 23'!C4</f>
        <v>3843190</v>
      </c>
      <c r="D1776" s="2" t="str">
        <f t="shared" si="26"/>
        <v>Error?</v>
      </c>
    </row>
    <row r="1777" spans="1:4" x14ac:dyDescent="0.2">
      <c r="A1777" s="5">
        <v>1716</v>
      </c>
      <c r="B1777" s="1832">
        <f>'Tax Sched 23'!C5</f>
        <v>520610</v>
      </c>
      <c r="D1777" s="2" t="str">
        <f t="shared" si="26"/>
        <v>Error?</v>
      </c>
    </row>
    <row r="1778" spans="1:4" x14ac:dyDescent="0.2">
      <c r="A1778" s="5">
        <v>1717</v>
      </c>
      <c r="B1778" s="1832">
        <f>'Tax Sched 23'!C6</f>
        <v>236513</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46630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372438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5019381</v>
      </c>
      <c r="C1791" s="2" t="s">
        <v>569</v>
      </c>
      <c r="D1791" s="2" t="str">
        <f t="shared" ref="D1791:D1854" si="27">IF(ISBLANK(B1791),"OK",IF(A1791-B1791=0,"OK","Error?"))</f>
        <v>Error?</v>
      </c>
    </row>
    <row r="1792" spans="1:4" x14ac:dyDescent="0.2">
      <c r="A1792" s="5">
        <v>1731</v>
      </c>
      <c r="B1792" s="1832">
        <f>'Tax Sched 23'!F4</f>
        <v>3823130</v>
      </c>
      <c r="C1792" s="2" t="s">
        <v>569</v>
      </c>
      <c r="D1792" s="2" t="str">
        <f t="shared" si="27"/>
        <v>Error?</v>
      </c>
    </row>
    <row r="1793" spans="1:4" x14ac:dyDescent="0.2">
      <c r="A1793" s="5">
        <v>1732</v>
      </c>
      <c r="B1793" s="1832">
        <f>'Tax Sched 23'!F5</f>
        <v>517939</v>
      </c>
      <c r="C1793" s="2" t="s">
        <v>569</v>
      </c>
      <c r="D1793" s="2" t="str">
        <f t="shared" si="27"/>
        <v>Error?</v>
      </c>
    </row>
    <row r="1794" spans="1:4" x14ac:dyDescent="0.2">
      <c r="A1794" s="5">
        <v>1733</v>
      </c>
      <c r="B1794" s="1832">
        <f>'Tax Sched 23'!F6</f>
        <v>235344</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46414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370459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4993286</v>
      </c>
      <c r="C1807" s="2" t="s">
        <v>569</v>
      </c>
      <c r="D1807" s="2" t="str">
        <f t="shared" si="27"/>
        <v>Error?</v>
      </c>
    </row>
    <row r="1808" spans="1:4" x14ac:dyDescent="0.2">
      <c r="A1808" s="5">
        <v>1747</v>
      </c>
      <c r="B1808" s="1832">
        <f>'Tax Sched 23'!E4</f>
        <v>7666320</v>
      </c>
      <c r="D1808" s="2" t="str">
        <f t="shared" si="27"/>
        <v>Error?</v>
      </c>
    </row>
    <row r="1809" spans="1:4" x14ac:dyDescent="0.2">
      <c r="A1809" s="5">
        <v>1748</v>
      </c>
      <c r="B1809" s="1832">
        <f>'Tax Sched 23'!E5</f>
        <v>1038549</v>
      </c>
      <c r="D1809" s="2" t="str">
        <f t="shared" si="27"/>
        <v>Error?</v>
      </c>
    </row>
    <row r="1810" spans="1:4" x14ac:dyDescent="0.2">
      <c r="A1810" s="5">
        <v>1749</v>
      </c>
      <c r="B1810" s="1832">
        <f>'Tax Sched 23'!E6</f>
        <v>471857</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93044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742897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10012667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5625000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710308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710308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710308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7000</v>
      </c>
      <c r="D2008" s="2" t="str">
        <f t="shared" si="30"/>
        <v>Error?</v>
      </c>
    </row>
    <row r="2009" spans="1:4" x14ac:dyDescent="0.2">
      <c r="A2009" s="5">
        <v>1948</v>
      </c>
      <c r="B2009" s="1832">
        <f>'Cap Outlay Deprec 26'!C8</f>
        <v>21010720</v>
      </c>
      <c r="D2009" s="2" t="str">
        <f t="shared" si="30"/>
        <v>Error?</v>
      </c>
    </row>
    <row r="2010" spans="1:4" x14ac:dyDescent="0.2">
      <c r="A2010" s="5">
        <v>1949</v>
      </c>
      <c r="B2010" s="1832">
        <f>'Cap Outlay Deprec 26'!C10</f>
        <v>317137</v>
      </c>
      <c r="D2010" s="2" t="str">
        <f t="shared" si="30"/>
        <v>Error?</v>
      </c>
    </row>
    <row r="2011" spans="1:4" x14ac:dyDescent="0.2">
      <c r="A2011" s="5">
        <v>1950</v>
      </c>
      <c r="B2011" s="1832">
        <f>'Cap Outlay Deprec 26'!C12</f>
        <v>3748718</v>
      </c>
      <c r="D2011" s="2" t="str">
        <f t="shared" si="30"/>
        <v>Error?</v>
      </c>
    </row>
    <row r="2012" spans="1:4" x14ac:dyDescent="0.2">
      <c r="A2012" s="5">
        <v>1951</v>
      </c>
      <c r="B2012" s="1832">
        <f>'Cap Outlay Deprec 26'!C13</f>
        <v>692943</v>
      </c>
      <c r="D2012" s="2" t="str">
        <f t="shared" si="30"/>
        <v>Error?</v>
      </c>
    </row>
    <row r="2013" spans="1:4" x14ac:dyDescent="0.2">
      <c r="A2013" s="5">
        <v>1952</v>
      </c>
      <c r="B2013" s="1832">
        <f>'Cap Outlay Deprec 26'!C16</f>
        <v>25776518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538854</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192934</v>
      </c>
      <c r="D2017" s="2" t="str">
        <f t="shared" si="30"/>
        <v>Error?</v>
      </c>
    </row>
    <row r="2018" spans="1:4" x14ac:dyDescent="0.2">
      <c r="A2018" s="5">
        <v>1957</v>
      </c>
      <c r="B2018" s="1832">
        <f>'Cap Outlay Deprec 26'!D13</f>
        <v>50000</v>
      </c>
      <c r="D2018" s="2" t="str">
        <f t="shared" si="30"/>
        <v>Error?</v>
      </c>
    </row>
    <row r="2019" spans="1:4" x14ac:dyDescent="0.2">
      <c r="A2019" s="5">
        <v>1958</v>
      </c>
      <c r="B2019" s="1832">
        <f>'Cap Outlay Deprec 26'!D16</f>
        <v>781788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7000</v>
      </c>
      <c r="C2026" s="2" t="s">
        <v>569</v>
      </c>
      <c r="D2026" s="2" t="str">
        <f t="shared" si="30"/>
        <v>Error?</v>
      </c>
    </row>
    <row r="2027" spans="1:4" x14ac:dyDescent="0.2">
      <c r="A2027" s="5">
        <v>1966</v>
      </c>
      <c r="B2027" s="1832">
        <f>'Cap Outlay Deprec 26'!F8</f>
        <v>21549574</v>
      </c>
      <c r="C2027" s="2" t="s">
        <v>569</v>
      </c>
      <c r="D2027" s="2" t="str">
        <f t="shared" si="30"/>
        <v>Error?</v>
      </c>
    </row>
    <row r="2028" spans="1:4" x14ac:dyDescent="0.2">
      <c r="A2028" s="5">
        <v>1967</v>
      </c>
      <c r="B2028" s="1832">
        <f>'Cap Outlay Deprec 26'!F10</f>
        <v>317137</v>
      </c>
      <c r="C2028" s="2" t="s">
        <v>569</v>
      </c>
      <c r="D2028" s="2" t="str">
        <f t="shared" si="30"/>
        <v>Error?</v>
      </c>
    </row>
    <row r="2029" spans="1:4" x14ac:dyDescent="0.2">
      <c r="A2029" s="5">
        <v>1968</v>
      </c>
      <c r="B2029" s="1832">
        <f>'Cap Outlay Deprec 26'!F12</f>
        <v>3941652</v>
      </c>
      <c r="C2029" s="2" t="s">
        <v>569</v>
      </c>
      <c r="D2029" s="2" t="str">
        <f t="shared" si="30"/>
        <v>Error?</v>
      </c>
    </row>
    <row r="2030" spans="1:4" x14ac:dyDescent="0.2">
      <c r="A2030" s="5">
        <v>1969</v>
      </c>
      <c r="B2030" s="1832">
        <f>'Cap Outlay Deprec 26'!F13</f>
        <v>742943</v>
      </c>
      <c r="C2030" s="2" t="s">
        <v>569</v>
      </c>
      <c r="D2030" s="2" t="str">
        <f t="shared" si="30"/>
        <v>Error?</v>
      </c>
    </row>
    <row r="2031" spans="1:4" x14ac:dyDescent="0.2">
      <c r="A2031" s="5">
        <v>1970</v>
      </c>
      <c r="B2031" s="1832">
        <f>'Cap Outlay Deprec 26'!F16</f>
        <v>26558306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6576431</v>
      </c>
      <c r="D2033" s="2" t="str">
        <f t="shared" si="30"/>
        <v>Error?</v>
      </c>
    </row>
    <row r="2034" spans="1:4" x14ac:dyDescent="0.2">
      <c r="A2034" s="5">
        <v>1973</v>
      </c>
      <c r="B2034" s="1832">
        <f>'Cap Outlay Deprec 26'!H10</f>
        <v>219418</v>
      </c>
      <c r="D2034" s="2" t="str">
        <f t="shared" si="30"/>
        <v>Error?</v>
      </c>
    </row>
    <row r="2035" spans="1:4" x14ac:dyDescent="0.2">
      <c r="A2035" s="5">
        <v>1974</v>
      </c>
      <c r="B2035" s="1832">
        <f>'Cap Outlay Deprec 26'!H12</f>
        <v>3094804</v>
      </c>
      <c r="D2035" s="2" t="str">
        <f t="shared" si="30"/>
        <v>Error?</v>
      </c>
    </row>
    <row r="2036" spans="1:4" x14ac:dyDescent="0.2">
      <c r="A2036" s="5">
        <v>1975</v>
      </c>
      <c r="B2036" s="1832">
        <f>'Cap Outlay Deprec 26'!H13</f>
        <v>623193</v>
      </c>
      <c r="D2036" s="2" t="str">
        <f t="shared" si="30"/>
        <v>Error?</v>
      </c>
    </row>
    <row r="2037" spans="1:4" x14ac:dyDescent="0.2">
      <c r="A2037" s="5">
        <v>1976</v>
      </c>
      <c r="B2037" s="1832">
        <f>'Cap Outlay Deprec 26'!H16</f>
        <v>10513846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425607</v>
      </c>
      <c r="D2039" s="2" t="str">
        <f t="shared" si="30"/>
        <v>Error?</v>
      </c>
    </row>
    <row r="2040" spans="1:4" x14ac:dyDescent="0.2">
      <c r="A2040" s="5">
        <v>1979</v>
      </c>
      <c r="B2040" s="1832">
        <f>'Cap Outlay Deprec 26'!I10</f>
        <v>5577</v>
      </c>
      <c r="D2040" s="2" t="str">
        <f t="shared" si="30"/>
        <v>Error?</v>
      </c>
    </row>
    <row r="2041" spans="1:4" x14ac:dyDescent="0.2">
      <c r="A2041" s="5">
        <v>1980</v>
      </c>
      <c r="B2041" s="1832">
        <f>'Cap Outlay Deprec 26'!I12</f>
        <v>123642</v>
      </c>
      <c r="D2041" s="2" t="str">
        <f t="shared" si="30"/>
        <v>Error?</v>
      </c>
    </row>
    <row r="2042" spans="1:4" x14ac:dyDescent="0.2">
      <c r="A2042" s="5">
        <v>1981</v>
      </c>
      <c r="B2042" s="1832">
        <f>'Cap Outlay Deprec 26'!I13</f>
        <v>42790</v>
      </c>
      <c r="D2042" s="2" t="str">
        <f t="shared" si="30"/>
        <v>Error?</v>
      </c>
    </row>
    <row r="2043" spans="1:4" x14ac:dyDescent="0.2">
      <c r="A2043" s="5">
        <v>1982</v>
      </c>
      <c r="B2043" s="1832">
        <f>'Cap Outlay Deprec 26'!I16</f>
        <v>597616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7002038</v>
      </c>
      <c r="C2051" s="2" t="s">
        <v>569</v>
      </c>
      <c r="D2051" s="2" t="str">
        <f t="shared" si="31"/>
        <v>Error?</v>
      </c>
    </row>
    <row r="2052" spans="1:4" x14ac:dyDescent="0.2">
      <c r="A2052" s="5">
        <v>1991</v>
      </c>
      <c r="B2052" s="1832">
        <f>'Cap Outlay Deprec 26'!K10</f>
        <v>224995</v>
      </c>
      <c r="C2052" s="2" t="s">
        <v>569</v>
      </c>
      <c r="D2052" s="2" t="str">
        <f t="shared" si="31"/>
        <v>Error?</v>
      </c>
    </row>
    <row r="2053" spans="1:4" x14ac:dyDescent="0.2">
      <c r="A2053" s="5">
        <v>1992</v>
      </c>
      <c r="B2053" s="1832">
        <f>'Cap Outlay Deprec 26'!K12</f>
        <v>3218446</v>
      </c>
      <c r="C2053" s="2" t="s">
        <v>569</v>
      </c>
      <c r="D2053" s="2" t="str">
        <f t="shared" si="31"/>
        <v>Error?</v>
      </c>
    </row>
    <row r="2054" spans="1:4" x14ac:dyDescent="0.2">
      <c r="A2054" s="5">
        <v>1993</v>
      </c>
      <c r="B2054" s="1832">
        <f>'Cap Outlay Deprec 26'!K13</f>
        <v>665983</v>
      </c>
      <c r="C2054" s="2" t="s">
        <v>569</v>
      </c>
      <c r="D2054" s="2" t="str">
        <f t="shared" si="31"/>
        <v>Error?</v>
      </c>
    </row>
    <row r="2055" spans="1:4" x14ac:dyDescent="0.2">
      <c r="A2055" s="5">
        <v>1994</v>
      </c>
      <c r="B2055" s="1832">
        <f>'Cap Outlay Deprec 26'!K16</f>
        <v>11111462</v>
      </c>
      <c r="C2055" s="2" t="s">
        <v>569</v>
      </c>
      <c r="D2055" s="2" t="str">
        <f t="shared" si="31"/>
        <v>Error?</v>
      </c>
    </row>
    <row r="2056" spans="1:4" x14ac:dyDescent="0.2">
      <c r="A2056" s="5">
        <v>1995</v>
      </c>
      <c r="B2056" s="1832">
        <f>'Cap Outlay Deprec 26'!L5</f>
        <v>7000</v>
      </c>
      <c r="C2056" s="2" t="s">
        <v>569</v>
      </c>
      <c r="D2056" s="2" t="str">
        <f t="shared" si="31"/>
        <v>Error?</v>
      </c>
    </row>
    <row r="2057" spans="1:4" x14ac:dyDescent="0.2">
      <c r="A2057" s="5">
        <v>1996</v>
      </c>
      <c r="B2057" s="1832">
        <f>'Cap Outlay Deprec 26'!L8</f>
        <v>14547536</v>
      </c>
      <c r="C2057" s="2" t="s">
        <v>569</v>
      </c>
      <c r="D2057" s="2" t="str">
        <f t="shared" si="31"/>
        <v>Error?</v>
      </c>
    </row>
    <row r="2058" spans="1:4" x14ac:dyDescent="0.2">
      <c r="A2058" s="5">
        <v>1997</v>
      </c>
      <c r="B2058" s="1832">
        <f>'Cap Outlay Deprec 26'!L10</f>
        <v>92142</v>
      </c>
      <c r="C2058" s="2" t="s">
        <v>569</v>
      </c>
      <c r="D2058" s="2" t="str">
        <f t="shared" si="31"/>
        <v>Error?</v>
      </c>
    </row>
    <row r="2059" spans="1:4" x14ac:dyDescent="0.2">
      <c r="A2059" s="5">
        <v>1998</v>
      </c>
      <c r="B2059" s="1832">
        <f>'Cap Outlay Deprec 26'!L12</f>
        <v>723206</v>
      </c>
      <c r="C2059" s="2" t="s">
        <v>569</v>
      </c>
      <c r="D2059" s="2" t="str">
        <f t="shared" si="31"/>
        <v>Error?</v>
      </c>
    </row>
    <row r="2060" spans="1:4" x14ac:dyDescent="0.2">
      <c r="A2060" s="5">
        <v>1999</v>
      </c>
      <c r="B2060" s="1832">
        <f>'Cap Outlay Deprec 26'!L13</f>
        <v>76960</v>
      </c>
      <c r="C2060" s="2" t="s">
        <v>569</v>
      </c>
      <c r="D2060" s="2" t="str">
        <f t="shared" si="31"/>
        <v>Error?</v>
      </c>
    </row>
    <row r="2061" spans="1:4" x14ac:dyDescent="0.2">
      <c r="A2061" s="5">
        <v>2000</v>
      </c>
      <c r="B2061" s="1832">
        <f>'Cap Outlay Deprec 26'!L16</f>
        <v>15446844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101313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103680</v>
      </c>
      <c r="C2088" s="2" t="s">
        <v>569</v>
      </c>
      <c r="D2088" s="2" t="str">
        <f t="shared" si="31"/>
        <v>Error?</v>
      </c>
    </row>
    <row r="2089" spans="1:4" x14ac:dyDescent="0.2">
      <c r="A2089" s="5">
        <v>2028</v>
      </c>
      <c r="B2089" s="1832">
        <f>'Expenditures 15-22'!K92</f>
        <v>331319</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445000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8253920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1902243</v>
      </c>
      <c r="C2553" s="2" t="s">
        <v>569</v>
      </c>
      <c r="D2553" s="2" t="str">
        <f t="shared" si="38"/>
        <v>Error?</v>
      </c>
    </row>
    <row r="2554" spans="1:4" x14ac:dyDescent="0.2">
      <c r="A2554" s="5">
        <v>2493</v>
      </c>
      <c r="B2554" s="1832">
        <f>'Acct Summary 7-8'!C7</f>
        <v>780950</v>
      </c>
      <c r="C2554" s="2" t="s">
        <v>569</v>
      </c>
      <c r="D2554" s="2" t="str">
        <f t="shared" si="38"/>
        <v>Error?</v>
      </c>
    </row>
    <row r="2555" spans="1:4" x14ac:dyDescent="0.2">
      <c r="A2555" s="5">
        <v>2494</v>
      </c>
      <c r="B2555" s="1832">
        <f>'Acct Summary 7-8'!C8</f>
        <v>10937113</v>
      </c>
      <c r="C2555" s="2" t="s">
        <v>569</v>
      </c>
      <c r="D2555" s="2" t="str">
        <f t="shared" si="38"/>
        <v>Error?</v>
      </c>
    </row>
    <row r="2556" spans="1:4" x14ac:dyDescent="0.2">
      <c r="A2556" s="5">
        <v>2495</v>
      </c>
      <c r="B2556" s="1832">
        <f>'Acct Summary 7-8'!C12</f>
        <v>5890469</v>
      </c>
      <c r="C2556" s="2" t="s">
        <v>569</v>
      </c>
      <c r="D2556" s="2" t="str">
        <f t="shared" si="38"/>
        <v>Error?</v>
      </c>
    </row>
    <row r="2557" spans="1:4" x14ac:dyDescent="0.2">
      <c r="A2557" s="5">
        <v>2496</v>
      </c>
      <c r="B2557" s="1832">
        <f>'Acct Summary 7-8'!C13</f>
        <v>2284823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434999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8610291</v>
      </c>
      <c r="C2561" s="2" t="s">
        <v>569</v>
      </c>
      <c r="D2561" s="2" t="str">
        <f t="shared" si="39"/>
        <v>Error?</v>
      </c>
    </row>
    <row r="2562" spans="1:4" x14ac:dyDescent="0.2">
      <c r="A2562" s="5">
        <v>2501</v>
      </c>
      <c r="B2562" s="1832">
        <f>'Acct Summary 7-8'!C20</f>
        <v>2326822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976999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1026999</v>
      </c>
      <c r="C2568" s="2" t="s">
        <v>569</v>
      </c>
      <c r="D2568" s="2" t="str">
        <f t="shared" si="39"/>
        <v>Error?</v>
      </c>
    </row>
    <row r="2569" spans="1:4" x14ac:dyDescent="0.2">
      <c r="A2569" s="5">
        <v>2508</v>
      </c>
      <c r="B2569" s="1832">
        <f>'Acct Summary 7-8'!D13</f>
        <v>1474558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1474558</v>
      </c>
      <c r="C2573" s="2" t="s">
        <v>569</v>
      </c>
      <c r="D2573" s="2" t="str">
        <f t="shared" si="39"/>
        <v>Error?</v>
      </c>
    </row>
    <row r="2574" spans="1:4" x14ac:dyDescent="0.2">
      <c r="A2574" s="5">
        <v>2513</v>
      </c>
      <c r="B2574" s="1832">
        <f>'Acct Summary 7-8'!D20</f>
        <v>-447559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289579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206791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496370</v>
      </c>
      <c r="C2595" s="2" t="s">
        <v>569</v>
      </c>
      <c r="D2595" s="2" t="str">
        <f t="shared" si="39"/>
        <v>Error?</v>
      </c>
    </row>
    <row r="2596" spans="1:4" x14ac:dyDescent="0.2">
      <c r="A2596" s="5">
        <v>2535</v>
      </c>
      <c r="B2596" s="1832">
        <f>'Acct Summary 7-8'!F13</f>
        <v>659029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659029</v>
      </c>
      <c r="C2600" s="2" t="s">
        <v>569</v>
      </c>
      <c r="D2600" s="2" t="str">
        <f t="shared" si="39"/>
        <v>Error?</v>
      </c>
    </row>
    <row r="2601" spans="1:4" x14ac:dyDescent="0.2">
      <c r="A2601" s="5">
        <v>2540</v>
      </c>
      <c r="B2601" s="1832">
        <f>'Acct Summary 7-8'!F20</f>
        <v>-162659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584548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584548</v>
      </c>
      <c r="C2606" s="2" t="s">
        <v>569</v>
      </c>
      <c r="D2606" s="2" t="str">
        <f t="shared" si="39"/>
        <v>Error?</v>
      </c>
    </row>
    <row r="2607" spans="1:4" x14ac:dyDescent="0.2">
      <c r="A2607" s="5">
        <v>2546</v>
      </c>
      <c r="B2607" s="1832">
        <f>'Acct Summary 7-8'!G12</f>
        <v>83349</v>
      </c>
      <c r="C2607" s="2" t="s">
        <v>569</v>
      </c>
      <c r="D2607" s="2" t="str">
        <f t="shared" si="39"/>
        <v>Error?</v>
      </c>
    </row>
    <row r="2608" spans="1:4" x14ac:dyDescent="0.2">
      <c r="A2608" s="5">
        <v>2547</v>
      </c>
      <c r="B2608" s="1832">
        <f>'Acct Summary 7-8'!G13</f>
        <v>337413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420762</v>
      </c>
      <c r="C2612" s="2" t="s">
        <v>569</v>
      </c>
      <c r="D2612" s="2" t="str">
        <f t="shared" si="39"/>
        <v>Error?</v>
      </c>
    </row>
    <row r="2613" spans="1:4" x14ac:dyDescent="0.2">
      <c r="A2613" s="5">
        <v>2552</v>
      </c>
      <c r="B2613" s="1832">
        <f>'Acct Summary 7-8'!G20</f>
        <v>163786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474511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474511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443888</v>
      </c>
      <c r="C2634" s="2" t="s">
        <v>569</v>
      </c>
      <c r="D2634" s="2" t="str">
        <f t="shared" si="40"/>
        <v>Error?</v>
      </c>
    </row>
    <row r="2635" spans="1:4" x14ac:dyDescent="0.2">
      <c r="A2635" s="5">
        <v>2574</v>
      </c>
      <c r="B2635" s="1832">
        <f>'Acct Summary 7-8'!E17</f>
        <v>443888</v>
      </c>
      <c r="C2635" s="2" t="s">
        <v>569</v>
      </c>
      <c r="D2635" s="2" t="str">
        <f t="shared" si="40"/>
        <v>Error?</v>
      </c>
    </row>
    <row r="2636" spans="1:4" x14ac:dyDescent="0.2">
      <c r="A2636" s="5">
        <v>2575</v>
      </c>
      <c r="B2636" s="1832">
        <f>'Acct Summary 7-8'!E20</f>
        <v>30623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6139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6139</v>
      </c>
      <c r="C2661" s="2" t="s">
        <v>569</v>
      </c>
      <c r="D2661" s="2" t="str">
        <f t="shared" si="40"/>
        <v>Error?</v>
      </c>
    </row>
    <row r="2662" spans="1:4" x14ac:dyDescent="0.2">
      <c r="A2662" s="5">
        <v>2601</v>
      </c>
      <c r="B2662" s="1832">
        <f>'Acct Summary 7-8'!H20</f>
        <v>-6139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2367</v>
      </c>
      <c r="C2789" s="2" t="s">
        <v>569</v>
      </c>
      <c r="D2789" s="2" t="str">
        <f t="shared" si="42"/>
        <v>Error?</v>
      </c>
    </row>
    <row r="2790" spans="1:4" x14ac:dyDescent="0.2">
      <c r="A2790" s="5">
        <v>2729</v>
      </c>
      <c r="B2790" s="1832">
        <f>'Expenditures 15-22'!E102</f>
        <v>2367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139163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139163</v>
      </c>
      <c r="D2912" s="2" t="str">
        <f t="shared" si="44"/>
        <v>Error?</v>
      </c>
    </row>
    <row r="2913" spans="1:4" x14ac:dyDescent="0.2">
      <c r="A2913" s="5">
        <v>2852</v>
      </c>
      <c r="B2913" s="1832">
        <f>'Assets-Liab 5-6'!I41</f>
        <v>139163</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2367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101313</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103680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99135</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18786</v>
      </c>
      <c r="D3057" s="2" t="str">
        <f t="shared" si="46"/>
        <v>Error?</v>
      </c>
    </row>
    <row r="3058" spans="1:4" x14ac:dyDescent="0.2">
      <c r="A3058" s="5">
        <v>2997</v>
      </c>
      <c r="B3058" s="1832">
        <f>'Expenditures 15-22'!F10</f>
        <v>112441</v>
      </c>
      <c r="D3058" s="2" t="str">
        <f t="shared" si="46"/>
        <v>Error?</v>
      </c>
    </row>
    <row r="3059" spans="1:4" x14ac:dyDescent="0.2">
      <c r="A3059" s="5">
        <v>2998</v>
      </c>
      <c r="B3059" s="1832">
        <f>'Expenditures 15-22'!G10</f>
        <v>10567</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240929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1394</v>
      </c>
      <c r="D3064" s="2" t="str">
        <f t="shared" si="46"/>
        <v>Error?</v>
      </c>
    </row>
    <row r="3065" spans="1:4" x14ac:dyDescent="0.2">
      <c r="A3065" s="5">
        <v>3004</v>
      </c>
      <c r="B3065" s="1832">
        <f>'Expenditures 15-22'!K219</f>
        <v>1394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91151</v>
      </c>
      <c r="C3225" s="2" t="s">
        <v>569</v>
      </c>
      <c r="D3225" s="2" t="str">
        <f t="shared" si="49"/>
        <v>Error?</v>
      </c>
    </row>
    <row r="3226" spans="1:4" x14ac:dyDescent="0.2">
      <c r="A3226" s="5">
        <v>3165</v>
      </c>
      <c r="B3226" s="1832">
        <f>'Acct Summary 7-8'!I8</f>
        <v>91151</v>
      </c>
      <c r="C3226" s="2" t="s">
        <v>569</v>
      </c>
      <c r="D3226" s="2" t="str">
        <f t="shared" si="49"/>
        <v>Error?</v>
      </c>
    </row>
    <row r="3227" spans="1:4" x14ac:dyDescent="0.2">
      <c r="A3227" s="5">
        <v>3166</v>
      </c>
      <c r="B3227" s="1832">
        <f>'Acct Summary 7-8'!I20</f>
        <v>91151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2326822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400000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400000</v>
      </c>
      <c r="C3238" s="2" t="s">
        <v>569</v>
      </c>
      <c r="D3238" s="2" t="str">
        <f t="shared" si="49"/>
        <v>Error?</v>
      </c>
    </row>
    <row r="3239" spans="1:4" x14ac:dyDescent="0.2">
      <c r="A3239" s="5">
        <v>3178</v>
      </c>
      <c r="B3239" s="1832">
        <f>'Acct Summary 7-8'!D78</f>
        <v>-47559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45000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45000</v>
      </c>
      <c r="C3255" s="2" t="s">
        <v>569</v>
      </c>
      <c r="D3255" s="2" t="str">
        <f t="shared" si="49"/>
        <v>Error?</v>
      </c>
    </row>
    <row r="3256" spans="1:4" x14ac:dyDescent="0.2">
      <c r="A3256" s="5">
        <v>3195</v>
      </c>
      <c r="B3256" s="1832">
        <f>'Acct Summary 7-8'!F78</f>
        <v>-117659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163786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30623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-6139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445000</v>
      </c>
      <c r="C3318" s="2" t="s">
        <v>569</v>
      </c>
      <c r="D3318" s="2" t="str">
        <f t="shared" si="50"/>
        <v>Error?</v>
      </c>
    </row>
    <row r="3319" spans="1:4" x14ac:dyDescent="0.2">
      <c r="A3319" s="5">
        <v>3258</v>
      </c>
      <c r="B3319" s="1832">
        <f>'Acct Summary 7-8'!I77</f>
        <v>-445000</v>
      </c>
      <c r="C3319" s="2" t="s">
        <v>569</v>
      </c>
      <c r="D3319" s="2" t="str">
        <f t="shared" si="50"/>
        <v>Error?</v>
      </c>
    </row>
    <row r="3320" spans="1:4" x14ac:dyDescent="0.2">
      <c r="A3320" s="5">
        <v>3259</v>
      </c>
      <c r="B3320" s="1832">
        <f>'Acct Summary 7-8'!I78</f>
        <v>-353849</v>
      </c>
      <c r="C3320" s="2" t="s">
        <v>569</v>
      </c>
      <c r="D3320" s="2" t="str">
        <f t="shared" si="50"/>
        <v>Error?</v>
      </c>
    </row>
    <row r="3321" spans="1:4" x14ac:dyDescent="0.2">
      <c r="A3321" s="5">
        <v>3260</v>
      </c>
      <c r="B3321" s="1832">
        <f>'Acct Summary 7-8'!I79</f>
        <v>493012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139163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1089909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180119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5983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35387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1311398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44505</v>
      </c>
      <c r="D3387" s="2" t="str">
        <f t="shared" si="51"/>
        <v>Error?</v>
      </c>
    </row>
    <row r="3388" spans="1:4" x14ac:dyDescent="0.2">
      <c r="A3388" s="5">
        <v>3327</v>
      </c>
      <c r="B3388" s="1832">
        <f>'Expenditures 15-22'!D217</f>
        <v>26711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44505</v>
      </c>
      <c r="C3390" s="2" t="s">
        <v>569</v>
      </c>
      <c r="D3390" s="2" t="str">
        <f t="shared" si="51"/>
        <v>Error?</v>
      </c>
    </row>
    <row r="3391" spans="1:4" x14ac:dyDescent="0.2">
      <c r="A3391" s="5">
        <v>3330</v>
      </c>
      <c r="B3391" s="1832">
        <f>'Expenditures 15-22'!K217</f>
        <v>26711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17247759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120675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30637</v>
      </c>
      <c r="D3417" s="2" t="str">
        <f t="shared" si="52"/>
        <v>Error?</v>
      </c>
    </row>
    <row r="3418" spans="1:4" x14ac:dyDescent="0.2">
      <c r="A3418" s="10">
        <v>3357</v>
      </c>
      <c r="B3418" s="1832"/>
      <c r="D3418" s="2" t="str">
        <f t="shared" si="52"/>
        <v>OK</v>
      </c>
    </row>
    <row r="3419" spans="1:4" x14ac:dyDescent="0.2">
      <c r="A3419" s="5">
        <v>3358</v>
      </c>
      <c r="B3419" s="1832">
        <f>'Assets-Liab 5-6'!F4</f>
        <v>43571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285557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85203</v>
      </c>
      <c r="D3425" s="2" t="str">
        <f t="shared" si="52"/>
        <v>Error?</v>
      </c>
    </row>
    <row r="3426" spans="1:4" x14ac:dyDescent="0.2">
      <c r="A3426" s="10">
        <v>3365</v>
      </c>
      <c r="B3426" s="1832"/>
      <c r="D3426" s="2" t="str">
        <f t="shared" si="52"/>
        <v>OK</v>
      </c>
    </row>
    <row r="3427" spans="1:4" x14ac:dyDescent="0.2">
      <c r="A3427" s="5">
        <v>3366</v>
      </c>
      <c r="B3427" s="1832">
        <f>'Assets-Liab 5-6'!I4</f>
        <v>139163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81168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81168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81168</v>
      </c>
      <c r="D3567" s="2" t="str">
        <f t="shared" si="54"/>
        <v>Error?</v>
      </c>
    </row>
    <row r="3568" spans="1:4" x14ac:dyDescent="0.2">
      <c r="A3568" s="5">
        <v>3507</v>
      </c>
      <c r="B3568" s="1832">
        <f>'Assets-Liab 5-6'!K41</f>
        <v>81168</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81168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81168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253777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3888610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14825723</v>
      </c>
      <c r="C4122" s="2" t="s">
        <v>569</v>
      </c>
      <c r="D4122" s="2" t="str">
        <f t="shared" si="63"/>
        <v>Error?</v>
      </c>
    </row>
    <row r="4123" spans="1:4" x14ac:dyDescent="0.2">
      <c r="A4123" s="5">
        <v>4062</v>
      </c>
      <c r="B4123" s="1832">
        <f>'Acct Summary 7-8'!D10</f>
        <v>1026999</v>
      </c>
      <c r="C4123" s="2" t="s">
        <v>569</v>
      </c>
      <c r="D4123" s="2" t="str">
        <f t="shared" si="63"/>
        <v>Error?</v>
      </c>
    </row>
    <row r="4124" spans="1:4" x14ac:dyDescent="0.2">
      <c r="A4124" s="5">
        <v>4063</v>
      </c>
      <c r="B4124" s="1832">
        <f>'Acct Summary 7-8'!E10</f>
        <v>474511</v>
      </c>
      <c r="C4124" s="2" t="s">
        <v>569</v>
      </c>
      <c r="D4124" s="2" t="str">
        <f t="shared" si="63"/>
        <v>Error?</v>
      </c>
    </row>
    <row r="4125" spans="1:4" x14ac:dyDescent="0.2">
      <c r="A4125" s="5">
        <v>4064</v>
      </c>
      <c r="B4125" s="1832">
        <f>'Acct Summary 7-8'!F10</f>
        <v>496370</v>
      </c>
      <c r="C4125" s="2" t="s">
        <v>569</v>
      </c>
      <c r="D4125" s="2" t="str">
        <f t="shared" si="63"/>
        <v>Error?</v>
      </c>
    </row>
    <row r="4126" spans="1:4" x14ac:dyDescent="0.2">
      <c r="A4126" s="5">
        <v>4065</v>
      </c>
      <c r="B4126" s="1832">
        <f>'Acct Summary 7-8'!G10</f>
        <v>584548</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91151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3888610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12498901</v>
      </c>
      <c r="C4136" s="2" t="s">
        <v>569</v>
      </c>
      <c r="D4136" s="2" t="str">
        <f t="shared" si="63"/>
        <v>Error?</v>
      </c>
    </row>
    <row r="4137" spans="1:4" x14ac:dyDescent="0.2">
      <c r="A4137" s="5">
        <v>4076</v>
      </c>
      <c r="B4137" s="1832">
        <f>'Acct Summary 7-8'!D19</f>
        <v>1474558</v>
      </c>
      <c r="C4137" s="2" t="s">
        <v>569</v>
      </c>
      <c r="D4137" s="2" t="str">
        <f t="shared" si="63"/>
        <v>Error?</v>
      </c>
    </row>
    <row r="4138" spans="1:4" x14ac:dyDescent="0.2">
      <c r="A4138" s="5">
        <v>4077</v>
      </c>
      <c r="B4138" s="1832">
        <f>'Acct Summary 7-8'!E19</f>
        <v>443888</v>
      </c>
      <c r="C4138" s="2" t="s">
        <v>569</v>
      </c>
      <c r="D4138" s="2" t="str">
        <f t="shared" si="63"/>
        <v>Error?</v>
      </c>
    </row>
    <row r="4139" spans="1:4" x14ac:dyDescent="0.2">
      <c r="A4139" s="5">
        <v>4078</v>
      </c>
      <c r="B4139" s="1832">
        <f>'Acct Summary 7-8'!F19</f>
        <v>659029</v>
      </c>
      <c r="C4139" s="2" t="s">
        <v>569</v>
      </c>
      <c r="D4139" s="2" t="str">
        <f t="shared" si="63"/>
        <v>Error?</v>
      </c>
    </row>
    <row r="4140" spans="1:4" x14ac:dyDescent="0.2">
      <c r="A4140" s="5">
        <v>4079</v>
      </c>
      <c r="B4140" s="1832">
        <f>'Acct Summary 7-8'!G19</f>
        <v>420762</v>
      </c>
      <c r="C4140" s="2" t="s">
        <v>569</v>
      </c>
      <c r="D4140" s="2" t="str">
        <f t="shared" si="63"/>
        <v>Error?</v>
      </c>
    </row>
    <row r="4141" spans="1:4" x14ac:dyDescent="0.2">
      <c r="A4141" s="5">
        <v>4080</v>
      </c>
      <c r="B4141" s="1832">
        <f>'Acct Summary 7-8'!H19</f>
        <v>6139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5445000</v>
      </c>
      <c r="C4171" s="2" t="s">
        <v>569</v>
      </c>
      <c r="D4171" s="2" t="str">
        <f t="shared" si="64"/>
        <v>Error?</v>
      </c>
    </row>
    <row r="4172" spans="1:4" x14ac:dyDescent="0.2">
      <c r="A4172" s="5">
        <v>4111</v>
      </c>
      <c r="B4172" s="1832">
        <f>'Short-Term Long-Term Debt 24'!J49</f>
        <v>5414363</v>
      </c>
      <c r="C4172" s="2" t="s">
        <v>569</v>
      </c>
      <c r="D4172" s="2" t="str">
        <f t="shared" si="64"/>
        <v>Error?</v>
      </c>
    </row>
    <row r="4173" spans="1:4" x14ac:dyDescent="0.2">
      <c r="A4173" s="5">
        <v>4112</v>
      </c>
      <c r="B4173" s="1832">
        <f>'Short-Term Long-Term Debt 24'!H49</f>
        <v>180000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3155.7000000000003</v>
      </c>
      <c r="C4265" s="2" t="s">
        <v>569</v>
      </c>
      <c r="D4265" s="2" t="str">
        <f t="shared" si="65"/>
        <v>Error?</v>
      </c>
      <c r="E4265" s="125"/>
    </row>
    <row r="4266" spans="1:5" x14ac:dyDescent="0.2">
      <c r="A4266" s="12">
        <v>4205</v>
      </c>
      <c r="B4266" s="1832">
        <f>('FP Info 3'!F10)*100000</f>
        <v>427.5</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3583</v>
      </c>
      <c r="C4268" s="2" t="s">
        <v>569</v>
      </c>
      <c r="D4268" s="2" t="str">
        <f t="shared" si="65"/>
        <v>Error?</v>
      </c>
    </row>
    <row r="4269" spans="1:5" x14ac:dyDescent="0.2">
      <c r="A4269" s="12">
        <v>4208</v>
      </c>
      <c r="B4269" s="1832">
        <f>'FP Info 3'!J16</f>
        <v>17545100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15000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14688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46191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19284</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34994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38.299999999999997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31608</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22429</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242935663</v>
      </c>
      <c r="D4995" s="2" t="str">
        <f t="shared" si="77"/>
        <v>Error?</v>
      </c>
    </row>
    <row r="4996" spans="1:4" x14ac:dyDescent="0.2">
      <c r="A4996" s="12">
        <v>4935</v>
      </c>
      <c r="B4996" s="1832">
        <f>'FP Info 3'!H31</f>
        <v>16762560.747000001</v>
      </c>
      <c r="D4996" s="2" t="str">
        <f t="shared" si="77"/>
        <v>Error?</v>
      </c>
    </row>
    <row r="4997" spans="1:4" x14ac:dyDescent="0.2">
      <c r="A4997" s="12">
        <v>4936</v>
      </c>
      <c r="B4997" s="1832">
        <f>'FP Info 3'!H37</f>
        <v>5445000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7008362</v>
      </c>
      <c r="D5061" s="2" t="str">
        <f t="shared" si="78"/>
        <v>Error?</v>
      </c>
    </row>
    <row r="5062" spans="1:4" x14ac:dyDescent="0.2">
      <c r="A5062" s="10">
        <v>5001</v>
      </c>
      <c r="B5062" s="1832"/>
      <c r="D5062" s="2" t="str">
        <f t="shared" si="78"/>
        <v>OK</v>
      </c>
    </row>
    <row r="5063" spans="1:4" x14ac:dyDescent="0.2">
      <c r="A5063" s="5">
        <v>5002</v>
      </c>
      <c r="B5063" s="1832">
        <f>'Revenues 9-14'!C7</f>
        <v>710308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7718670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382373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382373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26593</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2997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2997</v>
      </c>
      <c r="C5102" s="2" t="s">
        <v>569</v>
      </c>
      <c r="D5102" s="2" t="str">
        <f t="shared" si="78"/>
        <v>Error?</v>
      </c>
    </row>
    <row r="5103" spans="1:4" x14ac:dyDescent="0.2">
      <c r="A5103" s="5">
        <v>5042</v>
      </c>
      <c r="B5103" s="1832">
        <f>'Revenues 9-14'!C84</f>
        <v>25418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25418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15679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41629</v>
      </c>
      <c r="D5118" s="2" t="str">
        <f t="shared" si="78"/>
        <v>Error?</v>
      </c>
    </row>
    <row r="5119" spans="1:4" x14ac:dyDescent="0.2">
      <c r="A5119" s="5">
        <v>5058</v>
      </c>
      <c r="B5119" s="1832">
        <f>'Revenues 9-14'!C107</f>
        <v>8953</v>
      </c>
      <c r="D5119" s="2" t="str">
        <f t="shared" ref="D5119:D5182" si="79">IF(ISBLANK(B5119),"OK",IF(A5119-B5119=0,"OK","Error?"))</f>
        <v>Error?</v>
      </c>
    </row>
    <row r="5120" spans="1:4" x14ac:dyDescent="0.2">
      <c r="A5120" s="5">
        <v>5059</v>
      </c>
      <c r="B5120" s="1832">
        <f>'Revenues 9-14'!C108</f>
        <v>97869</v>
      </c>
      <c r="C5120" s="2" t="s">
        <v>569</v>
      </c>
      <c r="D5120" s="2" t="str">
        <f t="shared" si="79"/>
        <v>Error?</v>
      </c>
    </row>
    <row r="5121" spans="1:4" x14ac:dyDescent="0.2">
      <c r="A5121" s="5">
        <v>5060</v>
      </c>
      <c r="B5121" s="1832">
        <f>'Revenues 9-14'!C109</f>
        <v>8253920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1644150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1644150</v>
      </c>
      <c r="C5132" s="2" t="s">
        <v>569</v>
      </c>
      <c r="D5132" s="2" t="str">
        <f t="shared" si="79"/>
        <v>Error?</v>
      </c>
    </row>
    <row r="5133" spans="1:4" x14ac:dyDescent="0.2">
      <c r="A5133" s="5">
        <v>5072</v>
      </c>
      <c r="B5133" s="1832">
        <f>'Revenues 9-14'!C125</f>
        <v>89562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89562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3821</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142281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258093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1902243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177100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56555</v>
      </c>
      <c r="D5241" s="2" t="str">
        <f t="shared" si="80"/>
        <v>Error?</v>
      </c>
    </row>
    <row r="5242" spans="1:4" x14ac:dyDescent="0.2">
      <c r="A5242" s="5">
        <v>5181</v>
      </c>
      <c r="B5242" s="1832">
        <f>'Revenues 9-14'!C194</f>
        <v>94421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328076</v>
      </c>
      <c r="C5246" s="2" t="s">
        <v>569</v>
      </c>
      <c r="D5246" s="2" t="str">
        <f t="shared" si="80"/>
        <v>Error?</v>
      </c>
    </row>
    <row r="5247" spans="1:4" x14ac:dyDescent="0.2">
      <c r="A5247" s="5">
        <v>5186</v>
      </c>
      <c r="B5247" s="1832">
        <f>'Revenues 9-14'!C200</f>
        <v>213642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228642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6991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91195</v>
      </c>
      <c r="D5278" s="2" t="str">
        <f t="shared" si="81"/>
        <v>Error?</v>
      </c>
    </row>
    <row r="5279" spans="1:4" x14ac:dyDescent="0.2">
      <c r="A5279" s="5">
        <v>5218</v>
      </c>
      <c r="B5279" s="1832">
        <f>'Revenues 9-14'!C214</f>
        <v>10889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109075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780950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780950</v>
      </c>
      <c r="C5326" s="2" t="s">
        <v>569</v>
      </c>
      <c r="D5326" s="2" t="str">
        <f t="shared" si="82"/>
        <v>Error?</v>
      </c>
    </row>
    <row r="5327" spans="1:5" x14ac:dyDescent="0.2">
      <c r="A5327" s="5">
        <v>5266</v>
      </c>
      <c r="B5327" s="1832">
        <f>'Revenues 9-14'!C268</f>
        <v>10937113</v>
      </c>
      <c r="C5327" s="2" t="s">
        <v>569</v>
      </c>
      <c r="D5327" s="2" t="str">
        <f t="shared" si="82"/>
        <v>Error?</v>
      </c>
    </row>
    <row r="5328" spans="1:5" x14ac:dyDescent="0.2">
      <c r="A5328" s="5">
        <v>5267</v>
      </c>
      <c r="B5328" s="1832">
        <f>'Revenues 9-14'!D5</f>
        <v>976886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976886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113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976999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1026999</v>
      </c>
      <c r="C5508" s="2" t="s">
        <v>569</v>
      </c>
      <c r="D5508" s="2" t="str">
        <f t="shared" si="85"/>
        <v>Error?</v>
      </c>
    </row>
    <row r="5509" spans="1:4" x14ac:dyDescent="0.2">
      <c r="A5509" s="5">
        <v>5448</v>
      </c>
      <c r="B5509" s="1832">
        <f>'Revenues 9-14'!E5</f>
        <v>474459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474459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474511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474511</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219461</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69818</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289279</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300</v>
      </c>
      <c r="D5586" s="2" t="str">
        <f t="shared" si="86"/>
        <v>Error?</v>
      </c>
    </row>
    <row r="5587" spans="1:4" x14ac:dyDescent="0.2">
      <c r="A5587" s="5">
        <v>5526</v>
      </c>
      <c r="B5587" s="1832">
        <f>'Revenues 9-14'!F108</f>
        <v>300</v>
      </c>
      <c r="C5587" s="2" t="s">
        <v>569</v>
      </c>
      <c r="D5587" s="2" t="str">
        <f t="shared" si="86"/>
        <v>Error?</v>
      </c>
    </row>
    <row r="5588" spans="1:4" x14ac:dyDescent="0.2">
      <c r="A5588" s="5">
        <v>5527</v>
      </c>
      <c r="B5588" s="1832">
        <f>'Revenues 9-14'!F109</f>
        <v>289579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5680</v>
      </c>
      <c r="D5615" s="2" t="str">
        <f t="shared" si="86"/>
        <v>Error?</v>
      </c>
    </row>
    <row r="5616" spans="1:4" x14ac:dyDescent="0.2">
      <c r="A5616" s="10">
        <v>5555</v>
      </c>
      <c r="B5616" s="1832"/>
      <c r="D5616" s="2" t="str">
        <f t="shared" si="86"/>
        <v>OK</v>
      </c>
    </row>
    <row r="5617" spans="1:5" x14ac:dyDescent="0.2">
      <c r="A5617" s="5">
        <v>5556</v>
      </c>
      <c r="B5617" s="1832">
        <f>'Revenues 9-14'!F153</f>
        <v>201111</v>
      </c>
      <c r="D5617" s="2" t="str">
        <f t="shared" si="86"/>
        <v>Error?</v>
      </c>
    </row>
    <row r="5618" spans="1:5" x14ac:dyDescent="0.2">
      <c r="A5618" s="5">
        <v>5557</v>
      </c>
      <c r="B5618" s="1832">
        <f>'Revenues 9-14'!F155</f>
        <v>206791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206791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206791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496370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584548</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584548</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584548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91141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91141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91151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584548</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91151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26593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19362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534.79999999999995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587502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587502</v>
      </c>
      <c r="D6215" s="2" t="str">
        <f t="shared" si="96"/>
        <v>Error?</v>
      </c>
      <c r="E6215" s="2" t="s">
        <v>189</v>
      </c>
    </row>
    <row r="6216" spans="1:5" x14ac:dyDescent="0.2">
      <c r="A6216">
        <v>6155</v>
      </c>
      <c r="B6216" s="1832">
        <f>'Assets-Liab 5-6'!J41</f>
        <v>587502</v>
      </c>
      <c r="D6216" s="2" t="str">
        <f t="shared" si="96"/>
        <v>Error?</v>
      </c>
      <c r="E6216" s="2" t="s">
        <v>189</v>
      </c>
    </row>
    <row r="6217" spans="1:5" x14ac:dyDescent="0.2">
      <c r="A6217">
        <v>6156</v>
      </c>
      <c r="B6217" s="1832">
        <f>'Assets-Liab 5-6'!J4</f>
        <v>587502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82374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82374</v>
      </c>
      <c r="D6229" s="2" t="str">
        <f t="shared" si="96"/>
        <v>Error?</v>
      </c>
      <c r="E6229" s="2" t="s">
        <v>189</v>
      </c>
    </row>
    <row r="6230" spans="1:5" x14ac:dyDescent="0.2">
      <c r="A6230">
        <v>6169</v>
      </c>
      <c r="B6230" s="1832">
        <f>'Acct Summary 7-8'!J20</f>
        <v>-82374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-82374</v>
      </c>
      <c r="D6263" s="2" t="str">
        <f t="shared" si="96"/>
        <v>Error?</v>
      </c>
      <c r="E6263" s="2" t="s">
        <v>189</v>
      </c>
    </row>
    <row r="6264" spans="1:5" x14ac:dyDescent="0.2">
      <c r="A6264">
        <v>6203</v>
      </c>
      <c r="B6264" s="1832">
        <f>'Acct Summary 7-8'!J79</f>
        <v>669876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587502</v>
      </c>
      <c r="D6266" s="2" t="str">
        <f t="shared" si="96"/>
        <v>Error?</v>
      </c>
      <c r="E6266" s="2" t="s">
        <v>189</v>
      </c>
    </row>
    <row r="6267" spans="1:5" x14ac:dyDescent="0.2">
      <c r="A6267">
        <v>6206</v>
      </c>
      <c r="B6267" s="1832">
        <f>'Acct Summary 7-8'!C82</f>
        <v>2326822</v>
      </c>
      <c r="D6267" s="2" t="str">
        <f t="shared" si="96"/>
        <v>Error?</v>
      </c>
      <c r="E6267" s="2" t="s">
        <v>189</v>
      </c>
    </row>
    <row r="6268" spans="1:5" x14ac:dyDescent="0.2">
      <c r="A6268">
        <v>6207</v>
      </c>
      <c r="B6268" s="1832">
        <f>'Acct Summary 7-8'!D82</f>
        <v>-47559</v>
      </c>
      <c r="D6268" s="2" t="str">
        <f t="shared" si="96"/>
        <v>Error?</v>
      </c>
      <c r="E6268" s="2" t="s">
        <v>189</v>
      </c>
    </row>
    <row r="6269" spans="1:5" x14ac:dyDescent="0.2">
      <c r="A6269">
        <v>6208</v>
      </c>
      <c r="B6269" s="1832">
        <f>'Acct Summary 7-8'!E82</f>
        <v>30623</v>
      </c>
      <c r="D6269" s="2" t="str">
        <f t="shared" si="96"/>
        <v>Error?</v>
      </c>
      <c r="E6269" s="2" t="s">
        <v>189</v>
      </c>
    </row>
    <row r="6270" spans="1:5" x14ac:dyDescent="0.2">
      <c r="A6270">
        <v>6209</v>
      </c>
      <c r="B6270" s="1832">
        <f>'Acct Summary 7-8'!F82</f>
        <v>-117659</v>
      </c>
      <c r="D6270" s="2" t="str">
        <f t="shared" si="96"/>
        <v>Error?</v>
      </c>
      <c r="E6270" s="2" t="s">
        <v>189</v>
      </c>
    </row>
    <row r="6271" spans="1:5" x14ac:dyDescent="0.2">
      <c r="A6271">
        <v>6210</v>
      </c>
      <c r="B6271" s="1832">
        <f>'Acct Summary 7-8'!G82</f>
        <v>163786</v>
      </c>
      <c r="D6271" s="2" t="str">
        <f t="shared" ref="D6271:D6334" si="97">IF(ISBLANK(B6271),"OK",IF(A6271-B6271=0,"OK","Error?"))</f>
        <v>Error?</v>
      </c>
      <c r="E6271" s="2" t="s">
        <v>189</v>
      </c>
    </row>
    <row r="6272" spans="1:5" x14ac:dyDescent="0.2">
      <c r="A6272">
        <v>6211</v>
      </c>
      <c r="B6272" s="1832">
        <f>'Acct Summary 7-8'!H82</f>
        <v>-6139</v>
      </c>
      <c r="D6272" s="2" t="str">
        <f t="shared" si="97"/>
        <v>Error?</v>
      </c>
      <c r="E6272" s="2" t="s">
        <v>189</v>
      </c>
    </row>
    <row r="6273" spans="1:5" x14ac:dyDescent="0.2">
      <c r="A6273">
        <v>6212</v>
      </c>
      <c r="B6273" s="1832">
        <f>'Acct Summary 7-8'!I82</f>
        <v>-353849</v>
      </c>
      <c r="D6273" s="2" t="str">
        <f t="shared" si="97"/>
        <v>Error?</v>
      </c>
      <c r="E6273" s="2" t="s">
        <v>189</v>
      </c>
    </row>
    <row r="6274" spans="1:5" x14ac:dyDescent="0.2">
      <c r="A6274">
        <v>6213</v>
      </c>
      <c r="B6274" s="1832">
        <f>'Acct Summary 7-8'!J82</f>
        <v>-82374</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0.13495323631539388</v>
      </c>
      <c r="D6276" s="2" t="str">
        <f t="shared" si="97"/>
        <v>Error?</v>
      </c>
      <c r="E6276" s="2" t="s">
        <v>189</v>
      </c>
    </row>
    <row r="6277" spans="1:5" x14ac:dyDescent="0.2">
      <c r="A6277">
        <v>6216</v>
      </c>
      <c r="B6277" s="1832">
        <f>'Acct Summary 7-8'!D83</f>
        <v>-0.39410814170292108</v>
      </c>
      <c r="D6277" s="2" t="str">
        <f t="shared" si="97"/>
        <v>Error?</v>
      </c>
      <c r="E6277" s="2" t="s">
        <v>189</v>
      </c>
    </row>
    <row r="6278" spans="1:5" x14ac:dyDescent="0.2">
      <c r="A6278">
        <v>6217</v>
      </c>
      <c r="B6278" s="1832">
        <f>'Acct Summary 7-8'!E83</f>
        <v>0.99954303619806117</v>
      </c>
      <c r="D6278" s="2" t="str">
        <f t="shared" si="97"/>
        <v>Error?</v>
      </c>
      <c r="E6278" s="2" t="s">
        <v>189</v>
      </c>
    </row>
    <row r="6279" spans="1:5" x14ac:dyDescent="0.2">
      <c r="A6279">
        <v>6218</v>
      </c>
      <c r="B6279" s="1832">
        <f>'Acct Summary 7-8'!F83</f>
        <v>-2.7003970530857679</v>
      </c>
      <c r="D6279" s="2" t="str">
        <f t="shared" si="97"/>
        <v>Error?</v>
      </c>
      <c r="E6279" s="2" t="s">
        <v>189</v>
      </c>
    </row>
    <row r="6280" spans="1:5" x14ac:dyDescent="0.2">
      <c r="A6280">
        <v>6219</v>
      </c>
      <c r="B6280" s="1832">
        <f>'Acct Summary 7-8'!G83</f>
        <v>0.57356674849504652</v>
      </c>
      <c r="D6280" s="2" t="str">
        <f t="shared" si="97"/>
        <v>Error?</v>
      </c>
      <c r="E6280" s="2" t="s">
        <v>189</v>
      </c>
    </row>
    <row r="6281" spans="1:5" x14ac:dyDescent="0.2">
      <c r="A6281">
        <v>6220</v>
      </c>
      <c r="B6281" s="1832">
        <f>'Acct Summary 7-8'!H83</f>
        <v>-7.2051453587315004E-2</v>
      </c>
      <c r="D6281" s="2" t="str">
        <f t="shared" si="97"/>
        <v>Error?</v>
      </c>
      <c r="E6281" s="2" t="s">
        <v>189</v>
      </c>
    </row>
    <row r="6282" spans="1:5" x14ac:dyDescent="0.2">
      <c r="A6282">
        <v>6221</v>
      </c>
      <c r="B6282" s="1832">
        <f>'Acct Summary 7-8'!I83</f>
        <v>-2.5426945380596853</v>
      </c>
      <c r="D6282" s="2" t="str">
        <f t="shared" si="97"/>
        <v>Error?</v>
      </c>
      <c r="E6282" s="2" t="s">
        <v>189</v>
      </c>
    </row>
    <row r="6283" spans="1:5" x14ac:dyDescent="0.2">
      <c r="A6283">
        <v>6222</v>
      </c>
      <c r="B6283" s="1832">
        <f>'Acct Summary 7-8'!J83</f>
        <v>-0.14021058651715229</v>
      </c>
      <c r="D6283" s="2" t="str">
        <f t="shared" si="97"/>
        <v>Error?</v>
      </c>
      <c r="E6283" s="2" t="s">
        <v>189</v>
      </c>
    </row>
    <row r="6284" spans="1:5" x14ac:dyDescent="0.2">
      <c r="A6284">
        <v>6223</v>
      </c>
      <c r="B6284" s="1832">
        <f>'Acct Summary 7-8'!K83</f>
        <v>0</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104054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148112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217065</v>
      </c>
      <c r="D6880" s="2" t="str">
        <f t="shared" si="106"/>
        <v>Error?</v>
      </c>
    </row>
    <row r="6881" spans="1:4" x14ac:dyDescent="0.2">
      <c r="A6881">
        <v>6820</v>
      </c>
      <c r="B6881" s="1832">
        <f>'Expenditures 15-22'!K22</f>
        <v>217065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331319</v>
      </c>
      <c r="D6983" s="2" t="str">
        <f t="shared" si="108"/>
        <v>Error?</v>
      </c>
    </row>
    <row r="6984" spans="1:4" x14ac:dyDescent="0.2">
      <c r="A6984">
        <v>6923</v>
      </c>
      <c r="B6984" s="1832">
        <f>'Expenditures 15-22'!K86</f>
        <v>331319</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331319</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82374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7417</v>
      </c>
      <c r="D7073" s="2" t="str">
        <f t="shared" si="109"/>
        <v>Error?</v>
      </c>
    </row>
    <row r="7074" spans="1:4" x14ac:dyDescent="0.2">
      <c r="A7074">
        <v>7013</v>
      </c>
      <c r="B7074" s="1832">
        <f>'Expenditures 15-22'!K216</f>
        <v>7417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53490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53490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28884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28884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82374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82374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82374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82374</v>
      </c>
      <c r="D7224" s="2" t="str">
        <f t="shared" si="111"/>
        <v>Error?</v>
      </c>
    </row>
    <row r="7225" spans="1:4" x14ac:dyDescent="0.2">
      <c r="A7225">
        <v>7164</v>
      </c>
      <c r="B7225" s="1832">
        <f>'Expenditures 15-22'!K343</f>
        <v>-82374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33862</v>
      </c>
      <c r="D7246" s="2" t="str">
        <f t="shared" si="112"/>
        <v>Error?</v>
      </c>
    </row>
    <row r="7247" spans="1:4" x14ac:dyDescent="0.2">
      <c r="A7247">
        <f t="shared" si="113"/>
        <v>7186</v>
      </c>
      <c r="B7247" s="1832">
        <f>'Expenditures 15-22'!E7</f>
        <v>1617</v>
      </c>
      <c r="D7247" s="2" t="str">
        <f t="shared" si="112"/>
        <v>Error?</v>
      </c>
    </row>
    <row r="7248" spans="1:4" x14ac:dyDescent="0.2">
      <c r="A7248">
        <f t="shared" si="113"/>
        <v>7187</v>
      </c>
      <c r="B7248" s="1832">
        <f>'Expenditures 15-22'!F7</f>
        <v>6370</v>
      </c>
      <c r="D7248" s="2" t="str">
        <f t="shared" si="112"/>
        <v>Error?</v>
      </c>
    </row>
    <row r="7249" spans="1:4" x14ac:dyDescent="0.2">
      <c r="A7249">
        <f t="shared" si="113"/>
        <v>7188</v>
      </c>
      <c r="B7249" s="1832">
        <f>'Expenditures 15-22'!G7</f>
        <v>2209</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597616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710308</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400000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45000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6135000</v>
      </c>
      <c r="D7817" s="2" t="str">
        <f t="shared" si="128"/>
        <v>Error?</v>
      </c>
      <c r="E7817" s="4" t="s">
        <v>1963</v>
      </c>
    </row>
    <row r="7818" spans="1:5" x14ac:dyDescent="0.2">
      <c r="A7818">
        <v>7757</v>
      </c>
      <c r="B7818" s="1832">
        <f>'PCTC-OEPP 27-28'!F172</f>
        <v>202866</v>
      </c>
      <c r="D7818" s="2" t="str">
        <f t="shared" si="128"/>
        <v>Error?</v>
      </c>
      <c r="E7818" s="4" t="s">
        <v>1977</v>
      </c>
    </row>
    <row r="7819" spans="1:5" x14ac:dyDescent="0.2">
      <c r="A7819">
        <v>7758</v>
      </c>
      <c r="B7819" s="1832">
        <f>'PCTC-OEPP 27-28'!F173</f>
        <v>88714</v>
      </c>
      <c r="D7819" s="2" t="str">
        <f t="shared" si="128"/>
        <v>Error?</v>
      </c>
      <c r="E7819" s="4" t="s">
        <v>1977</v>
      </c>
    </row>
    <row r="7820" spans="1:5" x14ac:dyDescent="0.2">
      <c r="A7820">
        <v>7759</v>
      </c>
      <c r="B7820" s="1832">
        <f>'ICR Computation 30'!E40</f>
        <v>-11000</v>
      </c>
      <c r="D7820" s="2" t="str">
        <f t="shared" si="128"/>
        <v>Error?</v>
      </c>
    </row>
    <row r="7821" spans="1:5" x14ac:dyDescent="0.2">
      <c r="A7821">
        <v>7760</v>
      </c>
      <c r="B7821" s="1832">
        <f>'ICR Computation 30'!G40</f>
        <v>-11000</v>
      </c>
      <c r="D7821" s="2" t="str">
        <f t="shared" si="128"/>
        <v>Error?</v>
      </c>
    </row>
    <row r="7822" spans="1:5" x14ac:dyDescent="0.2">
      <c r="A7822" s="1">
        <v>7761</v>
      </c>
      <c r="B7822" s="1832">
        <f>'PCTC-OEPP 27-28'!F14</f>
        <v>11690902</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145903</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14464</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2069134</v>
      </c>
      <c r="D7834" s="2" t="str">
        <f t="shared" si="129"/>
        <v>Error?</v>
      </c>
      <c r="E7834" s="4" t="s">
        <v>1995</v>
      </c>
    </row>
    <row r="7835" spans="1:5" x14ac:dyDescent="0.2">
      <c r="A7835">
        <v>7774</v>
      </c>
      <c r="B7835" s="1832">
        <f>'PCTC-OEPP 27-28'!F78</f>
        <v>9621768</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17991.338818249813</v>
      </c>
      <c r="D7837" s="2" t="str">
        <f t="shared" si="129"/>
        <v>Error?</v>
      </c>
      <c r="E7837" s="4" t="s">
        <v>1995</v>
      </c>
    </row>
    <row r="7838" spans="1:5" x14ac:dyDescent="0.2">
      <c r="A7838">
        <v>7777</v>
      </c>
      <c r="B7838" s="1832">
        <f>'PCTC-OEPP 27-28'!F96</f>
        <v>2997</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31608</v>
      </c>
      <c r="D7841" s="2" t="str">
        <f t="shared" si="129"/>
        <v>Error?</v>
      </c>
      <c r="E7841" s="4" t="s">
        <v>1995</v>
      </c>
    </row>
    <row r="7842" spans="1:5" x14ac:dyDescent="0.2">
      <c r="A7842">
        <v>7781</v>
      </c>
      <c r="B7842" s="1832">
        <f>'PCTC-OEPP 27-28'!F106</f>
        <v>89562</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206791</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22429</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328076</v>
      </c>
      <c r="D7858" s="2" t="str">
        <f t="shared" si="129"/>
        <v>Error?</v>
      </c>
      <c r="E7858" s="4" t="s">
        <v>1995</v>
      </c>
    </row>
    <row r="7859" spans="1:5" x14ac:dyDescent="0.2">
      <c r="A7859">
        <v>7798</v>
      </c>
      <c r="B7859" s="1832">
        <f>'PCTC-OEPP 27-28'!F127</f>
        <v>228642</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91195</v>
      </c>
      <c r="D7861" s="2" t="str">
        <f t="shared" si="129"/>
        <v>Error?</v>
      </c>
      <c r="E7861" s="4" t="s">
        <v>1995</v>
      </c>
    </row>
    <row r="7862" spans="1:5" x14ac:dyDescent="0.2">
      <c r="A7862">
        <v>7801</v>
      </c>
      <c r="B7862" s="1832">
        <f>'PCTC-OEPP 27-28'!F130</f>
        <v>10889</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19284</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34994</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14688</v>
      </c>
      <c r="D7874" s="2" t="str">
        <f t="shared" si="129"/>
        <v>Error?</v>
      </c>
      <c r="E7874" s="4" t="s">
        <v>1995</v>
      </c>
    </row>
    <row r="7875" spans="1:5" x14ac:dyDescent="0.2">
      <c r="A7875">
        <v>7814</v>
      </c>
      <c r="B7875" s="1832">
        <f>'PCTC-OEPP 27-28'!F170</f>
        <v>46191</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1566387</v>
      </c>
      <c r="D7877" s="2" t="str">
        <f t="shared" si="129"/>
        <v>Error?</v>
      </c>
      <c r="E7877" s="4" t="s">
        <v>1995</v>
      </c>
    </row>
    <row r="7878" spans="1:5" x14ac:dyDescent="0.2">
      <c r="A7878">
        <v>7817</v>
      </c>
      <c r="B7878" s="1832">
        <f>'PCTC-OEPP 27-28'!F176</f>
        <v>8055381</v>
      </c>
      <c r="D7878" s="2" t="str">
        <f t="shared" si="129"/>
        <v>Error?</v>
      </c>
      <c r="E7878" s="4" t="s">
        <v>1995</v>
      </c>
    </row>
    <row r="7879" spans="1:5" x14ac:dyDescent="0.2">
      <c r="A7879">
        <v>7818</v>
      </c>
      <c r="B7879" s="1832">
        <f>'PCTC-OEPP 27-28'!F178</f>
        <v>8652997</v>
      </c>
      <c r="D7879" s="2" t="str">
        <f t="shared" si="129"/>
        <v>Error?</v>
      </c>
      <c r="E7879" s="4" t="s">
        <v>1995</v>
      </c>
    </row>
    <row r="7880" spans="1:5" x14ac:dyDescent="0.2">
      <c r="A7880">
        <v>7819</v>
      </c>
      <c r="B7880" s="1832">
        <f>'PCTC-OEPP 27-28'!F180</f>
        <v>16179.874719521318</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Rhodes SD 84-5</v>
      </c>
      <c r="B7" s="2536"/>
      <c r="C7" s="2536"/>
      <c r="D7" s="2537"/>
      <c r="E7" s="2538">
        <f>COVER!A13</f>
        <v>6016084502</v>
      </c>
      <c r="F7" s="2539"/>
      <c r="G7" s="2545" t="str">
        <f>COVER!T23</f>
        <v>066--003289</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EVOY, KAMSCHULTE, JACOBS &amp; CO. LLP</v>
      </c>
      <c r="H9" s="2551"/>
      <c r="I9" s="2551"/>
      <c r="J9" s="2551"/>
      <c r="K9" s="2551"/>
      <c r="L9" s="2552"/>
    </row>
    <row r="10" spans="1:29" ht="13.5" customHeight="1" x14ac:dyDescent="0.2">
      <c r="A10" s="2524" t="str">
        <f>COVER!A38</f>
        <v>MR. JIM PRATHER</v>
      </c>
      <c r="B10" s="2525"/>
      <c r="C10" s="2525"/>
      <c r="D10" s="2525"/>
      <c r="E10" s="2525"/>
      <c r="F10" s="2526"/>
      <c r="G10" s="2518" t="str">
        <f>COVER!T17</f>
        <v>2122 YEOMAN STREET</v>
      </c>
      <c r="H10" s="2519"/>
      <c r="I10" s="2519"/>
      <c r="J10" s="2519"/>
      <c r="K10" s="2519"/>
      <c r="L10" s="2520"/>
    </row>
    <row r="11" spans="1:29" ht="13.5" customHeight="1" x14ac:dyDescent="0.2">
      <c r="A11" s="963" t="s">
        <v>1502</v>
      </c>
      <c r="B11" s="964"/>
      <c r="C11" s="965"/>
      <c r="D11" s="970"/>
      <c r="E11" s="965"/>
      <c r="F11" s="969"/>
      <c r="G11" s="2518" t="str">
        <f>COVER!T19</f>
        <v>WAUKEGAN</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JHENRY@EKJLLP.COM</v>
      </c>
      <c r="J13" s="2531"/>
      <c r="K13" s="2531"/>
      <c r="L13" s="2532"/>
    </row>
    <row r="14" spans="1:29" ht="13.5" customHeight="1" x14ac:dyDescent="0.2">
      <c r="A14" s="2518" t="str">
        <f>COVER!A19</f>
        <v>8931 FULLERTON AVENUE</v>
      </c>
      <c r="B14" s="2519"/>
      <c r="C14" s="2519"/>
      <c r="D14" s="2519"/>
      <c r="E14" s="2519"/>
      <c r="F14" s="2520"/>
      <c r="G14" s="974" t="s">
        <v>1175</v>
      </c>
      <c r="H14" s="972"/>
      <c r="I14" s="972"/>
      <c r="J14" s="972"/>
      <c r="K14" s="972"/>
      <c r="L14" s="973"/>
    </row>
    <row r="15" spans="1:29" ht="13.5" customHeight="1" x14ac:dyDescent="0.2">
      <c r="A15" s="2518" t="str">
        <f>COVER!A21</f>
        <v>RIVER GROVE</v>
      </c>
      <c r="B15" s="2519"/>
      <c r="C15" s="2519"/>
      <c r="D15" s="2519"/>
      <c r="E15" s="2519"/>
      <c r="F15" s="2520"/>
      <c r="G15" s="2515" t="str">
        <f>COVER!T15</f>
        <v>JAMES HENRY, CPA</v>
      </c>
      <c r="H15" s="2516"/>
      <c r="I15" s="2516"/>
      <c r="J15" s="2516"/>
      <c r="K15" s="2516"/>
      <c r="L15" s="2517"/>
    </row>
    <row r="16" spans="1:29" ht="12.2" customHeight="1" x14ac:dyDescent="0.2">
      <c r="A16" s="2541">
        <f>COVER!A25</f>
        <v>60717</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847-662-8300</v>
      </c>
      <c r="H18" s="2536"/>
      <c r="I18" s="2536"/>
      <c r="J18" s="2536"/>
      <c r="K18" s="2535" t="str">
        <f>COVER!X21</f>
        <v>847-662-8305</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6" zoomScale="125" zoomScaleNormal="125" workbookViewId="0">
      <selection activeCell="B116" sqref="B116"/>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Rhodes SD 84-5</v>
      </c>
      <c r="B1" s="2558"/>
      <c r="C1" s="2558"/>
      <c r="D1" s="2558"/>
    </row>
    <row r="2" spans="1:11" s="991" customFormat="1" ht="12.75" x14ac:dyDescent="0.2">
      <c r="A2" s="2559">
        <f>'Single Audit Cover'!E7</f>
        <v>6016084502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Rhodes SD 84-5</v>
      </c>
      <c r="B1" s="2562"/>
      <c r="C1" s="2562"/>
      <c r="D1" s="2562"/>
      <c r="E1" s="2562"/>
    </row>
    <row r="2" spans="1:5" x14ac:dyDescent="0.2">
      <c r="A2" s="2563">
        <f>'Single Audit Cover'!E7</f>
        <v>6016084502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780950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19362</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-46191</v>
      </c>
    </row>
    <row r="19" spans="1:4" ht="13.5" thickBot="1" x14ac:dyDescent="0.25">
      <c r="A19" s="1041" t="s">
        <v>1224</v>
      </c>
      <c r="D19" s="1042">
        <f>SUM(D10:D17)</f>
        <v>754121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754121</v>
      </c>
    </row>
    <row r="33" spans="1:4" x14ac:dyDescent="0.2">
      <c r="D33" s="1045"/>
    </row>
    <row r="34" spans="1:4" x14ac:dyDescent="0.2">
      <c r="A34" s="295" t="s">
        <v>1221</v>
      </c>
    </row>
    <row r="35" spans="1:4" x14ac:dyDescent="0.2">
      <c r="A35" s="295" t="s">
        <v>1220</v>
      </c>
      <c r="B35" s="1034" t="s">
        <v>1219</v>
      </c>
      <c r="D35" s="1046">
        <v>754121</v>
      </c>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754121</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23" sqref="I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Rhodes SD 84-5</v>
      </c>
      <c r="C1" s="2566"/>
      <c r="D1" s="2566"/>
      <c r="E1" s="2566"/>
      <c r="F1" s="2566"/>
      <c r="G1" s="2566"/>
      <c r="H1" s="2566"/>
      <c r="I1" s="2566"/>
      <c r="J1" s="2566"/>
      <c r="K1" s="2566"/>
      <c r="L1" s="2566"/>
      <c r="M1" s="2566"/>
    </row>
    <row r="2" spans="2:14" ht="15" x14ac:dyDescent="0.2">
      <c r="B2" s="2567">
        <f>'Single Audit Cover'!E7</f>
        <v>6016084502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2093</v>
      </c>
      <c r="C11" s="1821"/>
      <c r="D11" s="1822"/>
      <c r="E11" s="1823"/>
      <c r="F11" s="1823"/>
      <c r="G11" s="1823"/>
      <c r="H11" s="1823"/>
      <c r="I11" s="1823"/>
      <c r="J11" s="1823"/>
      <c r="K11" s="1823"/>
      <c r="L11" s="1823">
        <f>+G11+I11+K11</f>
        <v>0</v>
      </c>
      <c r="M11" s="1823"/>
    </row>
    <row r="12" spans="2:14" ht="20.100000000000001" customHeight="1" x14ac:dyDescent="0.2">
      <c r="B12" s="1113" t="s">
        <v>2096</v>
      </c>
      <c r="C12" s="1824"/>
      <c r="D12" s="1825"/>
      <c r="E12" s="1826"/>
      <c r="F12" s="1826"/>
      <c r="G12" s="1826"/>
      <c r="H12" s="1826"/>
      <c r="I12" s="1826"/>
      <c r="J12" s="1826"/>
      <c r="K12" s="1826"/>
      <c r="L12" s="1823">
        <f t="shared" ref="L12:L27" si="0">+G12+I12+K12</f>
        <v>0</v>
      </c>
      <c r="M12" s="1826"/>
    </row>
    <row r="13" spans="2:14" ht="20.100000000000001" customHeight="1" x14ac:dyDescent="0.2">
      <c r="B13" s="1113" t="s">
        <v>2073</v>
      </c>
      <c r="C13" s="1824"/>
      <c r="D13" s="1825"/>
      <c r="E13" s="1826"/>
      <c r="F13" s="1826"/>
      <c r="G13" s="1826"/>
      <c r="H13" s="1826"/>
      <c r="I13" s="1826"/>
      <c r="J13" s="1826"/>
      <c r="K13" s="1826"/>
      <c r="L13" s="1823">
        <f t="shared" si="0"/>
        <v>0</v>
      </c>
      <c r="M13" s="1826"/>
    </row>
    <row r="14" spans="2:14" ht="20.100000000000001" customHeight="1" x14ac:dyDescent="0.2">
      <c r="B14" s="1113" t="s">
        <v>2097</v>
      </c>
      <c r="C14" s="1824">
        <v>10.555</v>
      </c>
      <c r="D14" s="1825" t="s">
        <v>2098</v>
      </c>
      <c r="E14" s="1826"/>
      <c r="F14" s="1826">
        <v>136241</v>
      </c>
      <c r="G14" s="1826"/>
      <c r="H14" s="1826"/>
      <c r="I14" s="1826">
        <v>136241</v>
      </c>
      <c r="J14" s="1826"/>
      <c r="K14" s="1826"/>
      <c r="L14" s="1823">
        <f t="shared" si="0"/>
        <v>136241</v>
      </c>
      <c r="M14" s="1826"/>
    </row>
    <row r="15" spans="2:14" ht="20.100000000000001" customHeight="1" x14ac:dyDescent="0.2">
      <c r="B15" s="1113" t="s">
        <v>2097</v>
      </c>
      <c r="C15" s="1824">
        <v>10.555</v>
      </c>
      <c r="D15" s="1825" t="s">
        <v>2099</v>
      </c>
      <c r="E15" s="1826">
        <v>154030</v>
      </c>
      <c r="F15" s="1826">
        <v>40859</v>
      </c>
      <c r="G15" s="1826">
        <v>154030</v>
      </c>
      <c r="H15" s="1826"/>
      <c r="I15" s="1826">
        <v>40859</v>
      </c>
      <c r="J15" s="1826"/>
      <c r="K15" s="1826"/>
      <c r="L15" s="1823">
        <f t="shared" si="0"/>
        <v>194889</v>
      </c>
      <c r="M15" s="1826"/>
    </row>
    <row r="16" spans="2:14" ht="20.100000000000001" customHeight="1" x14ac:dyDescent="0.2">
      <c r="B16" s="1113" t="s">
        <v>2100</v>
      </c>
      <c r="C16" s="1824">
        <v>10.553000000000001</v>
      </c>
      <c r="D16" s="1825" t="s">
        <v>2098</v>
      </c>
      <c r="E16" s="1826"/>
      <c r="F16" s="1826">
        <v>43826</v>
      </c>
      <c r="G16" s="1826"/>
      <c r="H16" s="1826"/>
      <c r="I16" s="1826">
        <v>43826</v>
      </c>
      <c r="J16" s="1826"/>
      <c r="K16" s="1826"/>
      <c r="L16" s="1823">
        <f t="shared" si="0"/>
        <v>43826</v>
      </c>
      <c r="M16" s="1826"/>
    </row>
    <row r="17" spans="2:14" ht="20.100000000000001" customHeight="1" x14ac:dyDescent="0.2">
      <c r="B17" s="1113" t="s">
        <v>2100</v>
      </c>
      <c r="C17" s="1824">
        <v>10.553000000000001</v>
      </c>
      <c r="D17" s="1825" t="s">
        <v>2099</v>
      </c>
      <c r="E17" s="1826">
        <v>45965</v>
      </c>
      <c r="F17" s="1826">
        <v>12729</v>
      </c>
      <c r="G17" s="1826">
        <v>45965</v>
      </c>
      <c r="H17" s="1826"/>
      <c r="I17" s="1826">
        <v>12729</v>
      </c>
      <c r="J17" s="1826"/>
      <c r="K17" s="1826"/>
      <c r="L17" s="1823">
        <f t="shared" si="0"/>
        <v>58694</v>
      </c>
      <c r="M17" s="1826"/>
    </row>
    <row r="18" spans="2:14" ht="20.100000000000001" customHeight="1" x14ac:dyDescent="0.2">
      <c r="B18" s="1113" t="s">
        <v>2101</v>
      </c>
      <c r="C18" s="1824">
        <v>10.558999999999999</v>
      </c>
      <c r="D18" s="1825" t="s">
        <v>2102</v>
      </c>
      <c r="E18" s="1826"/>
      <c r="F18" s="1826">
        <v>94421</v>
      </c>
      <c r="G18" s="1826"/>
      <c r="H18" s="1826"/>
      <c r="I18" s="1826">
        <v>127214</v>
      </c>
      <c r="J18" s="1826"/>
      <c r="K18" s="1826"/>
      <c r="L18" s="1823">
        <f t="shared" si="0"/>
        <v>127214</v>
      </c>
      <c r="M18" s="1826"/>
    </row>
    <row r="19" spans="2:14" ht="20.100000000000001" customHeight="1" x14ac:dyDescent="0.2">
      <c r="B19" s="1113" t="s">
        <v>2103</v>
      </c>
      <c r="C19" s="1824">
        <v>10.555</v>
      </c>
      <c r="D19" s="1825" t="s">
        <v>2098</v>
      </c>
      <c r="E19" s="1826"/>
      <c r="F19" s="1826">
        <v>19362</v>
      </c>
      <c r="G19" s="1826"/>
      <c r="H19" s="1826"/>
      <c r="I19" s="1826">
        <v>19362</v>
      </c>
      <c r="J19" s="1826"/>
      <c r="K19" s="1826"/>
      <c r="L19" s="1823">
        <f t="shared" si="0"/>
        <v>19362</v>
      </c>
      <c r="M19" s="1826"/>
    </row>
    <row r="20" spans="2:14" ht="20.100000000000001" customHeight="1" x14ac:dyDescent="0.2">
      <c r="B20" s="1113" t="s">
        <v>2104</v>
      </c>
      <c r="C20" s="1824"/>
      <c r="D20" s="1825"/>
      <c r="E20" s="1826">
        <v>199995</v>
      </c>
      <c r="F20" s="1826">
        <v>347438</v>
      </c>
      <c r="G20" s="1826">
        <v>199995</v>
      </c>
      <c r="H20" s="1826"/>
      <c r="I20" s="1826">
        <v>380231</v>
      </c>
      <c r="J20" s="1826"/>
      <c r="K20" s="1826"/>
      <c r="L20" s="1823">
        <f t="shared" si="0"/>
        <v>580226</v>
      </c>
      <c r="M20" s="1826"/>
    </row>
    <row r="21" spans="2:14" ht="20.100000000000001" customHeight="1" x14ac:dyDescent="0.2">
      <c r="B21" s="1113" t="s">
        <v>2105</v>
      </c>
      <c r="C21" s="1824"/>
      <c r="D21" s="1825"/>
      <c r="E21" s="1826">
        <v>199995</v>
      </c>
      <c r="F21" s="1826">
        <v>347438</v>
      </c>
      <c r="G21" s="1826">
        <v>199995</v>
      </c>
      <c r="H21" s="1826"/>
      <c r="I21" s="1826">
        <v>380231</v>
      </c>
      <c r="J21" s="1826"/>
      <c r="K21" s="1826"/>
      <c r="L21" s="1823">
        <f t="shared" si="0"/>
        <v>580226</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2072</v>
      </c>
      <c r="C23" s="1821"/>
      <c r="D23" s="1822"/>
      <c r="E23" s="1823"/>
      <c r="F23" s="1823"/>
      <c r="G23" s="1823"/>
      <c r="H23" s="1823"/>
      <c r="I23" s="1823"/>
      <c r="J23" s="1826"/>
      <c r="K23" s="1826"/>
      <c r="L23" s="1823">
        <f t="shared" si="0"/>
        <v>0</v>
      </c>
      <c r="M23" s="1826"/>
    </row>
    <row r="24" spans="2:14" ht="20.100000000000001" customHeight="1" x14ac:dyDescent="0.2">
      <c r="B24" s="1113" t="s">
        <v>2073</v>
      </c>
      <c r="C24" s="1824"/>
      <c r="D24" s="1825"/>
      <c r="E24" s="1826"/>
      <c r="F24" s="1826"/>
      <c r="G24" s="1826"/>
      <c r="H24" s="1826"/>
      <c r="I24" s="1826"/>
      <c r="J24" s="1826"/>
      <c r="K24" s="1826"/>
      <c r="L24" s="1823">
        <f t="shared" si="0"/>
        <v>0</v>
      </c>
      <c r="M24" s="1826"/>
    </row>
    <row r="25" spans="2:14" ht="20.100000000000001" customHeight="1" x14ac:dyDescent="0.2">
      <c r="B25" s="1113" t="s">
        <v>2084</v>
      </c>
      <c r="C25" s="1824">
        <v>84.01</v>
      </c>
      <c r="D25" s="1825" t="s">
        <v>2074</v>
      </c>
      <c r="E25" s="1826"/>
      <c r="F25" s="1826">
        <v>211841</v>
      </c>
      <c r="G25" s="1826"/>
      <c r="H25" s="1826"/>
      <c r="I25" s="1826">
        <v>221884</v>
      </c>
      <c r="J25" s="1826"/>
      <c r="K25" s="1826"/>
      <c r="L25" s="1823">
        <f t="shared" si="0"/>
        <v>221884</v>
      </c>
      <c r="M25" s="1826"/>
    </row>
    <row r="26" spans="2:14" ht="20.100000000000001" customHeight="1" x14ac:dyDescent="0.2">
      <c r="B26" s="1113" t="s">
        <v>2084</v>
      </c>
      <c r="C26" s="1824">
        <v>84.01</v>
      </c>
      <c r="D26" s="1825" t="s">
        <v>2075</v>
      </c>
      <c r="E26" s="1826">
        <v>236977</v>
      </c>
      <c r="F26" s="1826">
        <v>1801</v>
      </c>
      <c r="G26" s="1826">
        <v>238778</v>
      </c>
      <c r="H26" s="1826"/>
      <c r="I26" s="1826">
        <v>0</v>
      </c>
      <c r="J26" s="1826"/>
      <c r="K26" s="1826"/>
      <c r="L26" s="1823">
        <f t="shared" si="0"/>
        <v>238778</v>
      </c>
      <c r="M26" s="1826"/>
    </row>
    <row r="27" spans="2:14" ht="20.100000000000001" customHeight="1" x14ac:dyDescent="0.2">
      <c r="B27" s="1113" t="s">
        <v>2083</v>
      </c>
      <c r="C27" s="1824">
        <v>84.01</v>
      </c>
      <c r="D27" s="1825" t="s">
        <v>2076</v>
      </c>
      <c r="E27" s="1826"/>
      <c r="F27" s="1826">
        <v>15000</v>
      </c>
      <c r="G27" s="1826">
        <v>15000</v>
      </c>
      <c r="H27" s="1826"/>
      <c r="I27" s="1826">
        <v>0</v>
      </c>
      <c r="J27" s="1826"/>
      <c r="K27" s="1826"/>
      <c r="L27" s="1823">
        <f t="shared" si="0"/>
        <v>15000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4" zoomScaleNormal="100" workbookViewId="0">
      <selection activeCell="G26" sqref="G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Rhodes SD 84-5</v>
      </c>
      <c r="C1" s="2566"/>
      <c r="D1" s="2566"/>
      <c r="E1" s="2566"/>
      <c r="F1" s="2566"/>
      <c r="G1" s="2566"/>
      <c r="H1" s="2566"/>
      <c r="I1" s="2566"/>
      <c r="J1" s="2566"/>
      <c r="K1" s="2566"/>
      <c r="L1" s="2566"/>
      <c r="M1" s="2566"/>
    </row>
    <row r="2" spans="2:14" ht="15" x14ac:dyDescent="0.2">
      <c r="B2" s="2567">
        <f>'Single Audit Cover'!E7</f>
        <v>6016084502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2106</v>
      </c>
      <c r="C11" s="1821"/>
      <c r="D11" s="1822"/>
      <c r="E11" s="1823"/>
      <c r="F11" s="1823"/>
      <c r="G11" s="1823"/>
      <c r="H11" s="1823"/>
      <c r="I11" s="1823"/>
      <c r="J11" s="1823"/>
      <c r="K11" s="1823"/>
      <c r="L11" s="1823">
        <f>+G11+I11+K11</f>
        <v>0</v>
      </c>
      <c r="M11" s="1823"/>
    </row>
    <row r="12" spans="2:14" ht="20.100000000000001" customHeight="1" x14ac:dyDescent="0.2">
      <c r="B12" s="1113" t="s">
        <v>2110</v>
      </c>
      <c r="C12" s="1824"/>
      <c r="D12" s="1825"/>
      <c r="E12" s="1826"/>
      <c r="F12" s="1826"/>
      <c r="G12" s="1826"/>
      <c r="H12" s="1826"/>
      <c r="I12" s="1826"/>
      <c r="J12" s="1826"/>
      <c r="K12" s="1826"/>
      <c r="L12" s="1823">
        <f t="shared" ref="L12:L26" si="0">+G12+I12+K12</f>
        <v>0</v>
      </c>
      <c r="M12" s="1826"/>
    </row>
    <row r="13" spans="2:14" ht="20.100000000000001" customHeight="1" x14ac:dyDescent="0.2">
      <c r="B13" s="1113" t="s">
        <v>2082</v>
      </c>
      <c r="C13" s="1824">
        <v>84.364999999999995</v>
      </c>
      <c r="D13" s="1825" t="s">
        <v>2077</v>
      </c>
      <c r="E13" s="1826"/>
      <c r="F13" s="1826">
        <v>16261</v>
      </c>
      <c r="G13" s="1826"/>
      <c r="H13" s="1826"/>
      <c r="I13" s="1826">
        <v>32347</v>
      </c>
      <c r="J13" s="1826"/>
      <c r="K13" s="1826"/>
      <c r="L13" s="1823">
        <f t="shared" si="0"/>
        <v>32347</v>
      </c>
      <c r="M13" s="1826"/>
    </row>
    <row r="14" spans="2:14" ht="20.100000000000001" customHeight="1" x14ac:dyDescent="0.2">
      <c r="B14" s="1113" t="s">
        <v>2082</v>
      </c>
      <c r="C14" s="1824">
        <v>84.364999999999995</v>
      </c>
      <c r="D14" s="1825" t="s">
        <v>2078</v>
      </c>
      <c r="E14" s="1826">
        <v>5088</v>
      </c>
      <c r="F14" s="1826">
        <v>3023</v>
      </c>
      <c r="G14" s="1826">
        <v>6910</v>
      </c>
      <c r="H14" s="1826"/>
      <c r="I14" s="1826">
        <v>2001</v>
      </c>
      <c r="J14" s="1826"/>
      <c r="K14" s="1826"/>
      <c r="L14" s="1823">
        <f t="shared" si="0"/>
        <v>8911</v>
      </c>
      <c r="M14" s="1826"/>
    </row>
    <row r="15" spans="2:14" ht="20.100000000000001" customHeight="1" x14ac:dyDescent="0.2">
      <c r="B15" s="1113" t="s">
        <v>2081</v>
      </c>
      <c r="C15" s="1824">
        <v>84.364999999999995</v>
      </c>
      <c r="D15" s="1825" t="s">
        <v>2079</v>
      </c>
      <c r="E15" s="1826"/>
      <c r="F15" s="1826">
        <v>18370</v>
      </c>
      <c r="G15" s="1826"/>
      <c r="H15" s="1826"/>
      <c r="I15" s="1826">
        <v>28518</v>
      </c>
      <c r="J15" s="1826"/>
      <c r="K15" s="1826"/>
      <c r="L15" s="1823">
        <f t="shared" si="0"/>
        <v>28518</v>
      </c>
      <c r="M15" s="1826"/>
    </row>
    <row r="16" spans="2:14" ht="20.100000000000001" customHeight="1" x14ac:dyDescent="0.2">
      <c r="B16" s="1113" t="s">
        <v>2081</v>
      </c>
      <c r="C16" s="1824">
        <v>84.364999999999995</v>
      </c>
      <c r="D16" s="1825" t="s">
        <v>2080</v>
      </c>
      <c r="E16" s="1826">
        <v>21442</v>
      </c>
      <c r="F16" s="1826">
        <v>16624</v>
      </c>
      <c r="G16" s="1826">
        <v>38066</v>
      </c>
      <c r="H16" s="1826"/>
      <c r="I16" s="1826">
        <v>0</v>
      </c>
      <c r="J16" s="1826"/>
      <c r="K16" s="1826"/>
      <c r="L16" s="1823">
        <f t="shared" si="0"/>
        <v>38066</v>
      </c>
      <c r="M16" s="1826"/>
    </row>
    <row r="17" spans="2:14" ht="20.100000000000001" customHeight="1" x14ac:dyDescent="0.2">
      <c r="B17" s="1113" t="s">
        <v>2094</v>
      </c>
      <c r="C17" s="1824"/>
      <c r="D17" s="1825"/>
      <c r="E17" s="1826"/>
      <c r="F17" s="1826"/>
      <c r="G17" s="1826"/>
      <c r="H17" s="1826"/>
      <c r="I17" s="1826"/>
      <c r="J17" s="1826"/>
      <c r="K17" s="1826"/>
      <c r="L17" s="1823">
        <f t="shared" si="0"/>
        <v>0</v>
      </c>
      <c r="M17" s="1826"/>
    </row>
    <row r="18" spans="2:14" ht="20.100000000000001" customHeight="1" x14ac:dyDescent="0.2">
      <c r="B18" s="1113" t="s">
        <v>2073</v>
      </c>
      <c r="C18" s="1824"/>
      <c r="D18" s="1825"/>
      <c r="E18" s="1826"/>
      <c r="F18" s="1826"/>
      <c r="G18" s="1826"/>
      <c r="H18" s="1826"/>
      <c r="I18" s="1826"/>
      <c r="J18" s="1826"/>
      <c r="K18" s="1826"/>
      <c r="L18" s="1823">
        <f t="shared" si="0"/>
        <v>0</v>
      </c>
      <c r="M18" s="1826"/>
    </row>
    <row r="19" spans="2:14" ht="20.100000000000001" customHeight="1" x14ac:dyDescent="0.2">
      <c r="B19" s="1113" t="s">
        <v>2089</v>
      </c>
      <c r="C19" s="1824">
        <v>84.027000000000001</v>
      </c>
      <c r="D19" s="1825" t="s">
        <v>2128</v>
      </c>
      <c r="E19" s="1826"/>
      <c r="F19" s="1826">
        <v>0</v>
      </c>
      <c r="G19" s="1826"/>
      <c r="H19" s="1826"/>
      <c r="I19" s="1826">
        <v>7402</v>
      </c>
      <c r="J19" s="1826"/>
      <c r="K19" s="1826"/>
      <c r="L19" s="1823">
        <f t="shared" si="0"/>
        <v>7402</v>
      </c>
      <c r="M19" s="1826"/>
    </row>
    <row r="20" spans="2:14" ht="20.100000000000001" customHeight="1" x14ac:dyDescent="0.2">
      <c r="B20" s="1113" t="s">
        <v>2089</v>
      </c>
      <c r="C20" s="1824">
        <v>84.027000000000001</v>
      </c>
      <c r="D20" s="1825" t="s">
        <v>2085</v>
      </c>
      <c r="E20" s="1826"/>
      <c r="F20" s="1826">
        <v>10889</v>
      </c>
      <c r="G20" s="1826">
        <v>10889</v>
      </c>
      <c r="H20" s="1826"/>
      <c r="I20" s="1826">
        <v>0</v>
      </c>
      <c r="J20" s="1826"/>
      <c r="K20" s="1826"/>
      <c r="L20" s="1823">
        <f t="shared" si="0"/>
        <v>10889</v>
      </c>
      <c r="M20" s="1826"/>
    </row>
    <row r="21" spans="2:14" ht="20.100000000000001" customHeight="1" x14ac:dyDescent="0.2">
      <c r="B21" s="1113" t="s">
        <v>2086</v>
      </c>
      <c r="C21" s="1824"/>
      <c r="D21" s="1825"/>
      <c r="E21" s="1826"/>
      <c r="F21" s="1826"/>
      <c r="G21" s="1826"/>
      <c r="H21" s="1826"/>
      <c r="I21" s="1826"/>
      <c r="J21" s="1826"/>
      <c r="K21" s="1826"/>
      <c r="L21" s="1823">
        <f t="shared" si="0"/>
        <v>0</v>
      </c>
      <c r="M21" s="1826"/>
    </row>
    <row r="22" spans="2:14" ht="20.100000000000001" customHeight="1" x14ac:dyDescent="0.2">
      <c r="B22" s="1113" t="s">
        <v>2088</v>
      </c>
      <c r="C22" s="1824">
        <v>84.173000000000002</v>
      </c>
      <c r="D22" s="1825" t="s">
        <v>2087</v>
      </c>
      <c r="E22" s="1826"/>
      <c r="F22" s="1826">
        <v>3466</v>
      </c>
      <c r="G22" s="1826"/>
      <c r="H22" s="1826"/>
      <c r="I22" s="1826">
        <v>3526</v>
      </c>
      <c r="J22" s="1826"/>
      <c r="K22" s="1826"/>
      <c r="L22" s="1823">
        <f t="shared" si="0"/>
        <v>3526</v>
      </c>
      <c r="M22" s="1826"/>
    </row>
    <row r="23" spans="2:14" ht="20.100000000000001" customHeight="1" x14ac:dyDescent="0.2">
      <c r="B23" s="1113" t="s">
        <v>2088</v>
      </c>
      <c r="C23" s="1824">
        <v>84.173000000000002</v>
      </c>
      <c r="D23" s="1825" t="s">
        <v>2090</v>
      </c>
      <c r="E23" s="1826"/>
      <c r="F23" s="1826">
        <v>3525</v>
      </c>
      <c r="G23" s="1826">
        <v>3525</v>
      </c>
      <c r="H23" s="1826"/>
      <c r="I23" s="1826">
        <v>0</v>
      </c>
      <c r="J23" s="1826"/>
      <c r="K23" s="1826"/>
      <c r="L23" s="1823">
        <f t="shared" si="0"/>
        <v>3525</v>
      </c>
      <c r="M23" s="1826"/>
    </row>
    <row r="24" spans="2:14" ht="20.100000000000001" customHeight="1" x14ac:dyDescent="0.2">
      <c r="B24" s="1113" t="s">
        <v>2091</v>
      </c>
      <c r="C24" s="1824">
        <v>84.027000000000001</v>
      </c>
      <c r="D24" s="1825" t="s">
        <v>2092</v>
      </c>
      <c r="E24" s="1826"/>
      <c r="F24" s="1826">
        <v>91195</v>
      </c>
      <c r="G24" s="1826"/>
      <c r="H24" s="1826"/>
      <c r="I24" s="1826">
        <v>90455</v>
      </c>
      <c r="J24" s="1826"/>
      <c r="K24" s="1826"/>
      <c r="L24" s="1823">
        <f t="shared" si="0"/>
        <v>90455</v>
      </c>
      <c r="M24" s="1826"/>
    </row>
    <row r="25" spans="2:14" ht="20.100000000000001" customHeight="1" x14ac:dyDescent="0.2">
      <c r="B25" s="1113" t="s">
        <v>2095</v>
      </c>
      <c r="C25" s="1824"/>
      <c r="D25" s="1825"/>
      <c r="E25" s="1826">
        <v>0</v>
      </c>
      <c r="F25" s="1826">
        <v>109075</v>
      </c>
      <c r="G25" s="1826">
        <v>14414</v>
      </c>
      <c r="H25" s="1826"/>
      <c r="I25" s="1826">
        <v>101383</v>
      </c>
      <c r="J25" s="1826"/>
      <c r="K25" s="1826"/>
      <c r="L25" s="1823">
        <f t="shared" si="0"/>
        <v>115797</v>
      </c>
      <c r="M25" s="1826"/>
    </row>
    <row r="26" spans="2:14" ht="20.100000000000001" customHeight="1" x14ac:dyDescent="0.2">
      <c r="B26" s="1113" t="s">
        <v>2107</v>
      </c>
      <c r="C26" s="1824"/>
      <c r="D26" s="1825"/>
      <c r="E26" s="1826">
        <v>263507</v>
      </c>
      <c r="F26" s="1826">
        <v>391995</v>
      </c>
      <c r="G26" s="1826">
        <v>313168</v>
      </c>
      <c r="H26" s="1826"/>
      <c r="I26" s="1826">
        <v>386133</v>
      </c>
      <c r="J26" s="1826"/>
      <c r="K26" s="1826"/>
      <c r="L26" s="1823">
        <f t="shared" si="0"/>
        <v>699301</v>
      </c>
      <c r="M26" s="1826"/>
    </row>
    <row r="27" spans="2:14" ht="20.100000000000001" customHeight="1" x14ac:dyDescent="0.2">
      <c r="B27" s="1113"/>
      <c r="C27" s="1824"/>
      <c r="D27" s="1825"/>
      <c r="E27" s="1826"/>
      <c r="F27" s="1826"/>
      <c r="G27" s="1826"/>
      <c r="H27" s="1826"/>
      <c r="I27" s="1826"/>
      <c r="J27" s="1826"/>
      <c r="K27" s="1826"/>
      <c r="L27" s="1823">
        <f>+G27+I27+K27</f>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34700</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1986</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1986</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2064</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G17" sqref="G1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Rhodes SD 84-5</v>
      </c>
      <c r="C1" s="2566"/>
      <c r="D1" s="2566"/>
      <c r="E1" s="2566"/>
      <c r="F1" s="2566"/>
      <c r="G1" s="2566"/>
      <c r="H1" s="2566"/>
      <c r="I1" s="2566"/>
      <c r="J1" s="2566"/>
      <c r="K1" s="2566"/>
      <c r="L1" s="2566"/>
      <c r="M1" s="2566"/>
    </row>
    <row r="2" spans="2:14" ht="15" x14ac:dyDescent="0.2">
      <c r="B2" s="2567">
        <f>'Single Audit Cover'!E7</f>
        <v>6016084502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2108</v>
      </c>
      <c r="C11" s="1821"/>
      <c r="D11" s="1822"/>
      <c r="E11" s="1823"/>
      <c r="F11" s="1823"/>
      <c r="G11" s="1823"/>
      <c r="H11" s="1823"/>
      <c r="I11" s="1823"/>
      <c r="J11" s="1823"/>
      <c r="K11" s="1823"/>
      <c r="L11" s="1823">
        <f>+G11+I11+K11</f>
        <v>0</v>
      </c>
      <c r="M11" s="1823"/>
    </row>
    <row r="12" spans="2:14" ht="20.100000000000001" customHeight="1" x14ac:dyDescent="0.2">
      <c r="B12" s="1113" t="s">
        <v>2109</v>
      </c>
      <c r="C12" s="1824"/>
      <c r="D12" s="1825"/>
      <c r="E12" s="1826"/>
      <c r="F12" s="1826"/>
      <c r="G12" s="1826"/>
      <c r="H12" s="1826"/>
      <c r="I12" s="1826"/>
      <c r="J12" s="1826"/>
      <c r="K12" s="1826"/>
      <c r="L12" s="1823">
        <f t="shared" ref="L12:L26" si="0">+G12+I12+K12</f>
        <v>0</v>
      </c>
      <c r="M12" s="1826"/>
    </row>
    <row r="13" spans="2:14" ht="20.100000000000001" customHeight="1" x14ac:dyDescent="0.2">
      <c r="B13" s="1113" t="s">
        <v>2111</v>
      </c>
      <c r="C13" s="1824">
        <v>93.778000000000006</v>
      </c>
      <c r="D13" s="1825" t="s">
        <v>2112</v>
      </c>
      <c r="E13" s="1826"/>
      <c r="F13" s="1826">
        <v>11149</v>
      </c>
      <c r="G13" s="1826"/>
      <c r="H13" s="1826"/>
      <c r="I13" s="1826">
        <v>15232</v>
      </c>
      <c r="J13" s="1826"/>
      <c r="K13" s="1826"/>
      <c r="L13" s="1823">
        <f t="shared" si="0"/>
        <v>15232</v>
      </c>
      <c r="M13" s="1826"/>
    </row>
    <row r="14" spans="2:14" ht="20.100000000000001" customHeight="1" x14ac:dyDescent="0.2">
      <c r="B14" s="1113" t="s">
        <v>2111</v>
      </c>
      <c r="C14" s="1824">
        <v>93.778000000000006</v>
      </c>
      <c r="D14" s="1825" t="s">
        <v>2113</v>
      </c>
      <c r="E14" s="1826">
        <v>15202</v>
      </c>
      <c r="F14" s="1826">
        <v>3539</v>
      </c>
      <c r="G14" s="1826">
        <v>18741</v>
      </c>
      <c r="H14" s="1826"/>
      <c r="I14" s="1826">
        <v>0</v>
      </c>
      <c r="J14" s="1826"/>
      <c r="K14" s="1826"/>
      <c r="L14" s="1823">
        <f t="shared" si="0"/>
        <v>18741</v>
      </c>
      <c r="M14" s="1826"/>
    </row>
    <row r="15" spans="2:14" ht="20.100000000000001" customHeight="1" x14ac:dyDescent="0.2">
      <c r="B15" s="1113" t="s">
        <v>2114</v>
      </c>
      <c r="C15" s="1824"/>
      <c r="D15" s="1825"/>
      <c r="E15" s="1826">
        <v>15202</v>
      </c>
      <c r="F15" s="1826">
        <v>14688</v>
      </c>
      <c r="G15" s="1826">
        <v>18741</v>
      </c>
      <c r="H15" s="1826"/>
      <c r="I15" s="1826">
        <v>15232</v>
      </c>
      <c r="J15" s="1826"/>
      <c r="K15" s="1826"/>
      <c r="L15" s="1823">
        <f t="shared" si="0"/>
        <v>33973</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2115</v>
      </c>
      <c r="C17" s="1824"/>
      <c r="D17" s="1825"/>
      <c r="E17" s="1826">
        <v>478704</v>
      </c>
      <c r="F17" s="1826">
        <v>754121</v>
      </c>
      <c r="G17" s="1826">
        <v>531904</v>
      </c>
      <c r="H17" s="1826"/>
      <c r="I17" s="1826">
        <v>781596</v>
      </c>
      <c r="J17" s="1826"/>
      <c r="K17" s="1826"/>
      <c r="L17" s="1823">
        <f t="shared" si="0"/>
        <v>1313500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2116</v>
      </c>
      <c r="C24" s="1824"/>
      <c r="D24" s="1825"/>
      <c r="E24" s="1826">
        <v>0</v>
      </c>
      <c r="F24" s="1826">
        <v>19362</v>
      </c>
      <c r="G24" s="1826">
        <v>0</v>
      </c>
      <c r="H24" s="1826"/>
      <c r="I24" s="1826">
        <v>19362</v>
      </c>
      <c r="J24" s="1826"/>
      <c r="K24" s="1826"/>
      <c r="L24" s="1823">
        <f t="shared" si="0"/>
        <v>19362</v>
      </c>
      <c r="M24" s="1826"/>
    </row>
    <row r="25" spans="2:14" ht="20.100000000000001" customHeight="1" x14ac:dyDescent="0.2">
      <c r="B25" s="1113" t="s">
        <v>2117</v>
      </c>
      <c r="C25" s="1824"/>
      <c r="D25" s="1825"/>
      <c r="E25" s="1826">
        <v>0</v>
      </c>
      <c r="F25" s="1826">
        <v>0</v>
      </c>
      <c r="G25" s="1826">
        <v>0</v>
      </c>
      <c r="H25" s="1826"/>
      <c r="I25" s="1826">
        <v>0</v>
      </c>
      <c r="J25" s="1826"/>
      <c r="K25" s="1826"/>
      <c r="L25" s="1823">
        <f t="shared" si="0"/>
        <v>0</v>
      </c>
      <c r="M25" s="1826"/>
    </row>
    <row r="26" spans="2:14" ht="20.100000000000001" customHeight="1" x14ac:dyDescent="0.2">
      <c r="B26" s="1113" t="s">
        <v>2118</v>
      </c>
      <c r="C26" s="1824"/>
      <c r="D26" s="1825"/>
      <c r="E26" s="1826">
        <v>0</v>
      </c>
      <c r="F26" s="1826">
        <v>0</v>
      </c>
      <c r="G26" s="1826">
        <v>0</v>
      </c>
      <c r="H26" s="1826"/>
      <c r="I26" s="1826">
        <v>0</v>
      </c>
      <c r="J26" s="1826"/>
      <c r="K26" s="1826"/>
      <c r="L26" s="1823">
        <f t="shared" si="0"/>
        <v>0</v>
      </c>
      <c r="M26" s="1826"/>
    </row>
    <row r="27" spans="2:14" ht="20.100000000000001" customHeight="1" x14ac:dyDescent="0.2">
      <c r="B27" s="1113" t="s">
        <v>2119</v>
      </c>
      <c r="C27" s="1824"/>
      <c r="D27" s="1825"/>
      <c r="E27" s="1826">
        <v>0</v>
      </c>
      <c r="F27" s="1826">
        <v>0</v>
      </c>
      <c r="G27" s="1826">
        <v>0</v>
      </c>
      <c r="H27" s="1826"/>
      <c r="I27" s="1826">
        <v>0</v>
      </c>
      <c r="J27" s="1826"/>
      <c r="K27" s="1826"/>
      <c r="L27" s="1823">
        <f>+G27+I27+K27</f>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4" zoomScale="120" zoomScaleNormal="120" workbookViewId="0">
      <selection activeCell="C21" sqref="C2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Rhodes SD 84-5</v>
      </c>
      <c r="B1" s="2579"/>
      <c r="C1" s="2579"/>
      <c r="D1" s="2579"/>
      <c r="E1" s="2579"/>
      <c r="F1" s="2579"/>
    </row>
    <row r="2" spans="1:7" ht="13.5" customHeight="1" x14ac:dyDescent="0.2">
      <c r="A2" s="2567">
        <f>'Single Audit Cover'!E7</f>
        <v>6016084502</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2120</v>
      </c>
      <c r="B7" s="2578"/>
      <c r="C7" s="2578"/>
      <c r="D7" s="2578"/>
      <c r="E7" s="2578"/>
      <c r="F7" s="257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2121</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t="s">
        <v>2122</v>
      </c>
      <c r="C17" s="1061" t="s">
        <v>2123</v>
      </c>
      <c r="D17" s="2571" t="s">
        <v>2124</v>
      </c>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2125</v>
      </c>
      <c r="B32" s="2572"/>
      <c r="C32" s="2572"/>
      <c r="D32" s="2572"/>
      <c r="E32" s="2572"/>
      <c r="F32" s="2572"/>
    </row>
    <row r="33" spans="1:6" ht="13.5" customHeight="1" x14ac:dyDescent="0.2">
      <c r="A33" s="306" t="s">
        <v>1417</v>
      </c>
      <c r="B33" s="306"/>
      <c r="C33" s="1064">
        <v>19362</v>
      </c>
      <c r="D33" s="1526"/>
      <c r="E33" s="1062"/>
    </row>
    <row r="34" spans="1:6" ht="13.5" customHeight="1" x14ac:dyDescent="0.2">
      <c r="A34" s="306" t="s">
        <v>1808</v>
      </c>
      <c r="B34" s="306"/>
      <c r="C34" s="1065">
        <v>0</v>
      </c>
      <c r="D34" s="1526" t="s">
        <v>1572</v>
      </c>
      <c r="E34" s="2573">
        <f>+C33+C34</f>
        <v>19362</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25" zoomScale="110" zoomScaleNormal="110" workbookViewId="0">
      <selection activeCell="I45" sqref="I45"/>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Rhodes SD 84-5</v>
      </c>
      <c r="C1" s="2594"/>
      <c r="D1" s="2594"/>
      <c r="E1" s="2594"/>
      <c r="F1" s="2594"/>
      <c r="G1" s="2594"/>
      <c r="H1" s="2594"/>
      <c r="I1" s="2594"/>
      <c r="J1" s="1178"/>
    </row>
    <row r="2" spans="2:10" s="295" customFormat="1" ht="12.75" customHeight="1" x14ac:dyDescent="0.2">
      <c r="B2" s="2595">
        <f>'Single Audit Cover'!E7</f>
        <v>6016084502</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t="s">
        <v>1154</v>
      </c>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t="s">
        <v>2126</v>
      </c>
      <c r="E29" s="2600"/>
      <c r="F29" s="2600"/>
      <c r="G29" s="2600"/>
      <c r="H29" s="2600"/>
      <c r="I29" s="2600"/>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1" t="s">
        <v>1725</v>
      </c>
      <c r="D37" s="2602"/>
      <c r="E37" s="2602"/>
      <c r="F37" s="2603"/>
      <c r="G37" s="2601" t="s">
        <v>1575</v>
      </c>
      <c r="H37" s="2602"/>
      <c r="I37" s="2603"/>
    </row>
    <row r="38" spans="2:9" ht="16.5" customHeight="1" x14ac:dyDescent="0.2">
      <c r="B38" s="1200" t="s">
        <v>2127</v>
      </c>
      <c r="C38" s="2589" t="s">
        <v>2096</v>
      </c>
      <c r="D38" s="2590"/>
      <c r="E38" s="2590"/>
      <c r="F38" s="2591"/>
      <c r="G38" s="2604">
        <v>380231</v>
      </c>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380231</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781596</v>
      </c>
      <c r="E45" s="2587"/>
    </row>
    <row r="46" spans="2:9" ht="5.25" customHeight="1" x14ac:dyDescent="0.2">
      <c r="B46" s="1201"/>
      <c r="D46" s="1202"/>
      <c r="E46" s="1203"/>
    </row>
    <row r="47" spans="2:9" ht="12.75" customHeight="1" x14ac:dyDescent="0.2">
      <c r="B47" s="1076" t="s">
        <v>1577</v>
      </c>
      <c r="C47" s="1076"/>
      <c r="D47" s="1204">
        <f>+G43/D45</f>
        <v>0.48648022763678422</v>
      </c>
      <c r="E47" s="1205"/>
      <c r="F47" s="1206"/>
      <c r="I47" s="1207"/>
    </row>
    <row r="48" spans="2:9" ht="9.9499999999999993" customHeight="1" x14ac:dyDescent="0.2"/>
    <row r="49" spans="1:9" x14ac:dyDescent="0.2">
      <c r="B49" s="1138" t="s">
        <v>1262</v>
      </c>
      <c r="C49" s="1058"/>
      <c r="D49" s="1058"/>
      <c r="E49" s="2588">
        <v>750000</v>
      </c>
      <c r="F49" s="2588"/>
      <c r="G49" s="2588"/>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28" zoomScale="110" zoomScaleNormal="110" workbookViewId="0">
      <selection activeCell="P16" sqref="P1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Rhodes SD 84-5</v>
      </c>
      <c r="C1" s="2593"/>
      <c r="D1" s="2593"/>
      <c r="E1" s="2593"/>
      <c r="F1" s="2593"/>
      <c r="G1" s="2593"/>
      <c r="H1" s="2593"/>
      <c r="I1" s="2593"/>
      <c r="J1" s="2593"/>
      <c r="K1" s="2593"/>
      <c r="L1" s="1144"/>
      <c r="M1" s="1144"/>
    </row>
    <row r="2" spans="1:13" ht="12" customHeight="1" x14ac:dyDescent="0.2">
      <c r="B2" s="2595">
        <f>'Single Audit Cover'!E7</f>
        <v>6016084502</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t="s">
        <v>2123</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2122</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F21" sqref="F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Rhodes SD 84-5</v>
      </c>
      <c r="C1" s="2616"/>
      <c r="D1" s="2616"/>
      <c r="E1" s="2616"/>
      <c r="F1" s="2616"/>
      <c r="G1" s="2616"/>
      <c r="H1" s="2616"/>
      <c r="I1" s="2616"/>
      <c r="J1" s="2616"/>
      <c r="K1" s="2616"/>
      <c r="L1" s="1221"/>
    </row>
    <row r="2" spans="1:12" ht="12.75" customHeight="1" x14ac:dyDescent="0.2">
      <c r="B2" s="2617">
        <f>'Single Audit Cover'!E7</f>
        <v>6016084502</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t="s">
        <v>2123</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t="s">
        <v>2122</v>
      </c>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t="s">
        <v>2122</v>
      </c>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10" sqref="B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Rhodes SD 84-5</v>
      </c>
      <c r="C1" s="2593"/>
      <c r="D1" s="2593"/>
      <c r="E1" s="1240"/>
    </row>
    <row r="2" spans="2:5" s="1058" customFormat="1" ht="12.75" customHeight="1" x14ac:dyDescent="0.2">
      <c r="B2" s="2595">
        <f>'Single Audit Cover'!E7</f>
        <v>6016084502</v>
      </c>
      <c r="C2" s="2595"/>
      <c r="D2" s="2595"/>
      <c r="E2" s="1241"/>
    </row>
    <row r="3" spans="2:5" ht="12.75" customHeight="1" x14ac:dyDescent="0.2">
      <c r="B3" s="2609" t="s">
        <v>1740</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t="s">
        <v>2122</v>
      </c>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242935663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3.1557000000000002E-2</v>
      </c>
      <c r="E10" s="333" t="s">
        <v>998</v>
      </c>
      <c r="F10" s="332">
        <v>4.2750000000000002E-3</v>
      </c>
      <c r="G10" s="333" t="s">
        <v>998</v>
      </c>
      <c r="H10" s="332">
        <v>0</v>
      </c>
      <c r="I10" s="333" t="s">
        <v>999</v>
      </c>
      <c r="J10" s="1424">
        <f>ROUND(D10+F10+H10,5)</f>
        <v>3.5830000000000001E-2</v>
      </c>
      <c r="K10" s="217"/>
      <c r="L10" s="332">
        <v>3.8299999999999999E-4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12551633</v>
      </c>
      <c r="E16" s="1547"/>
      <c r="F16" s="1546">
        <f>SUM('Acct Summary 7-8'!C17,'Acct Summary 7-8'!D17,'Acct Summary 7-8'!F17)</f>
        <v>10743878</v>
      </c>
      <c r="G16" s="1547"/>
      <c r="H16" s="1546">
        <f>SUM(D16-F16)</f>
        <v>1807755</v>
      </c>
      <c r="I16" s="1548"/>
      <c r="J16" s="1546">
        <f>SUM('Acct Summary 7-8'!C81,'Acct Summary 7-8'!D81,'Acct Summary 7-8'!F81,'Acct Summary 7-8'!I81)</f>
        <v>17545100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16762560.747000001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5445000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Rhodes SD 84-5</v>
      </c>
      <c r="E7" s="368"/>
      <c r="G7" s="247"/>
      <c r="H7" s="364"/>
      <c r="I7" s="364"/>
      <c r="J7" s="364"/>
      <c r="K7" s="364"/>
      <c r="L7" s="307"/>
      <c r="M7" s="307"/>
      <c r="N7" s="307"/>
      <c r="O7" s="307"/>
      <c r="P7" s="307"/>
    </row>
    <row r="8" spans="1:18" ht="12.75" x14ac:dyDescent="0.2">
      <c r="A8" s="307"/>
      <c r="B8" s="307"/>
      <c r="C8" s="366" t="s">
        <v>1115</v>
      </c>
      <c r="D8" s="369">
        <f>COVER!A13</f>
        <v>6016084502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17545100</v>
      </c>
      <c r="I12" s="380"/>
      <c r="J12" s="380"/>
      <c r="K12" s="1559">
        <f>TRUNC((H12/H13*100000),5)/100000</f>
        <v>1.3978340507</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12551633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10743878</v>
      </c>
      <c r="I17" s="380"/>
      <c r="J17" s="389"/>
      <c r="K17" s="1559">
        <f>TRUNC((H17/H18*100000),5)/100000</f>
        <v>0.85597451740000008</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12551633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17551168</v>
      </c>
      <c r="I24" s="394"/>
      <c r="J24" s="394"/>
      <c r="K24" s="1555">
        <f>TRUNC(((H24/H25*100000)/100000),2)</f>
        <v>588.09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29844.10556</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7398727.0844999999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5445000</v>
      </c>
      <c r="I32" s="392"/>
      <c r="J32" s="392"/>
      <c r="K32" s="1555">
        <f>TRUNC(100-((((H32/H33*100))*100)/100),2)</f>
        <v>67.510000000000005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16762560.747000001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1" activePane="bottomLeft" state="frozen"/>
      <selection pane="bottomLeft" activeCell="M43" sqref="M4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17247759</v>
      </c>
      <c r="D4" s="1573">
        <v>120675</v>
      </c>
      <c r="E4" s="1573">
        <v>30637</v>
      </c>
      <c r="F4" s="1573">
        <v>43571</v>
      </c>
      <c r="G4" s="1573">
        <v>285557</v>
      </c>
      <c r="H4" s="1573">
        <v>85203</v>
      </c>
      <c r="I4" s="1573">
        <v>139163</v>
      </c>
      <c r="J4" s="1574">
        <v>587502</v>
      </c>
      <c r="K4" s="1573">
        <v>81168</v>
      </c>
      <c r="L4" s="1573">
        <v>0</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17247759</v>
      </c>
      <c r="D13" s="1587">
        <f t="shared" ref="D13:L13" si="0">SUM(D4:D12)</f>
        <v>120675</v>
      </c>
      <c r="E13" s="1587">
        <f t="shared" si="0"/>
        <v>30637</v>
      </c>
      <c r="F13" s="1587">
        <f t="shared" si="0"/>
        <v>43571</v>
      </c>
      <c r="G13" s="1587">
        <f t="shared" si="0"/>
        <v>285557</v>
      </c>
      <c r="H13" s="1587">
        <f t="shared" si="0"/>
        <v>85203</v>
      </c>
      <c r="I13" s="1587">
        <f t="shared" si="0"/>
        <v>139163</v>
      </c>
      <c r="J13" s="1587">
        <f t="shared" si="0"/>
        <v>587502</v>
      </c>
      <c r="K13" s="1587">
        <f t="shared" si="0"/>
        <v>81168</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14547536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92142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800166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30637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5414363</v>
      </c>
    </row>
    <row r="23" spans="1:14" ht="13.5" customHeight="1" thickBot="1" x14ac:dyDescent="0.25">
      <c r="A23" s="1426" t="s">
        <v>638</v>
      </c>
      <c r="B23" s="1429"/>
      <c r="C23" s="1575"/>
      <c r="D23" s="1575"/>
      <c r="E23" s="1575"/>
      <c r="F23" s="1575"/>
      <c r="G23" s="1575"/>
      <c r="H23" s="1575"/>
      <c r="I23" s="1575"/>
      <c r="J23" s="1575"/>
      <c r="K23" s="1575"/>
      <c r="L23" s="1575"/>
      <c r="M23" s="1594">
        <f>SUM(M15:M22)</f>
        <v>15446844</v>
      </c>
      <c r="N23" s="1594">
        <f>SUM(N21:N22)</f>
        <v>5445000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6068</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0</v>
      </c>
      <c r="M33" s="1575"/>
      <c r="N33" s="1576"/>
    </row>
    <row r="34" spans="1:14" ht="13.5" customHeight="1" thickBot="1" x14ac:dyDescent="0.25">
      <c r="A34" s="1427" t="s">
        <v>649</v>
      </c>
      <c r="B34" s="1428"/>
      <c r="C34" s="1600">
        <f>SUM(C25:C33)</f>
        <v>6068</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5445000</v>
      </c>
    </row>
    <row r="37" spans="1:14" ht="13.5" thickBot="1" x14ac:dyDescent="0.25">
      <c r="A37" s="1426" t="s">
        <v>648</v>
      </c>
      <c r="B37" s="1429"/>
      <c r="C37" s="1582"/>
      <c r="D37" s="1582"/>
      <c r="E37" s="1582"/>
      <c r="F37" s="1582"/>
      <c r="G37" s="1582"/>
      <c r="H37" s="1582"/>
      <c r="I37" s="1582"/>
      <c r="J37" s="1582"/>
      <c r="K37" s="1582"/>
      <c r="L37" s="1585"/>
      <c r="M37" s="1575"/>
      <c r="N37" s="1594">
        <f>SUM(N36:N36)</f>
        <v>5445000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17241691</v>
      </c>
      <c r="D39" s="1573">
        <v>120675</v>
      </c>
      <c r="E39" s="1573">
        <v>30637</v>
      </c>
      <c r="F39" s="1573">
        <v>43571</v>
      </c>
      <c r="G39" s="1573">
        <v>285557</v>
      </c>
      <c r="H39" s="1573">
        <v>85203</v>
      </c>
      <c r="I39" s="1573">
        <v>139163</v>
      </c>
      <c r="J39" s="1574">
        <v>587502</v>
      </c>
      <c r="K39" s="1573">
        <v>81168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15446844</v>
      </c>
      <c r="N40" s="1604"/>
    </row>
    <row r="41" spans="1:14" ht="13.5" customHeight="1" thickBot="1" x14ac:dyDescent="0.25">
      <c r="A41" s="1426" t="s">
        <v>650</v>
      </c>
      <c r="B41" s="1405"/>
      <c r="C41" s="1594">
        <f>(SUM(C34,C37,C38,C39))</f>
        <v>17247759</v>
      </c>
      <c r="D41" s="1594">
        <f t="shared" ref="D41:L41" si="2">SUM(D34,D37,D38:D39)</f>
        <v>120675</v>
      </c>
      <c r="E41" s="1594">
        <f t="shared" si="2"/>
        <v>30637</v>
      </c>
      <c r="F41" s="1594">
        <f t="shared" si="2"/>
        <v>43571</v>
      </c>
      <c r="G41" s="1594">
        <f t="shared" si="2"/>
        <v>285557</v>
      </c>
      <c r="H41" s="1594">
        <f t="shared" si="2"/>
        <v>85203</v>
      </c>
      <c r="I41" s="1594">
        <f t="shared" si="2"/>
        <v>139163</v>
      </c>
      <c r="J41" s="1594">
        <f t="shared" si="2"/>
        <v>587502</v>
      </c>
      <c r="K41" s="1594">
        <f t="shared" si="2"/>
        <v>81168</v>
      </c>
      <c r="L41" s="1594">
        <f t="shared" si="2"/>
        <v>0</v>
      </c>
      <c r="M41" s="1594">
        <f>SUM(M40)</f>
        <v>15446844</v>
      </c>
      <c r="N41" s="1594">
        <f>SUM(N37)</f>
        <v>5445000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C86" sqref="C8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8253920</v>
      </c>
      <c r="D4" s="1606">
        <f>'Revenues 9-14'!D109</f>
        <v>976999</v>
      </c>
      <c r="E4" s="1606">
        <f>'Revenues 9-14'!E109</f>
        <v>474511</v>
      </c>
      <c r="F4" s="1606">
        <f>'Revenues 9-14'!F109</f>
        <v>289579</v>
      </c>
      <c r="G4" s="1606">
        <f>'Revenues 9-14'!G109</f>
        <v>584548</v>
      </c>
      <c r="H4" s="1606">
        <f>'Revenues 9-14'!H109</f>
        <v>0</v>
      </c>
      <c r="I4" s="1606">
        <f>'Revenues 9-14'!I109</f>
        <v>91151</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1902243</v>
      </c>
      <c r="D6" s="1607">
        <f>'Revenues 9-14'!D170</f>
        <v>50000</v>
      </c>
      <c r="E6" s="1607">
        <f>'Revenues 9-14'!E170</f>
        <v>0</v>
      </c>
      <c r="F6" s="1607">
        <f>'Revenues 9-14'!F170</f>
        <v>206791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780950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10937113</v>
      </c>
      <c r="D8" s="1594">
        <f t="shared" ref="D8:K8" si="0">SUM(D4:D7)</f>
        <v>1026999</v>
      </c>
      <c r="E8" s="1594">
        <f t="shared" si="0"/>
        <v>474511</v>
      </c>
      <c r="F8" s="1594">
        <f t="shared" si="0"/>
        <v>496370</v>
      </c>
      <c r="G8" s="1594">
        <f t="shared" si="0"/>
        <v>584548</v>
      </c>
      <c r="H8" s="1594">
        <f t="shared" si="0"/>
        <v>0</v>
      </c>
      <c r="I8" s="1594">
        <f t="shared" si="0"/>
        <v>91151</v>
      </c>
      <c r="J8" s="1594">
        <f t="shared" si="0"/>
        <v>0</v>
      </c>
      <c r="K8" s="1594">
        <f t="shared" si="0"/>
        <v>0</v>
      </c>
      <c r="L8" s="325"/>
    </row>
    <row r="9" spans="1:13" ht="15.75" thickTop="1" x14ac:dyDescent="0.2">
      <c r="A9" s="449" t="s">
        <v>1634</v>
      </c>
      <c r="B9" s="450">
        <v>3998</v>
      </c>
      <c r="C9" s="1586">
        <v>3888610</v>
      </c>
      <c r="D9" s="1613"/>
      <c r="E9" s="1586"/>
      <c r="F9" s="1586"/>
      <c r="G9" s="1614"/>
      <c r="H9" s="1586"/>
      <c r="I9" s="1609" t="s">
        <v>1159</v>
      </c>
      <c r="J9" s="1583"/>
      <c r="K9" s="1586"/>
      <c r="L9" s="325"/>
    </row>
    <row r="10" spans="1:13" s="452" customFormat="1" ht="13.5" thickBot="1" x14ac:dyDescent="0.25">
      <c r="A10" s="1426" t="s">
        <v>1163</v>
      </c>
      <c r="B10" s="1407"/>
      <c r="C10" s="1594">
        <f>SUM(C8:C9)</f>
        <v>14825723</v>
      </c>
      <c r="D10" s="1594">
        <f t="shared" ref="D10:K10" si="1">SUM(D8:D9)</f>
        <v>1026999</v>
      </c>
      <c r="E10" s="1594">
        <f t="shared" si="1"/>
        <v>474511</v>
      </c>
      <c r="F10" s="1594">
        <f t="shared" si="1"/>
        <v>496370</v>
      </c>
      <c r="G10" s="1594">
        <f t="shared" si="1"/>
        <v>584548</v>
      </c>
      <c r="H10" s="1594">
        <f t="shared" si="1"/>
        <v>0</v>
      </c>
      <c r="I10" s="1594">
        <f t="shared" si="1"/>
        <v>91151</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5890469</v>
      </c>
      <c r="D12" s="1616" t="s">
        <v>1159</v>
      </c>
      <c r="E12" s="1575" t="s">
        <v>1159</v>
      </c>
      <c r="F12" s="1575" t="s">
        <v>1159</v>
      </c>
      <c r="G12" s="1606">
        <f>'Expenditures 15-22'!K229</f>
        <v>83349</v>
      </c>
      <c r="H12" s="1617"/>
      <c r="I12" s="1575" t="s">
        <v>1159</v>
      </c>
      <c r="J12" s="1575" t="s">
        <v>1159</v>
      </c>
      <c r="K12" s="1617" t="s">
        <v>1159</v>
      </c>
      <c r="L12" s="325"/>
    </row>
    <row r="13" spans="1:13" ht="15.75" customHeight="1" x14ac:dyDescent="0.2">
      <c r="A13" s="1314" t="s">
        <v>454</v>
      </c>
      <c r="B13" s="1316">
        <v>2000</v>
      </c>
      <c r="C13" s="1607">
        <f>'Expenditures 15-22'!K74</f>
        <v>2284823</v>
      </c>
      <c r="D13" s="1607">
        <f>'Expenditures 15-22'!K129</f>
        <v>1474558</v>
      </c>
      <c r="E13" s="1576" t="s">
        <v>1159</v>
      </c>
      <c r="F13" s="1607">
        <f>'Expenditures 15-22'!K184</f>
        <v>659029</v>
      </c>
      <c r="G13" s="1607">
        <f>'Expenditures 15-22'!K279</f>
        <v>337413</v>
      </c>
      <c r="H13" s="1607">
        <f>'Expenditures 15-22'!K303</f>
        <v>6139</v>
      </c>
      <c r="I13" s="1575" t="s">
        <v>1159</v>
      </c>
      <c r="J13" s="1607">
        <f>'Expenditures 15-22'!K330</f>
        <v>82374</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434999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443888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8610291</v>
      </c>
      <c r="D17" s="1594">
        <f t="shared" si="2"/>
        <v>1474558</v>
      </c>
      <c r="E17" s="1594">
        <f t="shared" si="2"/>
        <v>443888</v>
      </c>
      <c r="F17" s="1594">
        <f t="shared" si="2"/>
        <v>659029</v>
      </c>
      <c r="G17" s="1594">
        <f t="shared" si="2"/>
        <v>420762</v>
      </c>
      <c r="H17" s="1594">
        <f t="shared" si="2"/>
        <v>6139</v>
      </c>
      <c r="I17" s="1575"/>
      <c r="J17" s="1594">
        <f>SUM(J12:J16)</f>
        <v>82374</v>
      </c>
      <c r="K17" s="1594">
        <f>SUM(K12:K16)</f>
        <v>0</v>
      </c>
      <c r="L17" s="325"/>
    </row>
    <row r="18" spans="1:12" ht="15" customHeight="1" thickTop="1" x14ac:dyDescent="0.2">
      <c r="A18" s="1430" t="s">
        <v>1635</v>
      </c>
      <c r="B18" s="1431">
        <v>4180</v>
      </c>
      <c r="C18" s="1606">
        <f t="shared" ref="C18:H18" si="3">C9</f>
        <v>3888610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12498901</v>
      </c>
      <c r="D19" s="1594">
        <f t="shared" si="4"/>
        <v>1474558</v>
      </c>
      <c r="E19" s="1594">
        <f t="shared" si="4"/>
        <v>443888</v>
      </c>
      <c r="F19" s="1594">
        <f t="shared" si="4"/>
        <v>659029</v>
      </c>
      <c r="G19" s="1594">
        <f t="shared" si="4"/>
        <v>420762</v>
      </c>
      <c r="H19" s="1594">
        <f t="shared" si="4"/>
        <v>6139</v>
      </c>
      <c r="I19" s="1575"/>
      <c r="J19" s="1594">
        <f>SUM(J17:J18)</f>
        <v>82374</v>
      </c>
      <c r="K19" s="1594">
        <f>SUM(K17:K18)</f>
        <v>0</v>
      </c>
      <c r="L19" s="325"/>
    </row>
    <row r="20" spans="1:12" ht="16.5" thickTop="1" thickBot="1" x14ac:dyDescent="0.25">
      <c r="A20" s="2231" t="s">
        <v>1636</v>
      </c>
      <c r="B20" s="2232"/>
      <c r="C20" s="1622">
        <f>C8-C17</f>
        <v>2326822</v>
      </c>
      <c r="D20" s="1622">
        <f t="shared" ref="D20:K20" si="5">D8-D17</f>
        <v>-447559</v>
      </c>
      <c r="E20" s="1622">
        <f t="shared" si="5"/>
        <v>30623</v>
      </c>
      <c r="F20" s="1622">
        <f t="shared" si="5"/>
        <v>-162659</v>
      </c>
      <c r="G20" s="1622">
        <f t="shared" si="5"/>
        <v>163786</v>
      </c>
      <c r="H20" s="1622">
        <f t="shared" si="5"/>
        <v>-6139</v>
      </c>
      <c r="I20" s="1622">
        <f t="shared" si="5"/>
        <v>91151</v>
      </c>
      <c r="J20" s="1622">
        <f t="shared" si="5"/>
        <v>-82374</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400000</v>
      </c>
      <c r="E25" s="1574"/>
      <c r="F25" s="1574">
        <v>45000</v>
      </c>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400000</v>
      </c>
      <c r="E44" s="1624">
        <f t="shared" si="6"/>
        <v>0</v>
      </c>
      <c r="F44" s="1624">
        <f t="shared" si="6"/>
        <v>45000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445000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445000</v>
      </c>
      <c r="J76" s="1624">
        <f t="shared" si="7"/>
        <v>0</v>
      </c>
      <c r="K76" s="1624">
        <f t="shared" si="7"/>
        <v>0</v>
      </c>
      <c r="L76" s="453"/>
    </row>
    <row r="77" spans="1:12" ht="14.25" thickTop="1" thickBot="1" x14ac:dyDescent="0.25">
      <c r="A77" s="2223" t="s">
        <v>1167</v>
      </c>
      <c r="B77" s="2224"/>
      <c r="C77" s="1624">
        <f t="shared" ref="C77:K77" si="8">C44-C76</f>
        <v>0</v>
      </c>
      <c r="D77" s="1624">
        <f t="shared" si="8"/>
        <v>400000</v>
      </c>
      <c r="E77" s="1624">
        <f t="shared" si="8"/>
        <v>0</v>
      </c>
      <c r="F77" s="1624">
        <f t="shared" si="8"/>
        <v>45000</v>
      </c>
      <c r="G77" s="1624">
        <f t="shared" si="8"/>
        <v>0</v>
      </c>
      <c r="H77" s="1624">
        <f t="shared" si="8"/>
        <v>0</v>
      </c>
      <c r="I77" s="1624">
        <f t="shared" si="8"/>
        <v>-445000</v>
      </c>
      <c r="J77" s="1624">
        <f t="shared" si="8"/>
        <v>0</v>
      </c>
      <c r="K77" s="1624">
        <f t="shared" si="8"/>
        <v>0</v>
      </c>
      <c r="L77" s="325"/>
    </row>
    <row r="78" spans="1:12" ht="21.75" customHeight="1" thickTop="1" thickBot="1" x14ac:dyDescent="0.25">
      <c r="A78" s="2227" t="s">
        <v>593</v>
      </c>
      <c r="B78" s="2228"/>
      <c r="C78" s="1629">
        <f t="shared" ref="C78:K78" si="9">C20+C77</f>
        <v>2326822</v>
      </c>
      <c r="D78" s="1629">
        <f t="shared" si="9"/>
        <v>-47559</v>
      </c>
      <c r="E78" s="1629">
        <f t="shared" si="9"/>
        <v>30623</v>
      </c>
      <c r="F78" s="1629">
        <f t="shared" si="9"/>
        <v>-117659</v>
      </c>
      <c r="G78" s="1629">
        <f t="shared" si="9"/>
        <v>163786</v>
      </c>
      <c r="H78" s="1629">
        <f t="shared" si="9"/>
        <v>-6139</v>
      </c>
      <c r="I78" s="1629">
        <f t="shared" si="9"/>
        <v>-353849</v>
      </c>
      <c r="J78" s="1629">
        <f t="shared" si="9"/>
        <v>-82374</v>
      </c>
      <c r="K78" s="1629">
        <f t="shared" si="9"/>
        <v>0</v>
      </c>
      <c r="L78" s="457"/>
    </row>
    <row r="79" spans="1:12" ht="13.5" thickTop="1" x14ac:dyDescent="0.2">
      <c r="A79" s="1844" t="str">
        <f>"Fund Balances - July 1, "&amp;'AFR20'!E2-1</f>
        <v>Fund Balances - July 1, 2019</v>
      </c>
      <c r="B79" s="458"/>
      <c r="C79" s="1583">
        <v>14914869</v>
      </c>
      <c r="D79" s="1630">
        <v>168234</v>
      </c>
      <c r="E79" s="1630">
        <v>14</v>
      </c>
      <c r="F79" s="1630">
        <v>161230</v>
      </c>
      <c r="G79" s="1630">
        <v>121771</v>
      </c>
      <c r="H79" s="1630">
        <v>91342</v>
      </c>
      <c r="I79" s="1630">
        <v>493012</v>
      </c>
      <c r="J79" s="1630">
        <v>669876</v>
      </c>
      <c r="K79" s="1630">
        <v>81168</v>
      </c>
      <c r="L79" s="325"/>
    </row>
    <row r="80" spans="1:12" x14ac:dyDescent="0.2">
      <c r="A80" s="2233" t="s">
        <v>1769</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17241691</v>
      </c>
      <c r="D81" s="1594">
        <f>SUM(D78:D80)</f>
        <v>120675</v>
      </c>
      <c r="E81" s="1594">
        <f t="shared" ref="E81:K81" si="10">SUM(E78:E80)</f>
        <v>30637</v>
      </c>
      <c r="F81" s="1594">
        <f t="shared" si="10"/>
        <v>43571</v>
      </c>
      <c r="G81" s="1594">
        <f t="shared" si="10"/>
        <v>285557</v>
      </c>
      <c r="H81" s="1594">
        <f t="shared" si="10"/>
        <v>85203</v>
      </c>
      <c r="I81" s="1594">
        <f t="shared" si="10"/>
        <v>139163</v>
      </c>
      <c r="J81" s="1594">
        <f t="shared" si="10"/>
        <v>587502</v>
      </c>
      <c r="K81" s="1594">
        <f t="shared" si="10"/>
        <v>81168</v>
      </c>
      <c r="L81" s="325"/>
    </row>
    <row r="82" spans="1:12" ht="0.75" customHeight="1" thickTop="1" thickBot="1" x14ac:dyDescent="0.25">
      <c r="A82" s="459" t="s">
        <v>340</v>
      </c>
      <c r="B82" s="460"/>
      <c r="C82" s="461">
        <f>(C81-C79)</f>
        <v>2326822</v>
      </c>
      <c r="D82" s="461">
        <f t="shared" ref="D82:K82" si="11">(D81-D79)</f>
        <v>-47559</v>
      </c>
      <c r="E82" s="461">
        <f t="shared" si="11"/>
        <v>30623</v>
      </c>
      <c r="F82" s="461">
        <f t="shared" si="11"/>
        <v>-117659</v>
      </c>
      <c r="G82" s="461">
        <f t="shared" si="11"/>
        <v>163786</v>
      </c>
      <c r="H82" s="461">
        <f t="shared" si="11"/>
        <v>-6139</v>
      </c>
      <c r="I82" s="461">
        <f t="shared" si="11"/>
        <v>-353849</v>
      </c>
      <c r="J82" s="461">
        <f t="shared" si="11"/>
        <v>-82374</v>
      </c>
      <c r="K82" s="461">
        <f t="shared" si="11"/>
        <v>0</v>
      </c>
    </row>
    <row r="83" spans="1:12" ht="14.25" hidden="1" thickTop="1" thickBot="1" x14ac:dyDescent="0.25">
      <c r="A83" s="462" t="s">
        <v>341</v>
      </c>
      <c r="B83" s="428"/>
      <c r="C83" s="463">
        <f>C82/C81</f>
        <v>0.13495323631539388</v>
      </c>
      <c r="D83" s="463">
        <f t="shared" ref="D83:K83" si="12">D82/D81</f>
        <v>-0.39410814170292108</v>
      </c>
      <c r="E83" s="463">
        <f t="shared" si="12"/>
        <v>0.99954303619806117</v>
      </c>
      <c r="F83" s="463">
        <f t="shared" si="12"/>
        <v>-2.7003970530857679</v>
      </c>
      <c r="G83" s="463">
        <f t="shared" si="12"/>
        <v>0.57356674849504652</v>
      </c>
      <c r="H83" s="463">
        <f t="shared" si="12"/>
        <v>-7.2051453587315004E-2</v>
      </c>
      <c r="I83" s="463">
        <f t="shared" si="12"/>
        <v>-2.5426945380596853</v>
      </c>
      <c r="J83" s="463">
        <f t="shared" si="12"/>
        <v>-0.14021058651715229</v>
      </c>
      <c r="K83" s="463">
        <f t="shared" si="12"/>
        <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9" activePane="bottomLeft" state="frozen"/>
      <selection pane="bottomLeft"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1776</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7008362</v>
      </c>
      <c r="D5" s="1586">
        <v>976886</v>
      </c>
      <c r="E5" s="1573">
        <v>474459</v>
      </c>
      <c r="F5" s="1631"/>
      <c r="G5" s="1573"/>
      <c r="H5" s="1573"/>
      <c r="I5" s="1573">
        <v>91141</v>
      </c>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710308</v>
      </c>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7718670</v>
      </c>
      <c r="D12" s="1633">
        <f t="shared" si="0"/>
        <v>976886</v>
      </c>
      <c r="E12" s="1633">
        <f t="shared" si="0"/>
        <v>474459</v>
      </c>
      <c r="F12" s="1633">
        <f t="shared" si="0"/>
        <v>0</v>
      </c>
      <c r="G12" s="1633">
        <f t="shared" si="0"/>
        <v>0</v>
      </c>
      <c r="H12" s="1633">
        <f t="shared" si="0"/>
        <v>0</v>
      </c>
      <c r="I12" s="1633">
        <f t="shared" si="0"/>
        <v>91141</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v>584548</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584548</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219461</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v>69818</v>
      </c>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289279</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382373</v>
      </c>
      <c r="D65" s="1573">
        <v>113</v>
      </c>
      <c r="E65" s="1573">
        <v>52</v>
      </c>
      <c r="F65" s="1574"/>
      <c r="G65" s="1573"/>
      <c r="H65" s="1573"/>
      <c r="I65" s="1573">
        <v>10</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382373</v>
      </c>
      <c r="D67" s="1594">
        <f t="shared" ref="D67:K67" si="2">SUM(D65:D66)</f>
        <v>113</v>
      </c>
      <c r="E67" s="1594">
        <f t="shared" si="2"/>
        <v>52</v>
      </c>
      <c r="F67" s="1594">
        <f t="shared" si="2"/>
        <v>0</v>
      </c>
      <c r="G67" s="1594">
        <f t="shared" si="2"/>
        <v>0</v>
      </c>
      <c r="H67" s="1594">
        <f t="shared" si="2"/>
        <v>0</v>
      </c>
      <c r="I67" s="1594">
        <f t="shared" si="2"/>
        <v>10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26593</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26593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2997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2997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25418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25418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15679</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31608</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41629</v>
      </c>
      <c r="D106" s="1598"/>
      <c r="E106" s="1574"/>
      <c r="F106" s="1574"/>
      <c r="G106" s="1574"/>
      <c r="H106" s="1574"/>
      <c r="I106" s="1617"/>
      <c r="J106" s="1574"/>
      <c r="K106" s="1574"/>
    </row>
    <row r="107" spans="1:12" ht="12.75" customHeight="1" x14ac:dyDescent="0.2">
      <c r="A107" s="427" t="s">
        <v>78</v>
      </c>
      <c r="B107" s="429">
        <v>1999</v>
      </c>
      <c r="C107" s="1632">
        <v>8953</v>
      </c>
      <c r="D107" s="1573"/>
      <c r="E107" s="1573"/>
      <c r="F107" s="1573">
        <v>300</v>
      </c>
      <c r="G107" s="1573"/>
      <c r="H107" s="1573"/>
      <c r="I107" s="1573"/>
      <c r="J107" s="1574"/>
      <c r="K107" s="1573"/>
    </row>
    <row r="108" spans="1:12" ht="12.75" customHeight="1" thickBot="1" x14ac:dyDescent="0.25">
      <c r="A108" s="1406" t="s">
        <v>484</v>
      </c>
      <c r="B108" s="1408"/>
      <c r="C108" s="1633">
        <f>SUM(C95:C107)</f>
        <v>97869</v>
      </c>
      <c r="D108" s="1633">
        <f t="shared" ref="D108:K108" si="3">SUM(D95:D107)</f>
        <v>0</v>
      </c>
      <c r="E108" s="1633">
        <f t="shared" si="3"/>
        <v>0</v>
      </c>
      <c r="F108" s="1633">
        <f t="shared" si="3"/>
        <v>300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8253920</v>
      </c>
      <c r="D109" s="1641">
        <f t="shared" si="4"/>
        <v>976999</v>
      </c>
      <c r="E109" s="1641">
        <f t="shared" si="4"/>
        <v>474511</v>
      </c>
      <c r="F109" s="1641">
        <f t="shared" si="4"/>
        <v>289579</v>
      </c>
      <c r="G109" s="1641">
        <f t="shared" si="4"/>
        <v>584548</v>
      </c>
      <c r="H109" s="1641">
        <f t="shared" si="4"/>
        <v>0</v>
      </c>
      <c r="I109" s="1641">
        <f t="shared" si="4"/>
        <v>91151</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1644150</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1644150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89562</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89562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3821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5680</v>
      </c>
      <c r="G152" s="1574"/>
      <c r="H152" s="1575"/>
      <c r="I152" s="1575"/>
      <c r="J152" s="1575"/>
      <c r="K152" s="1575"/>
    </row>
    <row r="153" spans="1:11" ht="12.75" customHeight="1" x14ac:dyDescent="0.2">
      <c r="A153" s="427" t="s">
        <v>1048</v>
      </c>
      <c r="B153" s="478">
        <v>3510</v>
      </c>
      <c r="C153" s="1632"/>
      <c r="D153" s="1573"/>
      <c r="E153" s="1640"/>
      <c r="F153" s="1573">
        <v>201111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206791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142281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22429</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258093</v>
      </c>
      <c r="D169" s="1658">
        <f t="shared" si="6"/>
        <v>50000</v>
      </c>
      <c r="E169" s="1658">
        <f t="shared" si="6"/>
        <v>0</v>
      </c>
      <c r="F169" s="1658">
        <f t="shared" si="6"/>
        <v>206791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1902243</v>
      </c>
      <c r="D170" s="1641">
        <f t="shared" si="7"/>
        <v>50000</v>
      </c>
      <c r="E170" s="1641">
        <f t="shared" si="7"/>
        <v>0</v>
      </c>
      <c r="F170" s="1641">
        <f t="shared" si="7"/>
        <v>206791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1777</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177100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56555</v>
      </c>
      <c r="D193" s="1575"/>
      <c r="E193" s="1640"/>
      <c r="F193" s="1575"/>
      <c r="G193" s="1664"/>
      <c r="H193" s="1575"/>
      <c r="I193" s="1575"/>
      <c r="J193" s="1575"/>
      <c r="K193" s="1575"/>
    </row>
    <row r="194" spans="1:11" ht="12.75" customHeight="1" x14ac:dyDescent="0.2">
      <c r="A194" s="427" t="s">
        <v>1434</v>
      </c>
      <c r="B194" s="429">
        <v>4225</v>
      </c>
      <c r="C194" s="1632">
        <v>94421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328076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213642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15000</v>
      </c>
      <c r="D203" s="1573"/>
      <c r="E203" s="1575"/>
      <c r="F203" s="1573"/>
      <c r="G203" s="1573"/>
      <c r="H203" s="1575"/>
      <c r="I203" s="1575"/>
      <c r="J203" s="1575"/>
      <c r="K203" s="1575"/>
    </row>
    <row r="204" spans="1:11" ht="12.75" customHeight="1" thickBot="1" x14ac:dyDescent="0.25">
      <c r="A204" s="1406" t="s">
        <v>397</v>
      </c>
      <c r="B204" s="1407"/>
      <c r="C204" s="1633">
        <f>SUM(C200:C203)</f>
        <v>228642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6991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91195</v>
      </c>
      <c r="D213" s="1573"/>
      <c r="E213" s="1575"/>
      <c r="F213" s="1573"/>
      <c r="G213" s="1573"/>
      <c r="H213" s="1575"/>
      <c r="I213" s="1575"/>
      <c r="J213" s="1575"/>
      <c r="K213" s="1575"/>
    </row>
    <row r="214" spans="1:11" ht="12.75" customHeight="1" x14ac:dyDescent="0.2">
      <c r="A214" s="427" t="s">
        <v>1045</v>
      </c>
      <c r="B214" s="429">
        <v>4625</v>
      </c>
      <c r="C214" s="1632">
        <v>10889</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109075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19284</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34994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14688</v>
      </c>
      <c r="D263" s="1651"/>
      <c r="E263" s="1575"/>
      <c r="F263" s="1651"/>
      <c r="G263" s="1651"/>
      <c r="H263" s="1575"/>
      <c r="I263" s="1575"/>
      <c r="J263" s="1575"/>
      <c r="K263" s="1575"/>
    </row>
    <row r="264" spans="1:11" ht="12.75" customHeight="1" thickTop="1" thickBot="1" x14ac:dyDescent="0.25">
      <c r="A264" s="427" t="s">
        <v>374</v>
      </c>
      <c r="B264" s="429">
        <v>4992</v>
      </c>
      <c r="C264" s="1650">
        <v>46191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780950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780950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10937113</v>
      </c>
      <c r="D268" s="1641">
        <f t="shared" si="12"/>
        <v>1026999</v>
      </c>
      <c r="E268" s="1641">
        <f t="shared" si="12"/>
        <v>474511</v>
      </c>
      <c r="F268" s="1641">
        <f t="shared" si="12"/>
        <v>496370</v>
      </c>
      <c r="G268" s="1641">
        <f t="shared" si="12"/>
        <v>584548</v>
      </c>
      <c r="H268" s="1641">
        <f t="shared" si="12"/>
        <v>0</v>
      </c>
      <c r="I268" s="1641">
        <f t="shared" si="12"/>
        <v>91151</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2" activePane="bottomLeft" state="frozen"/>
      <selection pane="bottomLeft" activeCell="F69" sqref="F6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2917272</v>
      </c>
      <c r="D5" s="1573">
        <v>572382</v>
      </c>
      <c r="E5" s="1573">
        <v>4809</v>
      </c>
      <c r="F5" s="1573">
        <v>203278</v>
      </c>
      <c r="G5" s="1573">
        <v>87205</v>
      </c>
      <c r="H5" s="1573"/>
      <c r="I5" s="1574"/>
      <c r="J5" s="1574"/>
      <c r="K5" s="1672">
        <f>SUM(C5:J5)</f>
        <v>3784946</v>
      </c>
      <c r="L5" s="1573">
        <v>4350000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104054</v>
      </c>
      <c r="D7" s="1574">
        <v>33862</v>
      </c>
      <c r="E7" s="1574">
        <v>1617</v>
      </c>
      <c r="F7" s="1574">
        <v>6370</v>
      </c>
      <c r="G7" s="1574">
        <v>2209</v>
      </c>
      <c r="H7" s="1574"/>
      <c r="I7" s="1574"/>
      <c r="J7" s="1574"/>
      <c r="K7" s="1672">
        <f t="shared" ref="K7:K32" si="0">SUM(C7:J7)</f>
        <v>148112</v>
      </c>
      <c r="L7" s="1573">
        <v>212250</v>
      </c>
    </row>
    <row r="8" spans="1:14" x14ac:dyDescent="0.2">
      <c r="A8" s="1274" t="s">
        <v>163</v>
      </c>
      <c r="B8" s="503">
        <v>1200</v>
      </c>
      <c r="C8" s="1573">
        <v>1089909</v>
      </c>
      <c r="D8" s="1573">
        <v>180119</v>
      </c>
      <c r="E8" s="1573">
        <v>5983</v>
      </c>
      <c r="F8" s="1573">
        <v>35387</v>
      </c>
      <c r="G8" s="1573"/>
      <c r="H8" s="1573"/>
      <c r="I8" s="1574"/>
      <c r="J8" s="1574"/>
      <c r="K8" s="1672">
        <f t="shared" si="0"/>
        <v>1311398</v>
      </c>
      <c r="L8" s="1573">
        <v>1485000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99135</v>
      </c>
      <c r="D10" s="1573">
        <v>0</v>
      </c>
      <c r="E10" s="1573">
        <v>18786</v>
      </c>
      <c r="F10" s="1573">
        <v>112441</v>
      </c>
      <c r="G10" s="1573">
        <v>10567</v>
      </c>
      <c r="H10" s="1573"/>
      <c r="I10" s="1574"/>
      <c r="J10" s="1574"/>
      <c r="K10" s="1672">
        <f t="shared" si="0"/>
        <v>240929</v>
      </c>
      <c r="L10" s="1573">
        <v>388000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151574</v>
      </c>
      <c r="D14" s="1573"/>
      <c r="E14" s="1573">
        <v>4220</v>
      </c>
      <c r="F14" s="1573">
        <v>17761</v>
      </c>
      <c r="G14" s="1573"/>
      <c r="H14" s="1573"/>
      <c r="I14" s="1574"/>
      <c r="J14" s="1574"/>
      <c r="K14" s="1672">
        <f t="shared" si="0"/>
        <v>173555</v>
      </c>
      <c r="L14" s="1573">
        <v>187000</v>
      </c>
    </row>
    <row r="15" spans="1:14" x14ac:dyDescent="0.2">
      <c r="A15" s="1274" t="s">
        <v>958</v>
      </c>
      <c r="B15" s="503">
        <v>1600</v>
      </c>
      <c r="C15" s="1573">
        <v>14461</v>
      </c>
      <c r="D15" s="1573"/>
      <c r="E15" s="1573"/>
      <c r="F15" s="1573">
        <v>3</v>
      </c>
      <c r="G15" s="1573"/>
      <c r="H15" s="1573"/>
      <c r="I15" s="1574"/>
      <c r="J15" s="1574"/>
      <c r="K15" s="1672">
        <f t="shared" si="0"/>
        <v>14464</v>
      </c>
      <c r="L15" s="1573">
        <v>17000</v>
      </c>
    </row>
    <row r="16" spans="1:14" x14ac:dyDescent="0.2">
      <c r="A16" s="1274" t="s">
        <v>980</v>
      </c>
      <c r="B16" s="503" t="s">
        <v>421</v>
      </c>
      <c r="C16" s="1573"/>
      <c r="D16" s="1573"/>
      <c r="E16" s="1573"/>
      <c r="F16" s="1573"/>
      <c r="G16" s="1573" t="s">
        <v>1159</v>
      </c>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217065</v>
      </c>
      <c r="I22" s="1673"/>
      <c r="J22" s="1582"/>
      <c r="K22" s="1672">
        <f t="shared" si="0"/>
        <v>217065</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4376405</v>
      </c>
      <c r="D33" s="1674">
        <f t="shared" ref="D33:L33" si="1">SUM(D5:D32)</f>
        <v>786363</v>
      </c>
      <c r="E33" s="1674">
        <f t="shared" si="1"/>
        <v>35415</v>
      </c>
      <c r="F33" s="1674">
        <f t="shared" si="1"/>
        <v>375240</v>
      </c>
      <c r="G33" s="1674">
        <f t="shared" si="1"/>
        <v>99981</v>
      </c>
      <c r="H33" s="1674">
        <f t="shared" si="1"/>
        <v>217065</v>
      </c>
      <c r="I33" s="1674">
        <f t="shared" si="1"/>
        <v>0</v>
      </c>
      <c r="J33" s="1674">
        <f t="shared" si="1"/>
        <v>0</v>
      </c>
      <c r="K33" s="1674">
        <f t="shared" si="1"/>
        <v>5890469</v>
      </c>
      <c r="L33" s="1674">
        <f t="shared" si="1"/>
        <v>6639250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132631</v>
      </c>
      <c r="D36" s="1586">
        <v>38667</v>
      </c>
      <c r="E36" s="1586"/>
      <c r="F36" s="1586"/>
      <c r="G36" s="1586"/>
      <c r="H36" s="1586"/>
      <c r="I36" s="1574"/>
      <c r="J36" s="1574"/>
      <c r="K36" s="1672">
        <f t="shared" ref="K36:K41" si="2">SUM(C36:J36)</f>
        <v>171298</v>
      </c>
      <c r="L36" s="1573">
        <v>172000</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65998</v>
      </c>
      <c r="D38" s="1573">
        <v>9149</v>
      </c>
      <c r="E38" s="1573"/>
      <c r="F38" s="1573">
        <v>2274</v>
      </c>
      <c r="G38" s="1573"/>
      <c r="H38" s="1573"/>
      <c r="I38" s="1574"/>
      <c r="J38" s="1574"/>
      <c r="K38" s="1672">
        <f t="shared" si="2"/>
        <v>77421</v>
      </c>
      <c r="L38" s="1573">
        <v>86500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59551</v>
      </c>
      <c r="D40" s="1573">
        <v>8523</v>
      </c>
      <c r="E40" s="1573"/>
      <c r="F40" s="1573"/>
      <c r="G40" s="1573"/>
      <c r="H40" s="1573"/>
      <c r="I40" s="1574"/>
      <c r="J40" s="1574"/>
      <c r="K40" s="1672">
        <f t="shared" si="2"/>
        <v>68074</v>
      </c>
      <c r="L40" s="1573">
        <v>65250</v>
      </c>
    </row>
    <row r="41" spans="1:14" x14ac:dyDescent="0.2">
      <c r="A41" s="1274" t="s">
        <v>1650</v>
      </c>
      <c r="B41" s="503">
        <v>2190</v>
      </c>
      <c r="C41" s="1573">
        <v>98219</v>
      </c>
      <c r="D41" s="1573"/>
      <c r="E41" s="1573">
        <v>5654</v>
      </c>
      <c r="F41" s="1573">
        <v>8342</v>
      </c>
      <c r="G41" s="1573"/>
      <c r="H41" s="1573">
        <v>92</v>
      </c>
      <c r="I41" s="1574"/>
      <c r="J41" s="1574"/>
      <c r="K41" s="1672">
        <f t="shared" si="2"/>
        <v>112307</v>
      </c>
      <c r="L41" s="1573">
        <v>140200</v>
      </c>
    </row>
    <row r="42" spans="1:14" ht="12.75" customHeight="1" thickBot="1" x14ac:dyDescent="0.25">
      <c r="A42" s="1380" t="s">
        <v>556</v>
      </c>
      <c r="B42" s="1381" t="s">
        <v>711</v>
      </c>
      <c r="C42" s="1674">
        <f>SUM(C36:C41)</f>
        <v>356399</v>
      </c>
      <c r="D42" s="1674">
        <f t="shared" ref="D42:L42" si="3">SUM(D36:D41)</f>
        <v>56339</v>
      </c>
      <c r="E42" s="1674">
        <f t="shared" si="3"/>
        <v>5654</v>
      </c>
      <c r="F42" s="1674">
        <f t="shared" si="3"/>
        <v>10616</v>
      </c>
      <c r="G42" s="1674">
        <f t="shared" si="3"/>
        <v>0</v>
      </c>
      <c r="H42" s="1674">
        <f t="shared" si="3"/>
        <v>92</v>
      </c>
      <c r="I42" s="1674">
        <f t="shared" si="3"/>
        <v>0</v>
      </c>
      <c r="J42" s="1674">
        <f t="shared" si="3"/>
        <v>0</v>
      </c>
      <c r="K42" s="1674">
        <f t="shared" si="3"/>
        <v>429100</v>
      </c>
      <c r="L42" s="1674">
        <f t="shared" si="3"/>
        <v>463950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16151</v>
      </c>
      <c r="F44" s="1586"/>
      <c r="G44" s="1586"/>
      <c r="H44" s="1586"/>
      <c r="I44" s="1574"/>
      <c r="J44" s="1574"/>
      <c r="K44" s="1678">
        <f>SUM(C44:J44)</f>
        <v>16151</v>
      </c>
      <c r="L44" s="1586">
        <v>25000</v>
      </c>
    </row>
    <row r="45" spans="1:14" x14ac:dyDescent="0.2">
      <c r="A45" s="1274" t="s">
        <v>810</v>
      </c>
      <c r="B45" s="503">
        <v>2220</v>
      </c>
      <c r="C45" s="1573">
        <v>60771</v>
      </c>
      <c r="D45" s="1573">
        <v>7891</v>
      </c>
      <c r="E45" s="1573"/>
      <c r="F45" s="1573">
        <v>5252</v>
      </c>
      <c r="G45" s="1573">
        <v>78717</v>
      </c>
      <c r="H45" s="1573"/>
      <c r="I45" s="1574"/>
      <c r="J45" s="1574"/>
      <c r="K45" s="1678">
        <f>SUM(C45:J45)</f>
        <v>152631</v>
      </c>
      <c r="L45" s="1573">
        <v>86250</v>
      </c>
    </row>
    <row r="46" spans="1:14" x14ac:dyDescent="0.2">
      <c r="A46" s="1274" t="s">
        <v>811</v>
      </c>
      <c r="B46" s="503">
        <v>2230</v>
      </c>
      <c r="C46" s="1573"/>
      <c r="D46" s="1573"/>
      <c r="E46" s="1573">
        <v>19566</v>
      </c>
      <c r="F46" s="1573"/>
      <c r="G46" s="1573"/>
      <c r="H46" s="1573"/>
      <c r="I46" s="1574"/>
      <c r="J46" s="1574"/>
      <c r="K46" s="1678">
        <f>SUM(C46:J46)</f>
        <v>19566</v>
      </c>
      <c r="L46" s="1573">
        <v>15000</v>
      </c>
    </row>
    <row r="47" spans="1:14" ht="12.75" customHeight="1" thickBot="1" x14ac:dyDescent="0.25">
      <c r="A47" s="1380" t="s">
        <v>557</v>
      </c>
      <c r="B47" s="1381" t="s">
        <v>32</v>
      </c>
      <c r="C47" s="1674">
        <f>SUM(C44:C46)</f>
        <v>60771</v>
      </c>
      <c r="D47" s="1674">
        <f t="shared" ref="D47:K47" si="4">SUM(D44:D46)</f>
        <v>7891</v>
      </c>
      <c r="E47" s="1674">
        <f t="shared" si="4"/>
        <v>35717</v>
      </c>
      <c r="F47" s="1674">
        <f t="shared" si="4"/>
        <v>5252</v>
      </c>
      <c r="G47" s="1674">
        <f t="shared" si="4"/>
        <v>78717</v>
      </c>
      <c r="H47" s="1674">
        <f t="shared" si="4"/>
        <v>0</v>
      </c>
      <c r="I47" s="1674">
        <f t="shared" si="4"/>
        <v>0</v>
      </c>
      <c r="J47" s="1674">
        <f t="shared" si="4"/>
        <v>0</v>
      </c>
      <c r="K47" s="1674">
        <f t="shared" si="4"/>
        <v>188348</v>
      </c>
      <c r="L47" s="1674">
        <f>SUM(L44:L46)</f>
        <v>126250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154746</v>
      </c>
      <c r="F49" s="1586"/>
      <c r="G49" s="1586"/>
      <c r="H49" s="1586">
        <v>9940</v>
      </c>
      <c r="I49" s="1574"/>
      <c r="J49" s="1574"/>
      <c r="K49" s="1678">
        <f>SUM(C49:J49)</f>
        <v>164686</v>
      </c>
      <c r="L49" s="1586">
        <v>222500</v>
      </c>
    </row>
    <row r="50" spans="1:14" x14ac:dyDescent="0.2">
      <c r="A50" s="1274" t="s">
        <v>813</v>
      </c>
      <c r="B50" s="503">
        <v>2320</v>
      </c>
      <c r="C50" s="1573">
        <v>250629</v>
      </c>
      <c r="D50" s="1573">
        <v>38353</v>
      </c>
      <c r="E50" s="1573">
        <v>3071</v>
      </c>
      <c r="F50" s="1573"/>
      <c r="G50" s="1573"/>
      <c r="H50" s="1573">
        <v>4690</v>
      </c>
      <c r="I50" s="1574"/>
      <c r="J50" s="1574"/>
      <c r="K50" s="1678">
        <f>SUM(C50:J50)</f>
        <v>296743</v>
      </c>
      <c r="L50" s="1573">
        <v>306500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250629</v>
      </c>
      <c r="D53" s="1674">
        <f t="shared" ref="D53:L53" si="5">SUM(D49:D52)</f>
        <v>38353</v>
      </c>
      <c r="E53" s="1674">
        <f t="shared" si="5"/>
        <v>157817</v>
      </c>
      <c r="F53" s="1674">
        <f t="shared" si="5"/>
        <v>0</v>
      </c>
      <c r="G53" s="1674">
        <f t="shared" si="5"/>
        <v>0</v>
      </c>
      <c r="H53" s="1674">
        <f t="shared" si="5"/>
        <v>14630</v>
      </c>
      <c r="I53" s="1674">
        <f t="shared" si="5"/>
        <v>0</v>
      </c>
      <c r="J53" s="1674">
        <f t="shared" si="5"/>
        <v>0</v>
      </c>
      <c r="K53" s="1674">
        <f t="shared" si="5"/>
        <v>461429</v>
      </c>
      <c r="L53" s="1674">
        <f t="shared" si="5"/>
        <v>529000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454247</v>
      </c>
      <c r="D55" s="1586">
        <v>105634</v>
      </c>
      <c r="E55" s="1586">
        <v>1264</v>
      </c>
      <c r="F55" s="1586">
        <v>10111</v>
      </c>
      <c r="G55" s="1586"/>
      <c r="H55" s="1586">
        <v>13483</v>
      </c>
      <c r="I55" s="1574"/>
      <c r="J55" s="1574"/>
      <c r="K55" s="1678">
        <f>SUM(C55:J55)</f>
        <v>584739</v>
      </c>
      <c r="L55" s="1586">
        <v>623000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454247</v>
      </c>
      <c r="D57" s="1679">
        <f t="shared" ref="D57:K57" si="6">SUM(D55:D56)</f>
        <v>105634</v>
      </c>
      <c r="E57" s="1679">
        <f t="shared" si="6"/>
        <v>1264</v>
      </c>
      <c r="F57" s="1679">
        <f t="shared" si="6"/>
        <v>10111</v>
      </c>
      <c r="G57" s="1679">
        <f t="shared" si="6"/>
        <v>0</v>
      </c>
      <c r="H57" s="1679">
        <f t="shared" si="6"/>
        <v>13483</v>
      </c>
      <c r="I57" s="1679">
        <f t="shared" si="6"/>
        <v>0</v>
      </c>
      <c r="J57" s="1679">
        <f t="shared" si="6"/>
        <v>0</v>
      </c>
      <c r="K57" s="1679">
        <f t="shared" si="6"/>
        <v>584739</v>
      </c>
      <c r="L57" s="1674">
        <f>SUM(L55:L56)</f>
        <v>623000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v>10744</v>
      </c>
      <c r="F59" s="1586"/>
      <c r="G59" s="1586"/>
      <c r="H59" s="1586">
        <v>18975</v>
      </c>
      <c r="I59" s="1574"/>
      <c r="J59" s="1574"/>
      <c r="K59" s="1678">
        <f t="shared" ref="K59:K64" si="7">SUM(C59:J59)</f>
        <v>29719</v>
      </c>
      <c r="L59" s="1586">
        <v>41000</v>
      </c>
      <c r="M59" s="501"/>
      <c r="N59" s="501"/>
    </row>
    <row r="60" spans="1:14" s="321" customFormat="1" x14ac:dyDescent="0.2">
      <c r="A60" s="1274" t="s">
        <v>460</v>
      </c>
      <c r="B60" s="503">
        <v>2520</v>
      </c>
      <c r="C60" s="1573">
        <v>177391</v>
      </c>
      <c r="D60" s="1573">
        <v>48625</v>
      </c>
      <c r="E60" s="1573"/>
      <c r="F60" s="1573">
        <v>3894</v>
      </c>
      <c r="G60" s="1573"/>
      <c r="H60" s="1573"/>
      <c r="I60" s="1574"/>
      <c r="J60" s="1574"/>
      <c r="K60" s="1678">
        <f t="shared" si="7"/>
        <v>229910</v>
      </c>
      <c r="L60" s="1573">
        <v>239500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95430</v>
      </c>
      <c r="D63" s="1573">
        <v>9122</v>
      </c>
      <c r="E63" s="1573">
        <v>352</v>
      </c>
      <c r="F63" s="1573">
        <v>253425</v>
      </c>
      <c r="G63" s="1573">
        <v>3249</v>
      </c>
      <c r="H63" s="1573"/>
      <c r="I63" s="1574"/>
      <c r="J63" s="1574"/>
      <c r="K63" s="1678">
        <f t="shared" si="7"/>
        <v>361578</v>
      </c>
      <c r="L63" s="1573">
        <v>391500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272821</v>
      </c>
      <c r="D65" s="1674">
        <f t="shared" ref="D65:L65" si="8">SUM(D59:D64)</f>
        <v>57747</v>
      </c>
      <c r="E65" s="1674">
        <f t="shared" si="8"/>
        <v>11096</v>
      </c>
      <c r="F65" s="1674">
        <f t="shared" si="8"/>
        <v>257319</v>
      </c>
      <c r="G65" s="1674">
        <f t="shared" si="8"/>
        <v>3249</v>
      </c>
      <c r="H65" s="1674">
        <f t="shared" si="8"/>
        <v>18975</v>
      </c>
      <c r="I65" s="1674">
        <f t="shared" si="8"/>
        <v>0</v>
      </c>
      <c r="J65" s="1674">
        <f t="shared" si="8"/>
        <v>0</v>
      </c>
      <c r="K65" s="1674">
        <f t="shared" si="8"/>
        <v>621207</v>
      </c>
      <c r="L65" s="1674">
        <f t="shared" si="8"/>
        <v>672000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1394867</v>
      </c>
      <c r="D74" s="1681">
        <f t="shared" ref="D74:K74" si="10">SUM(D42,D47,D53,D57,D65,D72,D73)</f>
        <v>265964</v>
      </c>
      <c r="E74" s="1681">
        <f t="shared" si="10"/>
        <v>211548</v>
      </c>
      <c r="F74" s="1681">
        <f t="shared" si="10"/>
        <v>283298</v>
      </c>
      <c r="G74" s="1681">
        <f t="shared" si="10"/>
        <v>81966</v>
      </c>
      <c r="H74" s="1681">
        <f t="shared" si="10"/>
        <v>47180</v>
      </c>
      <c r="I74" s="1681">
        <f t="shared" si="10"/>
        <v>0</v>
      </c>
      <c r="J74" s="1681">
        <f t="shared" si="10"/>
        <v>0</v>
      </c>
      <c r="K74" s="1681">
        <f t="shared" si="10"/>
        <v>2284823</v>
      </c>
      <c r="L74" s="1681">
        <f>SUM(L42,L47,L53,L57,L65,L72,L73)</f>
        <v>2414200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2367</v>
      </c>
      <c r="F79" s="1673"/>
      <c r="G79" s="1673"/>
      <c r="H79" s="1573">
        <v>101313</v>
      </c>
      <c r="I79" s="1582"/>
      <c r="J79" s="1582"/>
      <c r="K79" s="1672">
        <f t="shared" si="11"/>
        <v>103680</v>
      </c>
      <c r="L79" s="1573">
        <v>125000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2367</v>
      </c>
      <c r="F84" s="1673"/>
      <c r="G84" s="1673"/>
      <c r="H84" s="1674">
        <f>SUM(H78:H83)</f>
        <v>101313</v>
      </c>
      <c r="I84" s="1582"/>
      <c r="J84" s="1582"/>
      <c r="K84" s="1674">
        <f>SUM(K78:K83)</f>
        <v>103680</v>
      </c>
      <c r="L84" s="1674">
        <f>SUM(L78:L83)</f>
        <v>125000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331319</v>
      </c>
      <c r="I86" s="1582"/>
      <c r="J86" s="1582"/>
      <c r="K86" s="1681">
        <f t="shared" ref="K86:K98" si="12">H86</f>
        <v>331319</v>
      </c>
      <c r="L86" s="1626">
        <v>650000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331319</v>
      </c>
      <c r="I92" s="1582"/>
      <c r="J92" s="1582"/>
      <c r="K92" s="1681">
        <f t="shared" si="12"/>
        <v>331319</v>
      </c>
      <c r="L92" s="1674">
        <f>SUM(L85:L91)</f>
        <v>650000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2367</v>
      </c>
      <c r="F102" s="1673"/>
      <c r="G102" s="1673"/>
      <c r="H102" s="1681">
        <f>SUM(H84,H92,H100,H101)</f>
        <v>432632</v>
      </c>
      <c r="I102" s="1582"/>
      <c r="J102" s="1582"/>
      <c r="K102" s="1681">
        <f>SUM(K84,K92,K100,K101)</f>
        <v>434999</v>
      </c>
      <c r="L102" s="1681">
        <f>SUM(L84,L92,L100,L101)</f>
        <v>775000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50000</v>
      </c>
      <c r="M113" s="502"/>
      <c r="N113" s="502"/>
    </row>
    <row r="114" spans="1:14" ht="12.75" customHeight="1" thickTop="1" thickBot="1" x14ac:dyDescent="0.25">
      <c r="A114" s="1380" t="s">
        <v>48</v>
      </c>
      <c r="B114" s="1388"/>
      <c r="C114" s="1674">
        <f>SUM(C33,C74,C75,C102,C112,C113)</f>
        <v>5771272</v>
      </c>
      <c r="D114" s="1674">
        <f t="shared" ref="D114:K114" si="13">SUM(D33,D74,D75,D102,D112,D113)</f>
        <v>1052327</v>
      </c>
      <c r="E114" s="1674">
        <f t="shared" si="13"/>
        <v>249330</v>
      </c>
      <c r="F114" s="1674">
        <f t="shared" si="13"/>
        <v>658538</v>
      </c>
      <c r="G114" s="1674">
        <f t="shared" si="13"/>
        <v>181947</v>
      </c>
      <c r="H114" s="1674">
        <f>SUM(H33,H74,H75,H102,H112,H113)</f>
        <v>696877</v>
      </c>
      <c r="I114" s="1674">
        <f t="shared" si="13"/>
        <v>0</v>
      </c>
      <c r="J114" s="1674">
        <f t="shared" si="13"/>
        <v>0</v>
      </c>
      <c r="K114" s="1674">
        <f t="shared" si="13"/>
        <v>8610291</v>
      </c>
      <c r="L114" s="1674">
        <f>SUM(L33,L74,L75,L102,L112,L113)</f>
        <v>9878450</v>
      </c>
    </row>
    <row r="115" spans="1:14" ht="13.5" thickTop="1" x14ac:dyDescent="0.2">
      <c r="A115" s="2286" t="s">
        <v>989</v>
      </c>
      <c r="B115" s="2287"/>
      <c r="C115" s="1675"/>
      <c r="D115" s="1675"/>
      <c r="E115" s="1675"/>
      <c r="F115" s="1675"/>
      <c r="G115" s="1675"/>
      <c r="H115" s="1675"/>
      <c r="I115" s="1675"/>
      <c r="J115" s="1675"/>
      <c r="K115" s="1689">
        <f>'Revenues 9-14'!C268-'Expenditures 15-22'!K114</f>
        <v>2326822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13997</v>
      </c>
      <c r="F123" s="1573">
        <v>300</v>
      </c>
      <c r="G123" s="1573">
        <v>371455</v>
      </c>
      <c r="H123" s="1573"/>
      <c r="I123" s="1574"/>
      <c r="J123" s="1574"/>
      <c r="K123" s="1674">
        <f>SUM(C123:J123)</f>
        <v>385752</v>
      </c>
      <c r="L123" s="1573">
        <v>451000</v>
      </c>
    </row>
    <row r="124" spans="1:14" ht="14.25" thickTop="1" thickBot="1" x14ac:dyDescent="0.25">
      <c r="A124" s="1274" t="s">
        <v>195</v>
      </c>
      <c r="B124" s="503">
        <v>2540</v>
      </c>
      <c r="C124" s="1573">
        <v>510125</v>
      </c>
      <c r="D124" s="1573">
        <v>102905</v>
      </c>
      <c r="E124" s="1573">
        <v>130065</v>
      </c>
      <c r="F124" s="1573">
        <v>169664</v>
      </c>
      <c r="G124" s="1573">
        <v>176047</v>
      </c>
      <c r="H124" s="1573"/>
      <c r="I124" s="1574"/>
      <c r="J124" s="1574"/>
      <c r="K124" s="1674">
        <f>SUM(C124:J124)</f>
        <v>1088806</v>
      </c>
      <c r="L124" s="1573">
        <v>1286500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510125</v>
      </c>
      <c r="D127" s="1674">
        <f t="shared" ref="D127:L127" si="14">SUM(D122:D126)</f>
        <v>102905</v>
      </c>
      <c r="E127" s="1674">
        <f t="shared" si="14"/>
        <v>144062</v>
      </c>
      <c r="F127" s="1674">
        <f t="shared" si="14"/>
        <v>169964</v>
      </c>
      <c r="G127" s="1674">
        <f t="shared" si="14"/>
        <v>547502</v>
      </c>
      <c r="H127" s="1674">
        <f t="shared" si="14"/>
        <v>0</v>
      </c>
      <c r="I127" s="1674">
        <f t="shared" si="14"/>
        <v>0</v>
      </c>
      <c r="J127" s="1674">
        <f t="shared" si="14"/>
        <v>0</v>
      </c>
      <c r="K127" s="1674">
        <f t="shared" si="14"/>
        <v>1474558</v>
      </c>
      <c r="L127" s="1674">
        <f t="shared" si="14"/>
        <v>1737500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510125</v>
      </c>
      <c r="D129" s="1681">
        <f t="shared" ref="D129:L129" si="15">SUM(D120,D127,D128)</f>
        <v>102905</v>
      </c>
      <c r="E129" s="1681">
        <f t="shared" si="15"/>
        <v>144062</v>
      </c>
      <c r="F129" s="1681">
        <f t="shared" si="15"/>
        <v>169964</v>
      </c>
      <c r="G129" s="1681">
        <f t="shared" si="15"/>
        <v>547502</v>
      </c>
      <c r="H129" s="1681">
        <f t="shared" si="15"/>
        <v>0</v>
      </c>
      <c r="I129" s="1681">
        <f t="shared" si="15"/>
        <v>0</v>
      </c>
      <c r="J129" s="1681">
        <f t="shared" si="15"/>
        <v>0</v>
      </c>
      <c r="K129" s="1681">
        <f t="shared" si="15"/>
        <v>1474558</v>
      </c>
      <c r="L129" s="1681">
        <f t="shared" si="15"/>
        <v>1737500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510125</v>
      </c>
      <c r="D151" s="1674">
        <f t="shared" ref="D151:K151" si="16">SUM(D129,D130,D139,D149,D150)</f>
        <v>102905</v>
      </c>
      <c r="E151" s="1674">
        <f t="shared" si="16"/>
        <v>144062</v>
      </c>
      <c r="F151" s="1674">
        <f t="shared" si="16"/>
        <v>169964</v>
      </c>
      <c r="G151" s="1674">
        <f t="shared" si="16"/>
        <v>547502</v>
      </c>
      <c r="H151" s="1674">
        <f t="shared" si="16"/>
        <v>0</v>
      </c>
      <c r="I151" s="1674">
        <f t="shared" si="16"/>
        <v>0</v>
      </c>
      <c r="J151" s="1674">
        <f t="shared" si="16"/>
        <v>0</v>
      </c>
      <c r="K151" s="1674">
        <f t="shared" si="16"/>
        <v>1474558</v>
      </c>
      <c r="L151" s="1674">
        <f>SUM(L129,L130,L139,L149,L150)</f>
        <v>1737500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-447559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263888</v>
      </c>
      <c r="I169" s="1673"/>
      <c r="J169" s="1673"/>
      <c r="K169" s="1672">
        <f>SUM(C169:H169)</f>
        <v>263888</v>
      </c>
      <c r="L169" s="1695">
        <v>270000</v>
      </c>
    </row>
    <row r="170" spans="1:14" ht="33.75" customHeight="1" x14ac:dyDescent="0.2">
      <c r="A170" s="543" t="s">
        <v>1651</v>
      </c>
      <c r="B170" s="545" t="s">
        <v>31</v>
      </c>
      <c r="C170" s="1673"/>
      <c r="D170" s="1673"/>
      <c r="E170" s="1673"/>
      <c r="F170" s="1673"/>
      <c r="G170" s="1673"/>
      <c r="H170" s="1646">
        <v>180000</v>
      </c>
      <c r="I170" s="1673"/>
      <c r="J170" s="1673"/>
      <c r="K170" s="1672">
        <f>SUM(C170:J170)</f>
        <v>180000</v>
      </c>
      <c r="L170" s="1646">
        <v>180000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443888</v>
      </c>
      <c r="I172" s="1684"/>
      <c r="J172" s="1673"/>
      <c r="K172" s="1681">
        <f>SUM(K168,K169,K170,K171)</f>
        <v>443888</v>
      </c>
      <c r="L172" s="1681">
        <f>SUM(L168,L169,L170,L171)</f>
        <v>450000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443888</v>
      </c>
      <c r="I174" s="1684"/>
      <c r="J174" s="1673"/>
      <c r="K174" s="1681">
        <f>SUM(K160,K172,K173)</f>
        <v>443888</v>
      </c>
      <c r="L174" s="1681">
        <f>SUM(L160,L172,L173)</f>
        <v>450000</v>
      </c>
    </row>
    <row r="175" spans="1:14" ht="13.5" thickTop="1" x14ac:dyDescent="0.2">
      <c r="A175" s="2286" t="s">
        <v>989</v>
      </c>
      <c r="B175" s="2287"/>
      <c r="C175" s="1673"/>
      <c r="D175" s="1673"/>
      <c r="E175" s="1673"/>
      <c r="F175" s="1673"/>
      <c r="G175" s="1673"/>
      <c r="H175" s="1675"/>
      <c r="I175" s="1673"/>
      <c r="J175" s="1673"/>
      <c r="K175" s="1689">
        <f>'Revenues 9-14'!E268-'Expenditures 15-22'!K174</f>
        <v>30623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457924</v>
      </c>
      <c r="D182" s="1573">
        <v>28169</v>
      </c>
      <c r="E182" s="1573">
        <v>55941</v>
      </c>
      <c r="F182" s="1573">
        <v>66416</v>
      </c>
      <c r="G182" s="1573">
        <v>50000</v>
      </c>
      <c r="H182" s="1573">
        <v>579</v>
      </c>
      <c r="I182" s="1574"/>
      <c r="J182" s="1574"/>
      <c r="K182" s="1672">
        <f>SUM(C182:J182)</f>
        <v>659029</v>
      </c>
      <c r="L182" s="1573">
        <v>753750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457924</v>
      </c>
      <c r="D184" s="1681">
        <f t="shared" ref="D184:J184" si="17">SUM(D180,D182,D183)</f>
        <v>28169</v>
      </c>
      <c r="E184" s="1681">
        <f t="shared" si="17"/>
        <v>55941</v>
      </c>
      <c r="F184" s="1681">
        <f t="shared" si="17"/>
        <v>66416</v>
      </c>
      <c r="G184" s="1681">
        <f t="shared" si="17"/>
        <v>50000</v>
      </c>
      <c r="H184" s="1681">
        <f t="shared" si="17"/>
        <v>579</v>
      </c>
      <c r="I184" s="1681">
        <f t="shared" si="17"/>
        <v>0</v>
      </c>
      <c r="J184" s="1681">
        <f t="shared" si="17"/>
        <v>0</v>
      </c>
      <c r="K184" s="1681">
        <f>SUM(K180,K182,K183)</f>
        <v>659029</v>
      </c>
      <c r="L184" s="1681">
        <f>SUM(L180, L182:L183)</f>
        <v>753750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457924</v>
      </c>
      <c r="D210" s="1674">
        <f>SUM(D184,D185)</f>
        <v>28169</v>
      </c>
      <c r="E210" s="1674">
        <f>SUM(E184,E185,E196)</f>
        <v>55941</v>
      </c>
      <c r="F210" s="1674">
        <f>SUM(F184,F185)</f>
        <v>66416</v>
      </c>
      <c r="G210" s="1674">
        <f>SUM(G184,G185)</f>
        <v>50000</v>
      </c>
      <c r="H210" s="1674">
        <f>SUM(H184,H185,H196,H208,H209)</f>
        <v>579</v>
      </c>
      <c r="I210" s="1674">
        <f>SUM(I184,I185)</f>
        <v>0</v>
      </c>
      <c r="J210" s="1674">
        <f>SUM(J184,J185)</f>
        <v>0</v>
      </c>
      <c r="K210" s="1672">
        <f>SUM(K184,K185,K196,K208,K209)</f>
        <v>659029</v>
      </c>
      <c r="L210" s="1674">
        <f>SUM(L184,L185,L196,L208,L209)</f>
        <v>753750</v>
      </c>
    </row>
    <row r="211" spans="1:14" ht="13.5" thickTop="1" x14ac:dyDescent="0.2">
      <c r="A211" s="2286" t="s">
        <v>989</v>
      </c>
      <c r="B211" s="2287"/>
      <c r="C211" s="1675"/>
      <c r="D211" s="1675"/>
      <c r="E211" s="1675"/>
      <c r="F211" s="1675"/>
      <c r="G211" s="1675"/>
      <c r="H211" s="1675"/>
      <c r="I211" s="1673"/>
      <c r="J211" s="1673"/>
      <c r="K211" s="1689">
        <f>'Revenues 9-14'!F268-'Expenditures 15-22'!K210</f>
        <v>-162659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44505</v>
      </c>
      <c r="E215" s="1673"/>
      <c r="F215" s="1673"/>
      <c r="G215" s="1673"/>
      <c r="H215" s="1673"/>
      <c r="I215" s="1673"/>
      <c r="J215" s="1673"/>
      <c r="K215" s="1672">
        <f>D215</f>
        <v>44505</v>
      </c>
      <c r="L215" s="1573">
        <v>47000</v>
      </c>
    </row>
    <row r="216" spans="1:14" x14ac:dyDescent="0.2">
      <c r="A216" s="1274" t="s">
        <v>162</v>
      </c>
      <c r="B216" s="503" t="s">
        <v>961</v>
      </c>
      <c r="C216" s="1673"/>
      <c r="D216" s="1574">
        <v>7417</v>
      </c>
      <c r="E216" s="1673"/>
      <c r="F216" s="1673"/>
      <c r="G216" s="1673"/>
      <c r="H216" s="1673"/>
      <c r="I216" s="1673"/>
      <c r="J216" s="1673"/>
      <c r="K216" s="1672">
        <f t="shared" ref="K216:K228" si="19">D216</f>
        <v>7417</v>
      </c>
      <c r="L216" s="1573">
        <v>8000</v>
      </c>
    </row>
    <row r="217" spans="1:14" x14ac:dyDescent="0.2">
      <c r="A217" s="1274" t="s">
        <v>163</v>
      </c>
      <c r="B217" s="503">
        <v>1200</v>
      </c>
      <c r="C217" s="1673"/>
      <c r="D217" s="1573">
        <v>26711</v>
      </c>
      <c r="E217" s="1673"/>
      <c r="F217" s="1673"/>
      <c r="G217" s="1673"/>
      <c r="H217" s="1673"/>
      <c r="I217" s="1673"/>
      <c r="J217" s="1673"/>
      <c r="K217" s="1672">
        <f t="shared" si="19"/>
        <v>26711</v>
      </c>
      <c r="L217" s="1573">
        <v>30500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1394</v>
      </c>
      <c r="E219" s="1673"/>
      <c r="F219" s="1673"/>
      <c r="G219" s="1673"/>
      <c r="H219" s="1673"/>
      <c r="I219" s="1673"/>
      <c r="J219" s="1673"/>
      <c r="K219" s="1672">
        <f t="shared" si="19"/>
        <v>1394</v>
      </c>
      <c r="L219" s="1573">
        <v>1500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2764</v>
      </c>
      <c r="E223" s="1673"/>
      <c r="F223" s="1673"/>
      <c r="G223" s="1673"/>
      <c r="H223" s="1673"/>
      <c r="I223" s="1673"/>
      <c r="J223" s="1673"/>
      <c r="K223" s="1672">
        <f t="shared" si="19"/>
        <v>2764</v>
      </c>
      <c r="L223" s="1573">
        <v>3500</v>
      </c>
    </row>
    <row r="224" spans="1:14" x14ac:dyDescent="0.2">
      <c r="A224" s="1274" t="s">
        <v>958</v>
      </c>
      <c r="B224" s="503">
        <v>1600</v>
      </c>
      <c r="C224" s="1673"/>
      <c r="D224" s="1573">
        <v>558</v>
      </c>
      <c r="E224" s="1673"/>
      <c r="F224" s="1673"/>
      <c r="G224" s="1673"/>
      <c r="H224" s="1673"/>
      <c r="I224" s="1673"/>
      <c r="J224" s="1673"/>
      <c r="K224" s="1672">
        <f t="shared" si="19"/>
        <v>558</v>
      </c>
      <c r="L224" s="1573">
        <v>1500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83349</v>
      </c>
      <c r="E229" s="1673"/>
      <c r="F229" s="1673"/>
      <c r="G229" s="1673"/>
      <c r="H229" s="1673"/>
      <c r="I229" s="1673"/>
      <c r="J229" s="1673"/>
      <c r="K229" s="1674">
        <f>SUM(K215:K228)</f>
        <v>83349</v>
      </c>
      <c r="L229" s="1674">
        <f>SUM(L215:L228)</f>
        <v>92000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1740</v>
      </c>
      <c r="E232" s="1673"/>
      <c r="F232" s="1673"/>
      <c r="G232" s="1673"/>
      <c r="H232" s="1673"/>
      <c r="I232" s="1673"/>
      <c r="J232" s="1673"/>
      <c r="K232" s="1672">
        <f t="shared" ref="K232:K237" si="20">D232</f>
        <v>1740</v>
      </c>
      <c r="L232" s="1573">
        <v>2500</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14783</v>
      </c>
      <c r="E234" s="1673"/>
      <c r="F234" s="1673"/>
      <c r="G234" s="1673"/>
      <c r="H234" s="1673"/>
      <c r="I234" s="1673"/>
      <c r="J234" s="1673"/>
      <c r="K234" s="1672">
        <f t="shared" si="20"/>
        <v>14783</v>
      </c>
      <c r="L234" s="1573">
        <v>15000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855</v>
      </c>
      <c r="E236" s="1673"/>
      <c r="F236" s="1673"/>
      <c r="G236" s="1673"/>
      <c r="H236" s="1673"/>
      <c r="I236" s="1673"/>
      <c r="J236" s="1673"/>
      <c r="K236" s="1672">
        <f t="shared" si="20"/>
        <v>855</v>
      </c>
      <c r="L236" s="1573">
        <v>1000</v>
      </c>
    </row>
    <row r="237" spans="1:12" x14ac:dyDescent="0.2">
      <c r="A237" s="1274" t="s">
        <v>164</v>
      </c>
      <c r="B237" s="503">
        <v>2190</v>
      </c>
      <c r="C237" s="1673"/>
      <c r="D237" s="1573">
        <v>9581</v>
      </c>
      <c r="E237" s="1673"/>
      <c r="F237" s="1673"/>
      <c r="G237" s="1673"/>
      <c r="H237" s="1673"/>
      <c r="I237" s="1673"/>
      <c r="J237" s="1673"/>
      <c r="K237" s="1672">
        <f t="shared" si="20"/>
        <v>9581</v>
      </c>
      <c r="L237" s="1573">
        <v>8500</v>
      </c>
    </row>
    <row r="238" spans="1:12" ht="12.75" customHeight="1" thickBot="1" x14ac:dyDescent="0.25">
      <c r="A238" s="1380" t="s">
        <v>556</v>
      </c>
      <c r="B238" s="1383" t="s">
        <v>711</v>
      </c>
      <c r="C238" s="1673"/>
      <c r="D238" s="1674">
        <f>SUM(D232:D237)</f>
        <v>26959</v>
      </c>
      <c r="E238" s="1673"/>
      <c r="F238" s="1673"/>
      <c r="G238" s="1673"/>
      <c r="H238" s="1673"/>
      <c r="I238" s="1673"/>
      <c r="J238" s="1673"/>
      <c r="K238" s="1674">
        <f>SUM(K232:K237)</f>
        <v>26959</v>
      </c>
      <c r="L238" s="1674">
        <f>SUM(L232:L237)</f>
        <v>27000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1414</v>
      </c>
      <c r="E241" s="1673"/>
      <c r="F241" s="1673"/>
      <c r="G241" s="1673"/>
      <c r="H241" s="1673"/>
      <c r="I241" s="1673"/>
      <c r="J241" s="1673"/>
      <c r="K241" s="1678">
        <f>D241</f>
        <v>1414</v>
      </c>
      <c r="L241" s="1573">
        <v>2500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1414</v>
      </c>
      <c r="E243" s="1673"/>
      <c r="F243" s="1673"/>
      <c r="G243" s="1673"/>
      <c r="H243" s="1673"/>
      <c r="I243" s="1673"/>
      <c r="J243" s="1673"/>
      <c r="K243" s="1674">
        <f>SUM(K240:K242)</f>
        <v>1414</v>
      </c>
      <c r="L243" s="1674">
        <f>SUM(L240:L242)</f>
        <v>2500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9638</v>
      </c>
      <c r="E246" s="1673"/>
      <c r="F246" s="1673"/>
      <c r="G246" s="1673"/>
      <c r="H246" s="1673"/>
      <c r="I246" s="1673"/>
      <c r="J246" s="1673"/>
      <c r="K246" s="1678">
        <f t="shared" ref="K246:K256" si="21">D246</f>
        <v>9638</v>
      </c>
      <c r="L246" s="1573">
        <v>16000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9638</v>
      </c>
      <c r="E257" s="1673"/>
      <c r="F257" s="1673"/>
      <c r="G257" s="1673"/>
      <c r="H257" s="1673"/>
      <c r="I257" s="1673"/>
      <c r="J257" s="1673"/>
      <c r="K257" s="1674">
        <f>SUM(K245:K256)</f>
        <v>9638</v>
      </c>
      <c r="L257" s="1674">
        <f>SUM(L245:L256)</f>
        <v>16000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28998</v>
      </c>
      <c r="E259" s="1673"/>
      <c r="F259" s="1673"/>
      <c r="G259" s="1673"/>
      <c r="H259" s="1673"/>
      <c r="I259" s="1673"/>
      <c r="J259" s="1673"/>
      <c r="K259" s="1678">
        <f>D259</f>
        <v>28998</v>
      </c>
      <c r="L259" s="1586">
        <v>29000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28998</v>
      </c>
      <c r="E261" s="1673"/>
      <c r="F261" s="1673"/>
      <c r="G261" s="1673"/>
      <c r="H261" s="1673"/>
      <c r="I261" s="1673"/>
      <c r="J261" s="1673"/>
      <c r="K261" s="1674">
        <f>SUM(K259:K260)</f>
        <v>28998</v>
      </c>
      <c r="L261" s="1674">
        <f>SUM(L259:L260)</f>
        <v>29000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37897</v>
      </c>
      <c r="E264" s="1673"/>
      <c r="F264" s="1673"/>
      <c r="G264" s="1673"/>
      <c r="H264" s="1673"/>
      <c r="I264" s="1673"/>
      <c r="J264" s="1673"/>
      <c r="K264" s="1678">
        <f t="shared" ref="K264:K269" si="22">D264</f>
        <v>37897</v>
      </c>
      <c r="L264" s="1573">
        <v>38000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111223</v>
      </c>
      <c r="E266" s="1673"/>
      <c r="F266" s="1673"/>
      <c r="G266" s="1673"/>
      <c r="H266" s="1673"/>
      <c r="I266" s="1673"/>
      <c r="J266" s="1673"/>
      <c r="K266" s="1678">
        <f t="shared" si="22"/>
        <v>111223</v>
      </c>
      <c r="L266" s="1573">
        <v>121500</v>
      </c>
    </row>
    <row r="267" spans="1:14" x14ac:dyDescent="0.2">
      <c r="A267" s="1274" t="s">
        <v>947</v>
      </c>
      <c r="B267" s="503">
        <v>2550</v>
      </c>
      <c r="C267" s="1673"/>
      <c r="D267" s="1573">
        <v>100267</v>
      </c>
      <c r="E267" s="1673"/>
      <c r="F267" s="1673"/>
      <c r="G267" s="1673"/>
      <c r="H267" s="1673"/>
      <c r="I267" s="1673"/>
      <c r="J267" s="1673"/>
      <c r="K267" s="1678">
        <f t="shared" si="22"/>
        <v>100267</v>
      </c>
      <c r="L267" s="1573">
        <v>108000</v>
      </c>
    </row>
    <row r="268" spans="1:14" x14ac:dyDescent="0.2">
      <c r="A268" s="1274" t="s">
        <v>100</v>
      </c>
      <c r="B268" s="503">
        <v>2560</v>
      </c>
      <c r="C268" s="1673"/>
      <c r="D268" s="1573">
        <v>21017</v>
      </c>
      <c r="E268" s="1673"/>
      <c r="F268" s="1673"/>
      <c r="G268" s="1673"/>
      <c r="H268" s="1673"/>
      <c r="I268" s="1673"/>
      <c r="J268" s="1673"/>
      <c r="K268" s="1678">
        <f t="shared" si="22"/>
        <v>21017</v>
      </c>
      <c r="L268" s="1573">
        <v>25000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270404</v>
      </c>
      <c r="E270" s="1673"/>
      <c r="F270" s="1673"/>
      <c r="G270" s="1673"/>
      <c r="H270" s="1673"/>
      <c r="I270" s="1673"/>
      <c r="J270" s="1673"/>
      <c r="K270" s="1674">
        <f>SUM(K263:K269)</f>
        <v>270404</v>
      </c>
      <c r="L270" s="1674">
        <f>SUM(L263:L269)</f>
        <v>292500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337413</v>
      </c>
      <c r="E279" s="1673"/>
      <c r="F279" s="1673"/>
      <c r="G279" s="1673"/>
      <c r="H279" s="1673"/>
      <c r="I279" s="1673"/>
      <c r="J279" s="1673"/>
      <c r="K279" s="1681">
        <f>SUM(K238,K243,K257,K261,K270,K277,K278)</f>
        <v>337413</v>
      </c>
      <c r="L279" s="1681">
        <f>SUM(L238,L243,L257,L261,L270,L277,L278)</f>
        <v>367000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420762</v>
      </c>
      <c r="E295" s="1673"/>
      <c r="F295" s="1673"/>
      <c r="G295" s="1673"/>
      <c r="H295" s="1674">
        <f>H293</f>
        <v>0</v>
      </c>
      <c r="I295" s="1673"/>
      <c r="J295" s="1673"/>
      <c r="K295" s="1674">
        <f>SUM(K229,K279,K280,K285,K293,K294)</f>
        <v>420762</v>
      </c>
      <c r="L295" s="1674">
        <f>SUM(L229,L279,L280,L285,L293,L294)</f>
        <v>459000</v>
      </c>
    </row>
    <row r="296" spans="1:14" ht="13.5" thickTop="1" x14ac:dyDescent="0.2">
      <c r="A296" s="2286" t="s">
        <v>989</v>
      </c>
      <c r="B296" s="2287"/>
      <c r="C296" s="1673"/>
      <c r="D296" s="1675"/>
      <c r="E296" s="1673"/>
      <c r="F296" s="1673"/>
      <c r="G296" s="1673"/>
      <c r="H296" s="1707"/>
      <c r="I296" s="1673"/>
      <c r="J296" s="1673"/>
      <c r="K296" s="1689">
        <f>'Revenues 9-14'!G268-'Expenditures 15-22'!K295</f>
        <v>163786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3800</v>
      </c>
      <c r="F301" s="1573"/>
      <c r="G301" s="1573">
        <v>2339</v>
      </c>
      <c r="H301" s="1573"/>
      <c r="I301" s="1574"/>
      <c r="J301" s="1574"/>
      <c r="K301" s="1672">
        <f>SUM(C301:J301)</f>
        <v>6139</v>
      </c>
      <c r="L301" s="1574">
        <v>2000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3800</v>
      </c>
      <c r="F303" s="1681">
        <f t="shared" si="23"/>
        <v>0</v>
      </c>
      <c r="G303" s="1681">
        <f t="shared" si="23"/>
        <v>2339</v>
      </c>
      <c r="H303" s="1681">
        <f t="shared" si="23"/>
        <v>0</v>
      </c>
      <c r="I303" s="1681">
        <f t="shared" si="23"/>
        <v>0</v>
      </c>
      <c r="J303" s="1681">
        <f t="shared" si="23"/>
        <v>0</v>
      </c>
      <c r="K303" s="1681">
        <f t="shared" si="23"/>
        <v>6139</v>
      </c>
      <c r="L303" s="1681">
        <f t="shared" si="23"/>
        <v>2000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3800</v>
      </c>
      <c r="F312" s="1674">
        <f>SUM(F303)</f>
        <v>0</v>
      </c>
      <c r="G312" s="1674">
        <f>SUM(G303)</f>
        <v>2339</v>
      </c>
      <c r="H312" s="1674">
        <f>SUM(H303,H310)</f>
        <v>0</v>
      </c>
      <c r="I312" s="1674">
        <f>SUM(I303)</f>
        <v>0</v>
      </c>
      <c r="J312" s="1674">
        <f>SUM(J303)</f>
        <v>0</v>
      </c>
      <c r="K312" s="1674">
        <f>SUM(K303,K310,K311)</f>
        <v>6139</v>
      </c>
      <c r="L312" s="1674">
        <f>SUM(L303,L310,L311)</f>
        <v>2000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-6139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53490</v>
      </c>
      <c r="F320" s="1574"/>
      <c r="G320" s="1574"/>
      <c r="H320" s="1574"/>
      <c r="I320" s="1574"/>
      <c r="J320" s="1574"/>
      <c r="K320" s="1672">
        <f t="shared" ref="K320:K327" si="24">SUM(C320:J320)</f>
        <v>53490</v>
      </c>
      <c r="L320" s="1574">
        <v>57000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28884</v>
      </c>
      <c r="F322" s="1574"/>
      <c r="G322" s="1574"/>
      <c r="H322" s="1574"/>
      <c r="I322" s="1574"/>
      <c r="J322" s="1574"/>
      <c r="K322" s="1672">
        <f t="shared" si="24"/>
        <v>28884</v>
      </c>
      <c r="L322" s="1574">
        <v>5000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4000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22050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4000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82374</v>
      </c>
      <c r="F330" s="1674">
        <f t="shared" si="25"/>
        <v>0</v>
      </c>
      <c r="G330" s="1674">
        <f t="shared" si="25"/>
        <v>0</v>
      </c>
      <c r="H330" s="1674">
        <f t="shared" si="25"/>
        <v>0</v>
      </c>
      <c r="I330" s="1674">
        <f t="shared" si="25"/>
        <v>0</v>
      </c>
      <c r="J330" s="1674">
        <f t="shared" si="25"/>
        <v>0</v>
      </c>
      <c r="K330" s="1674">
        <f>SUM(K319:K329)</f>
        <v>82374</v>
      </c>
      <c r="L330" s="1674">
        <f>SUM(L319:L329)</f>
        <v>92050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82374</v>
      </c>
      <c r="F342" s="1674">
        <f>SUM(F330)</f>
        <v>0</v>
      </c>
      <c r="G342" s="1674">
        <f>SUM(G330)</f>
        <v>0</v>
      </c>
      <c r="H342" s="1674">
        <f>SUM(H330,H334,H340)</f>
        <v>0</v>
      </c>
      <c r="I342" s="1674">
        <f>SUM(I330)</f>
        <v>0</v>
      </c>
      <c r="J342" s="1674">
        <f>SUM(J330)</f>
        <v>0</v>
      </c>
      <c r="K342" s="1674">
        <f>SUM(K330,K334,K340)</f>
        <v>82374</v>
      </c>
      <c r="L342" s="1681">
        <f>SUM(L330,L334,L340,L341)</f>
        <v>92050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-82374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v>10000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10000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10000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10000</v>
      </c>
    </row>
    <row r="368" spans="1:14" ht="13.5" thickTop="1" x14ac:dyDescent="0.2">
      <c r="A368" s="2286" t="s">
        <v>989</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www.w3.org/XML/1998/namespace"/>
    <ds:schemaRef ds:uri="http://purl.org/dc/terms/"/>
    <ds:schemaRef ds:uri="4d435f69-8686-490b-bd6d-b153bf22ab50"/>
    <ds:schemaRef ds:uri="d21dc803-237d-4c68-8692-8d731fd29118"/>
    <ds:schemaRef ds:uri="http://schemas.microsoft.com/office/infopath/2007/PartnerControls"/>
    <ds:schemaRef ds:uri="6ce3111e-7420-4802-b50a-75d4e9a0b980"/>
    <ds:schemaRef ds:uri="http://purl.org/dc/dcmitype/"/>
    <ds:schemaRef ds:uri="http://schemas.microsoft.com/sharepoint/v3"/>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2020-11-19T20:08:45Z</cp:lastPrinted>
  <dcterms:created xsi:type="dcterms:W3CDTF">2003-10-29T19:06:34Z</dcterms:created>
  <dcterms:modified xsi:type="dcterms:W3CDTF">2020-11-19T20:09:04Z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