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F0215E0-686F-4765-9893-532DA39AF282}"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8" i="185" l="1"/>
  <c r="L27" i="187"/>
  <c r="L26" i="187"/>
  <c r="L25" i="187"/>
  <c r="L24" i="187"/>
  <c r="L23" i="187"/>
  <c r="L22" i="187"/>
  <c r="L21" i="187"/>
  <c r="L20" i="187"/>
  <c r="L19" i="187"/>
  <c r="L18" i="187"/>
  <c r="L17" i="187"/>
  <c r="L16" i="187"/>
  <c r="L15" i="187"/>
  <c r="L14" i="187"/>
  <c r="L13" i="187"/>
  <c r="L12" i="187"/>
  <c r="L11" i="187"/>
  <c r="I9" i="187"/>
  <c r="G9" i="187"/>
  <c r="F9" i="187"/>
  <c r="E9" i="187"/>
  <c r="J8" i="187"/>
  <c r="H8" i="187"/>
  <c r="L27" i="186" l="1"/>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98" i="106"/>
  <c r="D7198" i="106" s="1"/>
  <c r="E65" i="184"/>
  <c r="N65" i="184" s="1"/>
  <c r="B7180" i="106"/>
  <c r="D7180" i="106" s="1"/>
  <c r="E63" i="184"/>
  <c r="N63" i="184" s="1"/>
  <c r="F36" i="34"/>
  <c r="B7828" i="106" s="1"/>
  <c r="D7828" i="106" s="1"/>
  <c r="H342" i="29"/>
  <c r="B7696" i="106"/>
  <c r="D7696" i="106" s="1"/>
  <c r="E66" i="184"/>
  <c r="N66" i="184" s="1"/>
  <c r="B7189" i="106"/>
  <c r="D7189" i="106" s="1"/>
  <c r="E64" i="184"/>
  <c r="N64" i="184" s="1"/>
  <c r="B7171" i="106"/>
  <c r="D7171" i="106" s="1"/>
  <c r="E62" i="184"/>
  <c r="N62" i="184" s="1"/>
  <c r="B7162" i="106"/>
  <c r="D7162" i="106" s="1"/>
  <c r="E61" i="184"/>
  <c r="N61" i="184" s="1"/>
  <c r="B7126" i="106"/>
  <c r="D7126" i="106" s="1"/>
  <c r="E57" i="184"/>
  <c r="N57" i="184" s="1"/>
  <c r="G33" i="108"/>
  <c r="E17" i="184"/>
  <c r="H17" i="184" s="1"/>
  <c r="B7153" i="106"/>
  <c r="D7153" i="106" s="1"/>
  <c r="E60" i="184"/>
  <c r="N60" i="184" s="1"/>
  <c r="B7135" i="106"/>
  <c r="D7135" i="106" s="1"/>
  <c r="E58" i="184"/>
  <c r="D31" i="108"/>
  <c r="E16" i="184"/>
  <c r="H16" i="184" s="1"/>
  <c r="G30" i="108"/>
  <c r="H12" i="184"/>
  <c r="H19" i="184" s="1"/>
  <c r="L20" i="184" s="1"/>
  <c r="E19"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B6216" i="106"/>
  <c r="D6216" i="106" s="1"/>
  <c r="K342" i="29"/>
  <c r="F13" i="34" s="1"/>
  <c r="N58" i="184"/>
  <c r="N68" i="184" s="1"/>
  <c r="E68" i="184"/>
  <c r="F41" i="108"/>
  <c r="G43" i="108" s="1"/>
  <c r="B1381" i="106"/>
  <c r="D1381" i="106" s="1"/>
  <c r="L114" i="29"/>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<sst xmlns="http://schemas.openxmlformats.org/spreadsheetml/2006/main" count="5378" uniqueCount="2148">
  <si>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</si>
  <si>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</si>
  <si>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</si>
  <si>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</si>
  <si>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</si>
  <si>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</si>
  <si>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</si>
  <si>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</si>
  <si>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</si>
  <si>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</si>
  <si>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</si>
  <si>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</si>
  <si>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</si>
  <si>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</si>
  <si>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</si>
  <si>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</si>
  <si>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</si>
  <si>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</si>
  <si>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</si>
  <si>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</si>
  <si>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</si>
  <si>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</si>
  <si>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</si>
  <si>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</si>
  <si>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</si>
  <si>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</si>
  <si>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</si>
  <si>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</si>
  <si>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</si>
  <si>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</si>
  <si>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</si>
  <si>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</si>
  <si>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</si>
  <si>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</si>
  <si>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</si>
  <si>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</si>
  <si>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</si>
  <si>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</si>
  <si>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</si>
  <si>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</si>
  <si>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</si>
  <si>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</si>
  <si>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</si>
  <si>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</si>
  <si>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</si>
  <si>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</si>
  <si>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</si>
  <si>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</si>
  <si>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</si>
  <si>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</si>
  <si>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</si>
  <si>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</si>
  <si>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</si>
  <si>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</si>
  <si>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</si>
  <si>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</si>
  <si>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</si>
  <si>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</si>
  <si>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</si>
  <si>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</si>
  <si>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</si>
  <si>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</si>
  <si>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</si>
  <si>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</si>
  <si>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</si>
  <si>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</si>
  <si>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</si>
  <si>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</si>
  <si>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</si>
  <si>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</si>
  <si>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</si>
  <si>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</si>
  <si>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</si>
  <si>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</si>
  <si>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</si>
  <si>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</si>
  <si>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</si>
  <si>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</si>
  <si>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</si>
  <si>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</si>
  <si>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</si>
  <si>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</si>
  <si>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</si>
  <si>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</si>
  <si>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</si>
  <si>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</si>
  <si>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</si>
  <si>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</si>
  <si>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</si>
  <si>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</si>
  <si>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</si>
  <si>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</si>
  <si>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</si>
  <si>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</si>
  <si>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</si>
  <si>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</si>
  <si>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</si>
  <si>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</si>
  <si>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</si>
  <si>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</si>
  <si>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</si>
  <si>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</si>
  <si>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</si>
  <si>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</si>
  <si>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</si>
  <si>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</si>
  <si>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</si>
  <si>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</si>
  <si>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</si>
  <si>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</si>
  <si>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</si>
  <si>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</si>
  <si>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</si>
  <si>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</si>
  <si>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</si>
  <si>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</si>
  <si>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</si>
  <si>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</si>
  <si>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</si>
  <si>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</si>
  <si>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</si>
  <si>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</si>
  <si>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</si>
  <si>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</si>
  <si>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</si>
  <si>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</si>
  <si>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</si>
  <si>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</si>
  <si>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</si>
  <si>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</si>
  <si>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</si>
  <si>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</si>
  <si>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</si>
  <si>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</si>
  <si>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</si>
  <si>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</si>
  <si>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</si>
  <si>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</si>
  <si>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</si>
  <si>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</si>
  <si>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</si>
  <si>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</si>
  <si>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</si>
  <si>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</si>
  <si>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</si>
  <si>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</si>
  <si>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</si>
  <si>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</si>
  <si>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</si>
  <si>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</si>
  <si>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</si>
  <si>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</si>
  <si>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</si>
  <si>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</si>
  <si>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</si>
  <si>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</si>
  <si>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</si>
  <si>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</si>
  <si>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</si>
  <si>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</si>
  <si>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</si>
  <si>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</si>
  <si>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</si>
  <si>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</si>
  <si>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</si>
  <si>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</si>
  <si>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</si>
  <si>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</si>
  <si>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</si>
  <si>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</si>
  <si>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</si>
  <si>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</si>
  <si>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</si>
  <si>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</si>
  <si>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</si>
  <si>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</si>
  <si>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</si>
  <si>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</si>
  <si>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</si>
  <si>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</si>
  <si>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</si>
  <si>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</si>
  <si>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</si>
  <si>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</si>
  <si>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</si>
  <si>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</si>
  <si>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</si>
  <si>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</si>
  <si>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</si>
  <si>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</si>
  <si>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</si>
  <si>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</si>
  <si>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</si>
  <si>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</si>
  <si>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</si>
  <si>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</si>
  <si>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</si>
  <si>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</si>
  <si>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</si>
  <si>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</si>
  <si>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</si>
  <si>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</si>
  <si>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</si>
  <si>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</si>
  <si>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</si>
  <si>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</si>
  <si>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</si>
  <si>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</si>
  <si>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</si>
  <si>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</si>
  <si>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</si>
  <si>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</si>
  <si>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</si>
  <si>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</si>
  <si>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</si>
  <si>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</si>
  <si>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</si>
  <si>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</si>
  <si>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</si>
  <si>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</si>
  <si>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</si>
  <si>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</si>
  <si>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</si>
  <si>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</si>
  <si>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</si>
  <si>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</si>
  <si>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</si>
  <si>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</si>
  <si>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</si>
  <si>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</si>
  <si>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</si>
  <si>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</si>
  <si>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</si>
  <si>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</si>
  <si>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</si>
  <si>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</si>
  <si>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</si>
  <si>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</si>
  <si>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</si>
  <si>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</si>
  <si>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</si>
  <si>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</si>
  <si>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</si>
  <si>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</si>
  <si>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</si>
  <si>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</si>
  <si>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</si>
  <si>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</si>
  <si>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</si>
  <si>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</si>
  <si>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</si>
  <si>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</si>
  <si>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</si>
  <si>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</si>
  <si>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</si>
  <si>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</si>
  <si>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</si>
  <si>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</si>
  <si>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</si>
  <si>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</si>
  <si>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</si>
  <si>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</si>
  <si>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</si>
  <si>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</si>
  <si>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</si>
  <si>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</si>
  <si>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</si>
  <si>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</si>
  <si>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</si>
  <si>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</si>
  <si>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</si>
  <si>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</si>
  <si>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</si>
  <si>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</si>
  <si>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</si>
  <si>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</si>
  <si>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</si>
  <si>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</si>
  <si>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</si>
  <si>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</si>
  <si>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</si>
  <si>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</si>
  <si>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</si>
  <si>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</si>
  <si>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</si>
  <si>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</si>
  <si>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</si>
  <si>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</si>
  <si>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</si>
  <si>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</si>
  <si>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</si>
  <si>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</si>
  <si>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</si>
  <si>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</si>
  <si>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</si>
  <si>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</si>
  <si>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</si>
  <si>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</si>
  <si>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</si>
  <si>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</si>
  <si>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</si>
  <si>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</si>
  <si>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</si>
  <si>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</si>
  <si>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</si>
  <si>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</si>
  <si>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</si>
  <si>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</si>
  <si>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</si>
  <si>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</si>
  <si>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</si>
  <si>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</si>
  <si>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</si>
  <si>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</si>
  <si>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</si>
  <si>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</si>
  <si>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</si>
  <si>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</si>
  <si>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</si>
  <si>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</si>
  <si>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</si>
  <si>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</si>
  <si>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</si>
  <si>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</si>
  <si>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</si>
  <si>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</si>
  <si>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</si>
  <si>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</si>
  <si>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</si>
  <si>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</si>
  <si>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</si>
  <si>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</si>
  <si>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</si>
  <si>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</si>
  <si>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</si>
  <si>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</si>
  <si>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</si>
  <si>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</si>
  <si>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</si>
  <si>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</si>
  <si>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</si>
  <si>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</si>
  <si>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</si>
  <si>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</si>
  <si>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</si>
  <si>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</si>
  <si>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</si>
  <si>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</si>
  <si>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</si>
  <si>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</si>
  <si>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</si>
  <si>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</si>
  <si>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</si>
  <si>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</si>
  <si>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</si>
  <si>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</si>
  <si>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</si>
  <si>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</si>
  <si>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</si>
  <si>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</si>
  <si>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</si>
  <si>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</si>
  <si>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</si>
  <si>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</si>
  <si>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</si>
  <si>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</si>
  <si>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</si>
  <si>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</si>
  <si>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</si>
  <si>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</si>
  <si>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</si>
  <si>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</si>
  <si>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</si>
  <si>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</si>
  <si>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</si>
  <si>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</si>
  <si>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</si>
  <si>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</si>
  <si>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</si>
  <si>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</si>
  <si>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</si>
  <si>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</si>
  <si>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</si>
  <si>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</si>
  <si>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</si>
  <si>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</si>
  <si>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</si>
  <si>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</si>
  <si>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</si>
  <si>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</si>
  <si>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</si>
  <si>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</si>
  <si>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</si>
  <si>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</si>
  <si>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</si>
  <si>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</si>
  <si>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</si>
  <si>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</si>
  <si>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</si>
  <si>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</si>
  <si>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</si>
  <si>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</si>
  <si>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</si>
  <si>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</si>
  <si>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</si>
  <si>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</si>
  <si>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</si>
  <si>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</si>
  <si>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</si>
  <si>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</si>
  <si>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</si>
  <si>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</si>
  <si>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</si>
  <si>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</si>
  <si>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</si>
  <si>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</si>
  <si>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</si>
  <si>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</si>
  <si>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</si>
  <si>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</si>
  <si>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</si>
  <si>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</si>
  <si>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</si>
  <si>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</si>
  <si>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</si>
  <si>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</si>
  <si>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</si>
  <si>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</si>
  <si>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</si>
  <si>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</si>
  <si>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</si>
  <si>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</si>
  <si>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</si>
  <si>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</si>
  <si>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</si>
  <si>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</si>
  <si>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</si>
  <si>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</si>
  <si>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</si>
  <si>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</si>
  <si>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</si>
  <si>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</si>
  <si>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</si>
  <si>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</si>
  <si>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</si>
  <si>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</si>
  <si>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</si>
  <si>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</si>
  <si>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</si>
  <si>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</si>
  <si>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</si>
  <si>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</si>
  <si>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</si>
  <si>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</si>
  <si>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</si>
  <si>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</si>
  <si>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</si>
  <si>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</si>
  <si>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</si>
  <si>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</si>
  <si>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</si>
  <si>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</si>
  <si>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</si>
  <si>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</si>
  <si>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</si>
  <si>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</si>
  <si>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</si>
  <si>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</si>
  <si>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</si>
  <si>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</si>
  <si>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</si>
  <si>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</si>
  <si>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</si>
  <si>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</si>
  <si>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</si>
  <si>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</si>
  <si>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</si>
  <si>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</si>
  <si>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</si>
  <si>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</si>
  <si>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</si>
  <si>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</si>
  <si>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</si>
  <si>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</si>
  <si>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</si>
  <si>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</si>
  <si>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</si>
  <si>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</si>
  <si>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</si>
  <si>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</si>
  <si>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</si>
  <si>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</si>
  <si>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</si>
  <si>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</si>
  <si>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</si>
  <si>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</si>
  <si>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</si>
  <si>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</si>
  <si>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</si>
  <si>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</si>
  <si>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</si>
  <si>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</si>
  <si>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</si>
  <si>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</si>
  <si>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</si>
  <si>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</si>
  <si>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</si>
  <si>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</si>
  <si>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</si>
  <si>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</si>
  <si>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</si>
  <si>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</si>
  <si>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</si>
  <si>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</si>
  <si>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</si>
  <si>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</si>
  <si>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</si>
  <si>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</si>
  <si>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</si>
  <si>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</si>
  <si>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</si>
  <si>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</si>
  <si>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</si>
  <si>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</si>
  <si>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</si>
  <si>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</si>
  <si>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</si>
  <si>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</si>
  <si>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</si>
  <si>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</si>
  <si>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</si>
  <si>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</si>
  <si>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</si>
  <si>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</si>
  <si>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</si>
  <si>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</si>
  <si>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</si>
  <si>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</si>
  <si>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</si>
  <si>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</si>
  <si>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</si>
  <si>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</si>
  <si>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</si>
  <si>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</si>
  <si>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</si>
  <si>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</si>
  <si>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</si>
  <si>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</si>
  <si>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</si>
  <si>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</si>
  <si>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</si>
  <si>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</si>
  <si>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</si>
  <si>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</si>
  <si>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</si>
  <si>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</si>
  <si>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</si>
  <si>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</si>
  <si>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</si>
  <si>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</si>
  <si>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</si>
  <si>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</si>
  <si>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</si>
  <si>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</si>
  <si>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</si>
  <si>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</si>
  <si>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</si>
  <si>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</si>
  <si>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</si>
  <si>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</si>
  <si>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</si>
  <si>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</si>
  <si>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</si>
  <si>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</si>
  <si>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</si>
  <si>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</si>
  <si>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</si>
  <si>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</si>
  <si>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</si>
  <si>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</si>
  <si>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</si>
  <si>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</si>
  <si>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</si>
  <si>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</si>
  <si>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</si>
  <si>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</si>
  <si>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</si>
  <si>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</si>
  <si>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</si>
  <si>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</si>
  <si>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</si>
  <si>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</si>
  <si>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</si>
  <si>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</si>
  <si>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</si>
  <si>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</si>
  <si>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</si>
  <si>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</si>
  <si>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</si>
  <si>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</si>
  <si>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</si>
  <si>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</si>
  <si>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</si>
  <si>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</si>
  <si>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</si>
  <si>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</si>
  <si>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</si>
  <si>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</si>
  <si>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</si>
  <si>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</si>
  <si>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</si>
  <si>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</si>
  <si>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</si>
  <si>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</si>
  <si>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</si>
  <si>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</si>
  <si>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</si>
  <si>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</si>
  <si>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</si>
  <si>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</si>
  <si>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</si>
  <si>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</si>
  <si>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</si>
  <si>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</si>
  <si>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</si>
  <si>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</si>
  <si>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</si>
  <si>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</si>
  <si>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</si>
  <si>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</si>
  <si>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</si>
  <si>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</si>
  <si>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</si>
  <si>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</si>
  <si>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</si>
  <si>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</si>
  <si>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</si>
  <si>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</si>
  <si>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</si>
  <si>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</si>
  <si>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</si>
  <si>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</si>
  <si>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</si>
  <si>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</si>
  <si>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</si>
  <si>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</si>
  <si>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</si>
  <si>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</si>
  <si>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</si>
  <si>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</si>
  <si>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</si>
  <si>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</si>
  <si>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</si>
  <si>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</si>
  <si>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</si>
  <si>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</si>
  <si>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</si>
  <si>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</si>
  <si>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</si>
  <si>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</si>
  <si>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</si>
  <si>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</si>
  <si>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</si>
  <si>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</si>
  <si>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</si>
  <si>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</si>
  <si>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</si>
  <si>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</si>
  <si>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</si>
  <si>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</si>
  <si>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</si>
  <si>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</si>
  <si>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</si>
  <si>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</si>
  <si>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</si>
  <si>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</si>
  <si>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</si>
  <si>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</si>
  <si>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</si>
  <si>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</si>
  <si>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</si>
  <si>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</si>
  <si>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</si>
  <si>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</si>
  <si>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</si>
  <si>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</si>
  <si>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</si>
  <si>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</si>
  <si>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</si>
  <si>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</si>
  <si>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</si>
  <si>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</si>
  <si>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</si>
  <si>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</si>
  <si>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</si>
  <si>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</si>
  <si>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</si>
  <si>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</si>
  <si>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</si>
  <si>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</si>
  <si>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</si>
  <si>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</si>
  <si>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</si>
  <si>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</si>
  <si>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</si>
  <si>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</si>
  <si>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</si>
  <si>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</si>
  <si>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</si>
  <si>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</si>
  <si>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</si>
  <si>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</si>
  <si>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</si>
  <si>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</si>
  <si>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</si>
  <si>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</si>
  <si>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</si>
  <si>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</si>
  <si>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</si>
  <si>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</si>
  <si>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</si>
  <si>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</si>
  <si>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</si>
  <si>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</si>
  <si>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</si>
  <si>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</si>
  <si>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</si>
  <si>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</si>
  <si>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</si>
  <si>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</si>
  <si>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</si>
  <si>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</si>
  <si>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</si>
  <si>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</si>
  <si>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</si>
  <si>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</si>
  <si>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</si>
  <si>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</si>
  <si>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</si>
  <si>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</si>
  <si>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</si>
  <si>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</si>
  <si>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</si>
  <si>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</si>
  <si>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</si>
  <si>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</si>
  <si>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</si>
  <si>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</si>
  <si>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</si>
  <si>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</si>
  <si>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</si>
  <si>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</si>
  <si>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</si>
  <si>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</si>
  <si>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</si>
  <si>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</si>
  <si>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</si>
  <si>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</si>
  <si>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</si>
  <si>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</si>
  <si>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</si>
  <si>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</si>
  <si>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</si>
  <si>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</si>
  <si>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</si>
  <si>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</si>
  <si>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</si>
  <si>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</si>
  <si>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</si>
  <si>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</si>
  <si>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</si>
  <si>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</si>
  <si>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</si>
  <si>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</si>
  <si>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</si>
  <si>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</si>
  <si>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</si>
  <si>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</si>
  <si>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</si>
  <si>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</si>
  <si>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</si>
  <si>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</si>
  <si>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</si>
  <si>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</si>
  <si>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</si>
  <si>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</si>
  <si>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</si>
  <si>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</si>
  <si>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</si>
  <si>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</si>
  <si>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</si>
  <si>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</si>
  <si>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</si>
  <si>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</si>
  <si>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</si>
  <si>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</si>
  <si>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</si>
  <si>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</si>
  <si>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</si>
  <si>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</si>
  <si>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</si>
  <si>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</si>
  <si>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</si>
  <si>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</si>
  <si>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</si>
  <si>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</si>
  <si>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</si>
  <si>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</si>
  <si>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</si>
  <si>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</si>
  <si>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</si>
  <si>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</si>
  <si>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</si>
  <si>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</si>
  <si>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</si>
  <si>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</si>
  <si>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</si>
  <si>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</si>
  <si>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</si>
  <si>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</si>
  <si>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</si>
  <si>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</si>
  <si>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</si>
  <si>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</si>
  <si>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</si>
  <si>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</si>
  <si>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</si>
  <si>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</si>
  <si>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</si>
  <si>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</si>
  <si>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</si>
  <si>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</si>
  <si>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</si>
  <si>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</si>
  <si>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</si>
  <si>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</si>
  <si>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</si>
  <si>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</si>
  <si>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</si>
  <si>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</si>
  <si>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</si>
  <si>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</si>
  <si>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</si>
  <si>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</si>
  <si>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</si>
  <si>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</si>
  <si>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</si>
  <si>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</si>
  <si>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</si>
  <si>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</si>
  <si>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</si>
  <si>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</si>
  <si>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</si>
  <si>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</si>
  <si>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</si>
  <si>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</si>
  <si>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</si>
  <si>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</si>
  <si>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</si>
  <si>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</si>
  <si>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</si>
  <si>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</si>
  <si>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</si>
  <si>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</si>
  <si>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</si>
  <si>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</si>
  <si>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</si>
  <si>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</si>
  <si>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</si>
  <si>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</si>
  <si>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</si>
  <si>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</si>
  <si>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</si>
  <si>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</si>
  <si>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</si>
  <si>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</si>
  <si>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</si>
  <si>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</si>
  <si>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</si>
  <si>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</si>
  <si>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</si>
  <si>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</si>
  <si>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</si>
  <si>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</si>
  <si>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</si>
  <si>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</si>
  <si>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</si>
  <si>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</si>
  <si>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</si>
  <si>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</si>
  <si>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</si>
  <si>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</si>
  <si>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</si>
  <si>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</si>
  <si>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</si>
  <si>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</si>
  <si>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</si>
  <si>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</si>
  <si>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</si>
  <si>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</si>
  <si>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</si>
  <si>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</si>
  <si>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</si>
  <si>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</si>
  <si>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</si>
  <si>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</si>
  <si>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</si>
  <si>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</si>
  <si>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</si>
  <si>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</si>
  <si>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</si>
  <si>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</si>
  <si>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</si>
  <si>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</si>
  <si>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</si>
  <si>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</si>
  <si>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</si>
  <si>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</si>
  <si>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</si>
  <si>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</si>
  <si>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</si>
  <si>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</si>
  <si>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</si>
  <si>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</si>
  <si>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</si>
  <si>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</si>
  <si>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</si>
  <si>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</si>
  <si>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</si>
  <si>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</si>
  <si>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</si>
  <si>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</si>
  <si>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</si>
  <si>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</si>
  <si>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</si>
  <si>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</si>
  <si>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</si>
  <si>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</si>
  <si>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</si>
  <si>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</si>
  <si>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</si>
  <si>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</si>
  <si>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</si>
  <si>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</si>
  <si>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</si>
  <si>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</si>
  <si>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</si>
  <si>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</si>
  <si>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</si>
  <si>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</si>
  <si>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</si>
  <si>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</si>
  <si>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</si>
  <si>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</si>
  <si>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</si>
  <si>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</si>
  <si>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</si>
  <si>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</si>
  <si>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</si>
  <si>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</si>
  <si>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</si>
  <si>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</si>
  <si>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</si>
  <si>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</si>
  <si>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</si>
  <si>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</si>
  <si>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</si>
  <si>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</si>
  <si>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</si>
  <si>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</si>
  <si>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</si>
  <si>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</si>
  <si>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</si>
  <si>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</si>
  <si>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</si>
  <si>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</si>
  <si>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</si>
  <si>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</si>
  <si>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</si>
  <si>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</si>
  <si>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</si>
  <si>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</si>
  <si>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</si>
  <si>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</si>
  <si>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</si>
  <si>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</si>
  <si>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</si>
  <si>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</si>
  <si>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</si>
  <si>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</si>
  <si>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</si>
  <si>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</si>
  <si>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</si>
  <si>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</si>
  <si>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</si>
  <si>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</si>
  <si>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</si>
  <si>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</si>
  <si>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</si>
  <si>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</si>
  <si>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</si>
  <si>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</si>
  <si>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</si>
  <si>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</si>
  <si>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</si>
  <si>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</si>
  <si>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</si>
  <si>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</si>
  <si>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</si>
  <si>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</si>
  <si>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</si>
  <si>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</si>
  <si>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</si>
  <si>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</si>
  <si>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</si>
  <si>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</si>
  <si>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</si>
  <si>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</si>
  <si>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</si>
  <si>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</si>
  <si>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</si>
  <si>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</si>
  <si>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</si>
  <si>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</si>
  <si>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</si>
  <si>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</si>
  <si>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</si>
  <si>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</si>
  <si>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</si>
  <si>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</si>
  <si>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</si>
  <si>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</si>
  <si>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</si>
  <si>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</si>
  <si>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</si>
  <si>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</si>
  <si>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</si>
  <si>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</si>
  <si>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</si>
  <si>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</si>
  <si>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</si>
  <si>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</si>
  <si>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</si>
  <si>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</si>
  <si>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</si>
  <si>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</si>
  <si>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</si>
  <si>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</si>
  <si>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</si>
  <si>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</si>
  <si>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</si>
  <si>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</si>
  <si>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</si>
  <si>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</si>
  <si>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</si>
  <si>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</si>
  <si>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</si>
  <si>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</si>
  <si>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</si>
  <si>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</si>
  <si>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</si>
  <si>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</si>
  <si>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</si>
  <si>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</si>
  <si>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</si>
  <si>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</si>
  <si>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</si>
  <si>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</si>
  <si>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</si>
  <si>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</si>
  <si>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</si>
  <si>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</si>
  <si>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</si>
  <si>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</si>
  <si>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</si>
  <si>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</si>
  <si>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</si>
  <si>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</si>
  <si>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</si>
  <si>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</si>
  <si>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</si>
  <si>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</si>
  <si>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</si>
  <si>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</si>
  <si>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</si>
  <si>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</si>
  <si>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</si>
  <si>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</si>
  <si>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</si>
  <si>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</si>
  <si>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</si>
  <si>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</si>
  <si>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</si>
  <si>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</si>
  <si>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</si>
  <si>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</si>
  <si>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</si>
  <si>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</si>
  <si>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</si>
  <si>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</si>
  <si>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</si>
  <si>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</si>
  <si>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</si>
  <si>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</si>
  <si>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</si>
  <si>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</si>
  <si>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</si>
  <si>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</si>
  <si>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</si>
  <si>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</si>
  <si>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</si>
  <si>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</si>
  <si>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</si>
  <si>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</si>
  <si>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</si>
  <si>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</si>
  <si>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</si>
  <si>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</si>
  <si>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</si>
  <si>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</si>
  <si>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</si>
  <si>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</si>
  <si>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</si>
  <si>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</si>
  <si>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</si>
  <si>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</si>
  <si>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</si>
  <si>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</si>
  <si>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</si>
  <si>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</si>
  <si>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</si>
  <si>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</si>
  <si>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</si>
  <si>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</si>
  <si>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</si>
  <si>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</si>
  <si>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</si>
  <si>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</si>
  <si>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</si>
  <si>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</si>
  <si>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</si>
  <si>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</si>
  <si>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</si>
  <si>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</si>
  <si>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</si>
  <si>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</si>
  <si>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</si>
  <si>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</si>
  <si>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</si>
  <si>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</si>
  <si>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</si>
  <si>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</si>
  <si>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</si>
  <si>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</si>
  <si>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</si>
  <si>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</si>
  <si>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</si>
  <si>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</si>
  <si>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</si>
  <si>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</si>
  <si>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</si>
  <si>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</si>
  <si>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</si>
  <si>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</si>
  <si>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</si>
  <si>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</si>
  <si>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</si>
  <si>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</si>
  <si>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</si>
  <si>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</si>
  <si>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</si>
  <si>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</si>
  <si>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</si>
  <si>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</si>
  <si>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</si>
  <si>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</si>
  <si>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</si>
  <si>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</si>
  <si>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</si>
  <si>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</si>
  <si>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</si>
  <si>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</si>
  <si>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</si>
  <si>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</si>
  <si>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</si>
  <si>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</si>
  <si>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</si>
  <si>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</si>
  <si>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</si>
  <si>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</si>
  <si>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</si>
  <si>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</si>
  <si>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</si>
  <si>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</si>
  <si>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</si>
  <si>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</si>
  <si>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</si>
  <si>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</si>
  <si>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</si>
  <si>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</si>
  <si>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</si>
  <si>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</si>
  <si>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</si>
  <si>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</si>
  <si>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</si>
  <si>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</si>
  <si>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</si>
  <si>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</si>
  <si>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</si>
  <si>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</si>
  <si>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</si>
  <si>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</si>
  <si>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</si>
  <si>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</si>
  <si>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</si>
  <si>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</si>
  <si>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</si>
  <si>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</si>
  <si>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</si>
  <si>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</si>
  <si>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</si>
  <si>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</si>
  <si>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</si>
  <si>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</si>
  <si>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</si>
  <si>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</si>
  <si>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</si>
  <si>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</si>
  <si>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</si>
  <si>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</si>
  <si>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</si>
  <si>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</si>
  <si>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</si>
  <si>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</si>
  <si>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</si>
  <si>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</si>
  <si>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</si>
  <si>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</si>
  <si>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</si>
  <si>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</si>
  <si>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</si>
  <si>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</si>
  <si>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</si>
  <si>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</si>
  <si>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</si>
  <si>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</si>
  <si>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</si>
  <si>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</si>
  <si>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</si>
  <si>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</si>
  <si>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</si>
  <si>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</si>
  <si>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</si>
  <si>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</si>
  <si>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</si>
  <si>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</si>
  <si>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</si>
  <si>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</si>
  <si>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</si>
  <si>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</si>
  <si>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</si>
  <si>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</si>
  <si>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</si>
  <si>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</si>
  <si>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</si>
  <si>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</si>
  <si>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</si>
  <si>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</si>
  <si>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</si>
  <si>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</si>
  <si>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</si>
  <si>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</si>
  <si>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</si>
  <si>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</si>
  <si>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</si>
  <si>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</si>
  <si>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</si>
  <si>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</si>
  <si>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</si>
  <si>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</si>
  <si>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</si>
  <si>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</si>
  <si>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</si>
  <si>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</si>
  <si>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</si>
  <si>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</si>
  <si>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</si>
  <si>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</si>
  <si>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</si>
  <si>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</si>
  <si>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</si>
  <si>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</si>
  <si>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</si>
  <si>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</si>
  <si>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</si>
  <si>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</si>
  <si>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</si>
  <si>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</si>
  <si>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</si>
  <si>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</si>
  <si>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</si>
  <si>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</si>
  <si>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</si>
  <si>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</si>
  <si>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</si>
  <si>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</si>
  <si>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</si>
  <si>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</si>
  <si>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</si>
  <si>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</si>
  <si>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</si>
  <si>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</si>
  <si>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</si>
  <si>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</si>
  <si>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</si>
  <si>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</si>
  <si>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</si>
  <si>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</si>
  <si>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</si>
  <si>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</si>
  <si>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</si>
  <si>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</si>
  <si>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</si>
  <si>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</si>
  <si>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</si>
  <si>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</si>
  <si>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</si>
  <si>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</si>
  <si>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</si>
  <si>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</si>
  <si>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</si>
  <si>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</si>
  <si>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</si>
  <si>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</si>
  <si>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</si>
  <si>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</si>
  <si>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</si>
  <si>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</si>
  <si>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</si>
  <si>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</si>
  <si>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</si>
  <si>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</si>
  <si>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</si>
  <si>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</si>
  <si>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</si>
  <si>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</si>
  <si>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</si>
  <si>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</si>
  <si>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</si>
  <si>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</si>
  <si>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</si>
  <si>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</si>
  <si>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</si>
  <si>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</si>
  <si>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</si>
  <si>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</si>
  <si>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</si>
  <si>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</si>
  <si>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</si>
  <si>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</si>
  <si>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</si>
  <si>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</si>
  <si>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</si>
  <si>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</si>
  <si>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</si>
  <si>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</si>
  <si>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</si>
  <si>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</si>
  <si>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</si>
  <si>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</si>
  <si>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</si>
  <si>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</si>
  <si>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</si>
  <si>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</si>
  <si>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</si>
  <si>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</si>
  <si>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</si>
  <si>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</si>
  <si>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</si>
  <si>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</si>
  <si>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</si>
  <si>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</si>
  <si>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</si>
  <si>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</si>
  <si>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</si>
  <si>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</si>
  <si>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</si>
  <si>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</si>
  <si>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</si>
  <si>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</si>
  <si>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</si>
  <si>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</si>
  <si>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</si>
  <si>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</si>
  <si>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</si>
  <si>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</si>
  <si>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</si>
  <si>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</si>
  <si>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</si>
  <si>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</si>
  <si>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</si>
  <si>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</si>
  <si>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</si>
  <si>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</si>
  <si>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</si>
  <si>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</si>
  <si>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</si>
  <si>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</si>
  <si>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</si>
  <si>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</si>
  <si>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</si>
  <si>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</si>
  <si>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</si>
  <si>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</si>
  <si>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</si>
  <si>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</si>
  <si>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</si>
  <si>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</si>
  <si>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</si>
  <si>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</si>
  <si>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</si>
  <si>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</si>
  <si>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</si>
  <si>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</si>
  <si>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</si>
  <si>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</si>
  <si>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</si>
  <si>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</si>
  <si>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</si>
  <si>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</si>
  <si>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</si>
  <si>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</si>
  <si>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</si>
  <si>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</si>
  <si>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</si>
  <si>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</si>
  <si>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</si>
  <si>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</si>
  <si>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</si>
  <si>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</si>
  <si>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</si>
  <si>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</si>
  <si>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</si>
  <si>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</si>
  <si>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</si>
  <si>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</si>
  <si>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</si>
  <si>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</si>
  <si>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</si>
  <si>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</si>
  <si>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</si>
  <si>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</si>
  <si>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</si>
  <si>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</si>
  <si>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</si>
  <si>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</si>
  <si>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</si>
  <si>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</si>
  <si>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</si>
  <si>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</si>
  <si>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</si>
  <si>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</si>
  <si>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</si>
  <si>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</si>
  <si>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</si>
  <si>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</si>
  <si>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</si>
  <si>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</si>
  <si>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</si>
  <si>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</si>
  <si>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</si>
  <si>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</si>
  <si>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</si>
  <si>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</si>
  <si>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</si>
  <si>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</si>
  <si>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</si>
  <si>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</si>
  <si>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</si>
  <si>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</si>
  <si>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</si>
  <si>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</si>
  <si>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</si>
  <si>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</si>
  <si>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</si>
  <si>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</si>
  <si>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</si>
  <si>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</si>
  <si>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</si>
  <si>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</si>
  <si>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</si>
  <si>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</si>
  <si>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</si>
  <si>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</si>
  <si>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</si>
  <si>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</si>
  <si>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</si>
  <si>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</si>
  <si>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</si>
  <si>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</si>
  <si>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</si>
  <si>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</si>
  <si>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</si>
  <si>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</si>
  <si>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</si>
  <si>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</si>
  <si>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</si>
  <si>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</si>
  <si>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</si>
  <si>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</si>
  <si>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</si>
  <si>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</si>
  <si>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</si>
  <si>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</si>
  <si>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</si>
  <si>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</si>
  <si>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</si>
  <si>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</si>
  <si>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</si>
  <si>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</si>
  <si>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</si>
  <si>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</si>
  <si>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</si>
  <si>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</si>
  <si>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</si>
  <si>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</si>
  <si>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</si>
  <si>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</si>
  <si>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</si>
  <si>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</si>
  <si>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</si>
  <si>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</si>
  <si>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</si>
  <si>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</si>
  <si>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</si>
  <si>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</si>
  <si>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</si>
  <si>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</si>
  <si>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</si>
  <si>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</si>
  <si>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</si>
  <si>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</si>
  <si>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</si>
  <si>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</si>
  <si>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</si>
  <si>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</si>
  <si>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</si>
  <si>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</si>
  <si>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</si>
  <si>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</si>
  <si>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</si>
  <si>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</si>
  <si>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</si>
  <si>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</si>
  <si>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</si>
  <si>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</si>
  <si>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</si>
  <si>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</si>
  <si>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</si>
  <si>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</si>
  <si>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</si>
  <si>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</si>
  <si>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</si>
  <si>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</si>
  <si>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</si>
  <si>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</si>
  <si>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</si>
  <si>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</si>
  <si>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</si>
  <si>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</si>
  <si>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</si>
  <si>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</si>
  <si>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</si>
  <si>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</si>
  <si>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</si>
  <si>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</si>
  <si>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</si>
  <si>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</si>
  <si>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</si>
  <si>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</si>
  <si>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</si>
  <si>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</si>
  <si>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</si>
  <si>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</si>
  <si>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</si>
  <si>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</si>
  <si>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</si>
  <si>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</si>
  <si>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</si>
  <si>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</si>
  <si>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</si>
  <si>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</si>
  <si>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</si>
  <si>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</si>
  <si>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</si>
  <si>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</si>
  <si>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</si>
  <si>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</si>
  <si>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</si>
  <si>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</si>
  <si>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</si>
  <si>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</si>
  <si>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</si>
  <si>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</si>
  <si>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</si>
  <si>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</si>
  <si>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</si>
  <si>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</si>
  <si>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</si>
  <si>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</si>
  <si>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</si>
  <si>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</si>
  <si>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</si>
  <si>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</si>
  <si>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</si>
  <si>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</si>
  <si>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</si>
  <si>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</si>
  <si>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</si>
  <si>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</si>
  <si>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</si>
  <si>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</si>
  <si>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</si>
  <si>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</si>
  <si>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</si>
  <si>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</si>
  <si>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</si>
  <si>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</si>
  <si>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</si>
  <si>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</si>
  <si>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</si>
  <si>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</si>
  <si>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</si>
  <si>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</si>
  <si>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</si>
  <si>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</si>
  <si>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</si>
  <si>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</si>
  <si>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</si>
  <si>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</si>
  <si>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</si>
  <si>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</si>
  <si>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</si>
  <si>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</si>
  <si>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</si>
  <si>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</si>
  <si>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</si>
  <si>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</si>
  <si>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</si>
  <si>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</si>
  <si>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</si>
  <si>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</si>
  <si>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</si>
  <si>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</si>
  <si>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</si>
  <si>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</si>
  <si>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</si>
  <si>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</si>
  <si>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</si>
  <si>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</si>
  <si>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</si>
  <si>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</si>
  <si>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</si>
  <si>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</si>
  <si>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</si>
  <si>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</si>
  <si>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</si>
  <si>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</si>
  <si>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</si>
  <si>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</si>
  <si>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</si>
  <si>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</si>
  <si>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</si>
  <si>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</si>
  <si>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</si>
  <si>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</si>
  <si>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</si>
  <si>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</si>
  <si>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</si>
  <si>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</si>
  <si>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</si>
  <si>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</si>
  <si>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</si>
  <si>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</si>
  <si>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</si>
  <si>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</si>
  <si>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</si>
  <si>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</si>
  <si>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</si>
  <si>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</si>
  <si>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</si>
  <si>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</si>
  <si>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</si>
  <si>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</si>
  <si>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</si>
  <si>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</si>
  <si>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</si>
  <si>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</si>
  <si>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</si>
  <si>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</si>
  <si>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</si>
  <si>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</si>
  <si>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</si>
  <si>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</si>
  <si>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</si>
  <si>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</si>
  <si>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</si>
  <si>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</si>
  <si>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</si>
  <si>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</si>
  <si>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</si>
  <si>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</si>
  <si>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</si>
  <si>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</si>
  <si>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</si>
  <si>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</si>
  <si>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</si>
  <si>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</si>
  <si>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</si>
  <si>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</si>
  <si>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</si>
  <si>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</si>
  <si>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</si>
  <si>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</si>
  <si>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</si>
  <si>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</si>
  <si>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</si>
  <si>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</si>
  <si>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</si>
  <si>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</si>
  <si>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</si>
  <si>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</si>
  <si>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</si>
  <si>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</si>
  <si>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</si>
  <si>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</si>
  <si>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</si>
  <si>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</si>
  <si>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</si>
  <si>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</si>
  <si>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</si>
  <si>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</si>
  <si>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</si>
  <si>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</si>
  <si>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</si>
  <si>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</si>
  <si>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</si>
  <si>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</si>
  <si>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</si>
  <si>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</si>
  <si>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</si>
  <si>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</si>
  <si>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</si>
  <si>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</si>
  <si>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</si>
  <si>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</si>
  <si>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</si>
  <si>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</si>
  <si>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</si>
  <si>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</si>
  <si>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</si>
  <si>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</si>
  <si>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</si>
  <si>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</si>
  <si>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</si>
  <si>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</si>
  <si>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</si>
  <si>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</si>
  <si>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</si>
  <si>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</si>
  <si>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</si>
  <si>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</si>
  <si>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</si>
  <si>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</si>
  <si>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</si>
  <si>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</si>
  <si>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</si>
  <si>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</si>
  <si>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</si>
  <si>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</si>
  <si>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</si>
  <si>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</si>
  <si>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</si>
  <si>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</si>
  <si>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</si>
  <si>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</si>
  <si>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</si>
  <si>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</si>
  <si>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</si>
  <si>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</si>
  <si>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</si>
  <si>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</si>
  <si>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</si>
  <si>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</si>
  <si>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</si>
  <si>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</si>
  <si>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</si>
  <si>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</si>
  <si>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</si>
  <si>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</si>
  <si>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</si>
  <si>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</si>
  <si>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</si>
  <si>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</si>
  <si>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</si>
  <si>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</si>
  <si>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</si>
  <si>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</si>
  <si>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</si>
  <si>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</si>
  <si>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</si>
  <si>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</si>
  <si>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</si>
  <si>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</si>
  <si>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</si>
  <si>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</si>
  <si>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</si>
  <si>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</si>
  <si>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</si>
  <si>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</si>
  <si>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</si>
  <si>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</si>
  <si>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</si>
  <si>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</si>
  <si>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</si>
  <si>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</si>
  <si>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</si>
  <si>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</si>
  <si>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</si>
  <si>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</si>
  <si>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</si>
  <si>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</si>
  <si>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</si>
  <si>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</si>
  <si>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</si>
  <si>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</si>
  <si>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</si>
  <si>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</si>
  <si>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</si>
  <si>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</si>
  <si>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</si>
  <si>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</si>
  <si>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</si>
  <si>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</si>
  <si>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</si>
  <si>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</si>
  <si>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</si>
  <si>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</si>
  <si>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</si>
  <si>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</si>
  <si>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</si>
  <si>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</si>
  <si>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</si>
  <si>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</si>
  <si>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</si>
  <si>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</si>
  <si>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</si>
  <si>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</si>
  <si>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</si>
  <si>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</si>
  <si>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</si>
  <si>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</si>
  <si>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</si>
  <si>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</si>
  <si>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</si>
  <si>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</si>
  <si>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</si>
  <si>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</si>
  <si>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</si>
  <si>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</si>
  <si>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</si>
  <si>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</si>
  <si>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</si>
  <si>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</si>
  <si>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</si>
  <si>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</si>
  <si>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</si>
  <si>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</si>
  <si>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</si>
  <si>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</si>
  <si>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</si>
  <si>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</si>
  <si>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</si>
  <si>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</si>
  <si>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</si>
  <si>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</si>
  <si>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</si>
  <si>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</si>
  <si>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</si>
  <si>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</si>
  <si>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</si>
  <si>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</si>
  <si>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</si>
  <si>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</si>
  <si>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</si>
  <si>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</si>
  <si>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</si>
  <si>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</si>
  <si>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</si>
  <si>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</si>
  <si>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</si>
  <si>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</si>
  <si>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</si>
  <si>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</si>
  <si>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</si>
  <si>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</si>
  <si>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</si>
  <si>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</si>
  <si>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</si>
  <si>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</si>
  <si>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</si>
  <si>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</si>
  <si>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</si>
  <si>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</si>
  <si>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</si>
  <si>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</si>
  <si>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</si>
  <si>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</si>
  <si>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</si>
  <si>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</si>
  <si>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</si>
  <si>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</si>
  <si>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</si>
  <si>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</si>
  <si>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</si>
  <si>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</si>
  <si>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</si>
  <si>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</si>
  <si>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</si>
  <si>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</si>
  <si>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</si>
  <si>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</si>
  <si>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</si>
  <si>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</si>
  <si>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</si>
  <si>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</si>
  <si>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</si>
  <si>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</si>
  <si>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</si>
  <si>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</si>
  <si>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</si>
  <si>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</si>
  <si>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</si>
  <si>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</si>
  <si>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</si>
  <si>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</si>
  <si>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</si>
  <si>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</si>
  <si>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</si>
  <si>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</si>
  <si>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</si>
  <si>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</si>
  <si>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</si>
  <si>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</si>
  <si>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</si>
  <si>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</si>
  <si>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</si>
  <si>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</si>
  <si>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</si>
  <si>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</si>
  <si>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</si>
  <si>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</si>
  <si>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</si>
  <si>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</si>
  <si>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</si>
  <si>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</si>
  <si>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</si>
  <si>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</si>
  <si>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</si>
  <si>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</si>
  <si>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</si>
  <si>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</si>
  <si>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</si>
  <si>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</si>
  <si>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</si>
  <si>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</si>
  <si>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</si>
  <si>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</si>
  <si>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</si>
  <si>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</si>
  <si>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</si>
  <si>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</si>
  <si>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</si>
  <si>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</si>
  <si>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</si>
  <si>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</si>
  <si>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</si>
  <si>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</si>
  <si>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</si>
  <si>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</si>
  <si>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</si>
  <si>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</si>
  <si>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</si>
  <si>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</si>
  <si>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</si>
  <si>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</si>
  <si>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</si>
  <si>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</si>
  <si>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</si>
  <si>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</si>
  <si>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</si>
  <si>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</si>
  <si>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</si>
  <si>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</si>
  <si>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</si>
  <si>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</si>
  <si>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</si>
  <si>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</si>
  <si>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</si>
  <si>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</si>
  <si>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</si>
  <si>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</si>
  <si>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</si>
  <si>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</si>
  <si>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</si>
  <si>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</si>
  <si>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</si>
  <si>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</si>
  <si>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</si>
  <si>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</si>
  <si>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</si>
  <si>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</si>
  <si>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</si>
  <si>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</si>
  <si>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</si>
  <si>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</si>
  <si>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</si>
  <si>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</si>
  <si>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</si>
  <si>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</si>
  <si>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</si>
  <si>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</si>
  <si>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</si>
  <si>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</si>
  <si>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</si>
  <si>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</si>
  <si>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</si>
  <si>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</si>
  <si>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</si>
  <si>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</si>
  <si>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</si>
  <si>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</si>
  <si>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</si>
  <si>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</si>
  <si>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</si>
  <si>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</si>
  <si>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</si>
  <si>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</si>
  <si>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</si>
  <si>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</si>
  <si>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2915 MAPLE STREET</t>
  </si>
  <si>
    <t>FRANKLIN PARK</t>
  </si>
  <si>
    <t>DR. DAVID KATZIN</t>
  </si>
  <si>
    <t>847-455-4230</t>
  </si>
  <si>
    <t>847-455-9094</t>
  </si>
  <si>
    <t>JHENRY@EKJLLP.COM</t>
  </si>
  <si>
    <t>066-003289</t>
  </si>
  <si>
    <t>847-662-8305</t>
  </si>
  <si>
    <t>847-662-8300</t>
  </si>
  <si>
    <t>WAUKEGAN</t>
  </si>
  <si>
    <t>IL</t>
  </si>
  <si>
    <t>2122 YEOMAN STREET</t>
  </si>
  <si>
    <t>JAMES HENRY, CPA</t>
  </si>
  <si>
    <t>EVOY, KAMSCHULTE, JACOBS &amp; CO. LLP</t>
  </si>
  <si>
    <t>Evoy, Kamschulte, Jacobs &amp; Co. LLP</t>
  </si>
  <si>
    <t>2003-B Working Cash Fund Bonds</t>
  </si>
  <si>
    <t>3 AND 4</t>
  </si>
  <si>
    <t>2010-A Fire Prevention &amp; Safety and Refunding Bonds</t>
  </si>
  <si>
    <t>2010-B Refunding Bonds</t>
  </si>
  <si>
    <t>2013-A Fire Prevention &amp; Safety and Refunding Bonds</t>
  </si>
  <si>
    <t>2018-A Working Cash Fund Bonds</t>
  </si>
  <si>
    <t>2018-B Refunding Bonds</t>
  </si>
  <si>
    <t>2003-C Fire Prevention &amp; Safety and Refunding Bonds</t>
  </si>
  <si>
    <t>IL School District Liquid Asset Fund (ISDLAF)</t>
  </si>
  <si>
    <t>Collective Liability Insurance Cooperative (CLIC)</t>
  </si>
  <si>
    <t>Leyden Area Special Education Cooperative (LASEC)</t>
  </si>
  <si>
    <r>
      <t xml:space="preserve">The accompanying Schedule of Expenditures of Federal Awards includes the federal grant activity of Franklin Park School District No. 84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t>
    </r>
    <r>
      <rPr>
        <sz val="9"/>
        <rFont val="Calibri"/>
        <family val="2"/>
        <scheme val="minor"/>
      </rPr>
      <t>financial statements.</t>
    </r>
  </si>
  <si>
    <t>N / A</t>
  </si>
  <si>
    <t>NONE - N / A</t>
  </si>
  <si>
    <t>NONE</t>
  </si>
  <si>
    <r>
      <t xml:space="preserve">The following amounts were expended in the form of non-cash assistance by Franklion Park School District No. 84 and are </t>
    </r>
    <r>
      <rPr>
        <sz val="9"/>
        <rFont val="Calibri"/>
        <family val="2"/>
        <scheme val="minor"/>
      </rPr>
      <t>included in the Schedule of Expenditures of Federal Awards:</t>
    </r>
  </si>
  <si>
    <t>Unmodified</t>
  </si>
  <si>
    <t>10.555, 10.553, 10.559</t>
  </si>
  <si>
    <t>Child Nutrition Cluster</t>
  </si>
  <si>
    <t>N/A</t>
  </si>
  <si>
    <t>NONE - N/A</t>
  </si>
  <si>
    <t>U S DEPARTMENT OF EDUCATION</t>
  </si>
  <si>
    <t>Passed Through Illinois State Board of Education</t>
  </si>
  <si>
    <t xml:space="preserve">    Titel I - Low-Income</t>
  </si>
  <si>
    <t>4300-2020</t>
  </si>
  <si>
    <t>4300-2019</t>
  </si>
  <si>
    <t>4331-2019</t>
  </si>
  <si>
    <t xml:space="preserve">    Title I - School Improvement and Accountability</t>
  </si>
  <si>
    <t xml:space="preserve">    Title IV - Student Support and Academic Achievement</t>
  </si>
  <si>
    <t>4400-2020</t>
  </si>
  <si>
    <t>4400-2019</t>
  </si>
  <si>
    <t xml:space="preserve">    Title III - Language Instruction Program Limited English Proficiency</t>
  </si>
  <si>
    <t>4909-2020</t>
  </si>
  <si>
    <t>4909-2019</t>
  </si>
  <si>
    <t>4932-2020</t>
  </si>
  <si>
    <t xml:space="preserve">    Title II - Teacher Quality</t>
  </si>
  <si>
    <t>4932-2019</t>
  </si>
  <si>
    <t xml:space="preserve">    Federal Special Education - IDEA, Room &amp; Board Reimbursement</t>
  </si>
  <si>
    <t xml:space="preserve">  Special Education Cluster</t>
  </si>
  <si>
    <t xml:space="preserve">  Passed Through Illinois State Board of Education</t>
  </si>
  <si>
    <t>4625-2020</t>
  </si>
  <si>
    <t>4625-2019</t>
  </si>
  <si>
    <t xml:space="preserve">  Special Education Cluster (continued)</t>
  </si>
  <si>
    <t xml:space="preserve">  Passed Through ISBE through Leyden Area Special Education Cooperative</t>
  </si>
  <si>
    <t xml:space="preserve">    Federal Special Education - IDEA, Part B - Pre-School Flow-Through</t>
  </si>
  <si>
    <t>4600-2020</t>
  </si>
  <si>
    <t>4600-2019</t>
  </si>
  <si>
    <t xml:space="preserve">    Federal Special Education - IDEA, Part B - Flow-Through</t>
  </si>
  <si>
    <t>4620-2020</t>
  </si>
  <si>
    <t>4620-2019</t>
  </si>
  <si>
    <t xml:space="preserve">  Total Special Education Cluster</t>
  </si>
  <si>
    <t>TOTAL U S DEPARTMENT OF EDUCATION</t>
  </si>
  <si>
    <t>U S DEPARTMENT OF AGRICULTURE</t>
  </si>
  <si>
    <t xml:space="preserve">  Child Nutrition Cluster</t>
  </si>
  <si>
    <t>(M) National School Lunch Program</t>
  </si>
  <si>
    <t>4210-2020</t>
  </si>
  <si>
    <t>4210-2019</t>
  </si>
  <si>
    <t>(M) School Breakfast Program</t>
  </si>
  <si>
    <t>4220-2020</t>
  </si>
  <si>
    <t>(M) Summer Food Service Program</t>
  </si>
  <si>
    <t>4225-2020</t>
  </si>
  <si>
    <t>U S DEPARTMENT OF AGRICULTURE (Continued)</t>
  </si>
  <si>
    <t xml:space="preserve">  Child Nutrition Cluster (continued)</t>
  </si>
  <si>
    <t>(M) National School Lunch Program, Non-Cash USDA Foods</t>
  </si>
  <si>
    <t>(M) National School Lunch Program, Non-Cash DoD Fruits and Vegetables</t>
  </si>
  <si>
    <t xml:space="preserve">  Total Child Nutrition Cluster</t>
  </si>
  <si>
    <t>TOTAL U S DEPARTMENT OF AGRICULTURE</t>
  </si>
  <si>
    <t>U S DEPARTMENT OF HEALTH AND HUMAN SERVICES</t>
  </si>
  <si>
    <t>Passed Through Illinois Department of Healthcare and Family Services</t>
  </si>
  <si>
    <t xml:space="preserve">    Medicaid Medical Assistance Program, Administrative Claim</t>
  </si>
  <si>
    <t>4991-2020</t>
  </si>
  <si>
    <t>4991-2019</t>
  </si>
  <si>
    <t>TOTAL U S DEPARTMENT OF HEALTH AND HUMAN SERVICES</t>
  </si>
  <si>
    <t>TOTAL FEDERAL FINANCIAL ASSISTANCE</t>
  </si>
  <si>
    <t>Value of Federal Awards Expended in the Form of Non-Cash Assistance</t>
  </si>
  <si>
    <t>Federal Insurance in Effect During the Year</t>
  </si>
  <si>
    <t>Federal Loans or Loan Guarantees, Including Interest Subsidies, Outstanding at Year End</t>
  </si>
  <si>
    <t>Amounts Provided to Subrecipients</t>
  </si>
  <si>
    <t>U S DEPARTMENT OF EDUCATION (Continued)</t>
  </si>
  <si>
    <t>EDUC-Board of Education Services-Purchased Services</t>
  </si>
  <si>
    <t>Barry and Associates</t>
  </si>
  <si>
    <r>
      <t>Of the federal expenditures presented in the schedule, Franklin Park School District No. 84</t>
    </r>
    <r>
      <rPr>
        <sz val="9"/>
        <rFont val="Calibri"/>
        <family val="2"/>
        <scheme val="minor"/>
      </rPr>
      <t xml:space="preserve"> provided federal awards to subrecipients as follows:</t>
    </r>
  </si>
  <si>
    <t xml:space="preserve">   Franklin Park SD 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</si>
</sst>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702252</xdr:colOff>
          <xdr:row>3</xdr:row>
          <xdr:rowOff>45893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2000</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2048</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2048</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6016084002</v>
      </c>
      <c r="B13" s="2087"/>
      <c r="C13" s="2087"/>
      <c r="D13" s="2087"/>
      <c r="E13" s="2087"/>
      <c r="F13" s="2087"/>
      <c r="G13" s="2087"/>
      <c r="H13" s="2088"/>
      <c r="I13" s="31"/>
      <c r="J13" s="30"/>
      <c r="K13" s="28"/>
      <c r="L13" s="30"/>
      <c r="M13" s="30"/>
      <c r="N13" s="30"/>
      <c r="O13" s="30"/>
      <c r="P13" s="30"/>
      <c r="Q13" s="30"/>
      <c r="R13" s="30"/>
      <c r="S13" s="30"/>
      <c r="T13" s="2091" t="s">
        <v>2063</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2049</v>
      </c>
      <c r="B15" s="2089"/>
      <c r="C15" s="2089"/>
      <c r="D15" s="2089"/>
      <c r="E15" s="2089"/>
      <c r="F15" s="2089"/>
      <c r="G15" s="2089"/>
      <c r="H15" s="2090"/>
      <c r="T15" s="2052" t="s">
        <v>2062</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2147</v>
      </c>
      <c r="B17" s="2114"/>
      <c r="C17" s="2114"/>
      <c r="D17" s="2114"/>
      <c r="E17" s="2114"/>
      <c r="F17" s="2114"/>
      <c r="G17" s="2114"/>
      <c r="H17" s="2115"/>
      <c r="T17" s="2101" t="s">
        <v>2061</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2050</v>
      </c>
      <c r="B19" s="2085"/>
      <c r="C19" s="2085"/>
      <c r="D19" s="2085"/>
      <c r="E19" s="2085"/>
      <c r="F19" s="2085"/>
      <c r="G19" s="2085"/>
      <c r="H19" s="2083"/>
      <c r="I19" s="30"/>
      <c r="J19" s="96"/>
      <c r="K19" s="40"/>
      <c r="L19" s="38"/>
      <c r="M19" s="109" t="s">
        <v>312</v>
      </c>
      <c r="P19" s="27"/>
      <c r="Q19" s="27"/>
      <c r="R19" s="27"/>
      <c r="S19" s="31"/>
      <c r="T19" s="2084" t="s">
        <v>2059</v>
      </c>
      <c r="U19" s="2082"/>
      <c r="V19" s="2082"/>
      <c r="W19" s="2083"/>
      <c r="X19" s="2099" t="s">
        <v>2060</v>
      </c>
      <c r="Y19" s="2100"/>
      <c r="Z19" s="2097">
        <v>60087</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2051</v>
      </c>
      <c r="B21" s="2082"/>
      <c r="C21" s="2082"/>
      <c r="D21" s="2082"/>
      <c r="E21" s="2082"/>
      <c r="F21" s="2082"/>
      <c r="G21" s="2082"/>
      <c r="H21" s="2083"/>
      <c r="I21" s="2107" t="s">
        <v>673</v>
      </c>
      <c r="J21" s="2070"/>
      <c r="K21" s="2070"/>
      <c r="L21" s="2070"/>
      <c r="M21" s="2070"/>
      <c r="N21" s="2070"/>
      <c r="O21" s="2070"/>
      <c r="P21" s="2070"/>
      <c r="Q21" s="2070"/>
      <c r="R21" s="2070"/>
      <c r="S21" s="2071"/>
      <c r="T21" s="2049" t="s">
        <v>2058</v>
      </c>
      <c r="U21" s="2050"/>
      <c r="V21" s="2050"/>
      <c r="W21" s="2050"/>
      <c r="X21" s="2063" t="s">
        <v>2057</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c r="B23" s="2105"/>
      <c r="C23" s="2105"/>
      <c r="D23" s="2105"/>
      <c r="E23" s="2105"/>
      <c r="F23" s="2105"/>
      <c r="G23" s="2105"/>
      <c r="H23" s="2106"/>
      <c r="T23" s="2044" t="s">
        <v>2056</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60131</v>
      </c>
      <c r="B25" s="2082"/>
      <c r="C25" s="2082"/>
      <c r="D25" s="2082"/>
      <c r="E25" s="2082"/>
      <c r="F25" s="2082"/>
      <c r="G25" s="2082"/>
      <c r="H25" s="2083"/>
      <c r="I25" s="110"/>
      <c r="J25" s="2148"/>
      <c r="K25" s="2148"/>
      <c r="L25" s="2148"/>
      <c r="M25" s="2148"/>
      <c r="N25" s="2148"/>
      <c r="O25" s="2148"/>
      <c r="P25" s="2148"/>
      <c r="Q25" s="2148"/>
      <c r="R25" s="2148"/>
      <c r="S25" s="2149"/>
      <c r="T25" s="2041" t="s">
        <v>2055</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2052</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2053</v>
      </c>
      <c r="B42" s="2131"/>
      <c r="C42" s="2132"/>
      <c r="D42" s="2145" t="s">
        <v>2054</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6" sqref="E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13200116</v>
      </c>
      <c r="C4" s="1722">
        <v>6929470</v>
      </c>
      <c r="D4" s="1723">
        <f>B4-C4</f>
        <v>6270646</v>
      </c>
      <c r="E4" s="1722">
        <v>13149798</v>
      </c>
      <c r="F4" s="1723">
        <f>E4-C4</f>
        <v>6220328</v>
      </c>
    </row>
    <row r="5" spans="1:8" ht="13.7" customHeight="1" x14ac:dyDescent="0.2">
      <c r="A5" s="579" t="s">
        <v>865</v>
      </c>
      <c r="B5" s="1724">
        <f>'Revenues 9-14'!D5</f>
        <v>1632572</v>
      </c>
      <c r="C5" s="1664">
        <v>929637</v>
      </c>
      <c r="D5" s="1725">
        <f t="shared" ref="D5:D18" si="0">B5-C5</f>
        <v>702935</v>
      </c>
      <c r="E5" s="1664">
        <v>1764145</v>
      </c>
      <c r="F5" s="1725">
        <f>E5-C5</f>
        <v>834508</v>
      </c>
    </row>
    <row r="6" spans="1:8" ht="13.7" customHeight="1" x14ac:dyDescent="0.2">
      <c r="A6" s="579" t="s">
        <v>408</v>
      </c>
      <c r="B6" s="1724">
        <f>'Revenues 9-14'!E5</f>
        <v>1080878</v>
      </c>
      <c r="C6" s="1664">
        <v>581723</v>
      </c>
      <c r="D6" s="1725">
        <f t="shared" si="0"/>
        <v>499155</v>
      </c>
      <c r="E6" s="1664">
        <v>1104016</v>
      </c>
      <c r="F6" s="1725">
        <f t="shared" ref="F6:F18" si="1">E6-C6</f>
        <v>522293</v>
      </c>
    </row>
    <row r="7" spans="1:8" ht="13.7" customHeight="1" x14ac:dyDescent="0.2">
      <c r="A7" s="579" t="s">
        <v>154</v>
      </c>
      <c r="B7" s="1724">
        <f>'Revenues 9-14'!F5</f>
        <v>-3068</v>
      </c>
      <c r="C7" s="1664">
        <v>0</v>
      </c>
      <c r="D7" s="1725">
        <f t="shared" si="0"/>
        <v>-3068</v>
      </c>
      <c r="E7" s="1664">
        <v>1</v>
      </c>
      <c r="F7" s="1725">
        <f t="shared" si="1"/>
        <v>1</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47223</v>
      </c>
      <c r="C10" s="1664">
        <v>26424</v>
      </c>
      <c r="D10" s="1725">
        <f t="shared" si="0"/>
        <v>20799</v>
      </c>
      <c r="E10" s="1664">
        <v>50000</v>
      </c>
      <c r="F10" s="1725">
        <f t="shared" si="1"/>
        <v>23576</v>
      </c>
    </row>
    <row r="11" spans="1:8" x14ac:dyDescent="0.2">
      <c r="A11" s="579" t="s">
        <v>406</v>
      </c>
      <c r="B11" s="1724">
        <f>'Revenues 9-14'!J5</f>
        <v>164938</v>
      </c>
      <c r="C11" s="1664">
        <v>92284</v>
      </c>
      <c r="D11" s="1725">
        <f t="shared" si="0"/>
        <v>72654</v>
      </c>
      <c r="E11" s="1664">
        <v>175000</v>
      </c>
      <c r="F11" s="1725">
        <f t="shared" si="1"/>
        <v>82716</v>
      </c>
    </row>
    <row r="12" spans="1:8" ht="13.7" customHeight="1" x14ac:dyDescent="0.2">
      <c r="A12" s="579" t="s">
        <v>156</v>
      </c>
      <c r="B12" s="1724">
        <f>'Revenues 9-14'!K5</f>
        <v>282576</v>
      </c>
      <c r="C12" s="1664">
        <v>158143</v>
      </c>
      <c r="D12" s="1725">
        <f t="shared" si="0"/>
        <v>124433</v>
      </c>
      <c r="E12" s="1664">
        <v>300000</v>
      </c>
      <c r="F12" s="1725">
        <f t="shared" si="1"/>
        <v>141857</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1187204</v>
      </c>
      <c r="C14" s="1664">
        <v>676007</v>
      </c>
      <c r="D14" s="1725">
        <f t="shared" si="0"/>
        <v>511197</v>
      </c>
      <c r="E14" s="1664">
        <v>1283014</v>
      </c>
      <c r="F14" s="1725">
        <f t="shared" si="1"/>
        <v>607007</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17592439</v>
      </c>
      <c r="C19" s="1726">
        <f>SUM(C4:C18)</f>
        <v>9393688</v>
      </c>
      <c r="D19" s="1726">
        <f>SUM(D4:D18)</f>
        <v>8198751</v>
      </c>
      <c r="E19" s="1726">
        <f>SUM(E4:E18)</f>
        <v>17825974</v>
      </c>
      <c r="F19" s="1726">
        <f>SUM(F4:F18)</f>
        <v>8432286</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J39" sqref="J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1776</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2003</v>
      </c>
      <c r="B24" s="2291"/>
      <c r="C24" s="2299"/>
      <c r="D24" s="2300"/>
      <c r="E24" s="2300"/>
      <c r="F24" s="2301"/>
    </row>
    <row r="25" spans="1:11" ht="13.5" thickBot="1" x14ac:dyDescent="0.25">
      <c r="A25" s="2305" t="s">
        <v>2004</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37901</v>
      </c>
      <c r="C31" s="1734">
        <v>609900</v>
      </c>
      <c r="D31" s="1735">
        <v>1</v>
      </c>
      <c r="E31" s="1734">
        <v>169349</v>
      </c>
      <c r="F31" s="1734"/>
      <c r="G31" s="1734"/>
      <c r="H31" s="1734">
        <v>169349</v>
      </c>
      <c r="I31" s="1736">
        <f>((E31+F31)-H31)+G31</f>
        <v>0</v>
      </c>
      <c r="J31" s="1734"/>
      <c r="K31" s="596"/>
    </row>
    <row r="32" spans="1:11" ht="12" customHeight="1" x14ac:dyDescent="0.2">
      <c r="A32" s="594" t="s">
        <v>2072</v>
      </c>
      <c r="B32" s="595">
        <v>37901</v>
      </c>
      <c r="C32" s="1734">
        <v>1043989</v>
      </c>
      <c r="D32" s="1735">
        <v>1</v>
      </c>
      <c r="E32" s="1734">
        <v>556586</v>
      </c>
      <c r="F32" s="1734"/>
      <c r="G32" s="1734"/>
      <c r="H32" s="1734"/>
      <c r="I32" s="1736">
        <f>((E32+F32)-H32)+G32</f>
        <v>556586</v>
      </c>
      <c r="J32" s="1734">
        <v>285488</v>
      </c>
      <c r="K32" s="596"/>
    </row>
    <row r="33" spans="1:11" ht="12" customHeight="1" x14ac:dyDescent="0.2">
      <c r="A33" s="594" t="s">
        <v>2067</v>
      </c>
      <c r="B33" s="595">
        <v>40540</v>
      </c>
      <c r="C33" s="1734">
        <v>3705000</v>
      </c>
      <c r="D33" s="1735" t="s">
        <v>2066</v>
      </c>
      <c r="E33" s="1734">
        <v>2655000</v>
      </c>
      <c r="F33" s="1734"/>
      <c r="G33" s="1734"/>
      <c r="H33" s="1734"/>
      <c r="I33" s="1736">
        <f t="shared" ref="I33:I48" si="1">((E33+F33)-H33)+G33</f>
        <v>2655000</v>
      </c>
      <c r="J33" s="1734">
        <v>2630899</v>
      </c>
      <c r="K33" s="596"/>
    </row>
    <row r="34" spans="1:11" ht="12" customHeight="1" x14ac:dyDescent="0.2">
      <c r="A34" s="594" t="s">
        <v>2068</v>
      </c>
      <c r="B34" s="595">
        <v>40540</v>
      </c>
      <c r="C34" s="1734">
        <v>180000</v>
      </c>
      <c r="D34" s="1735">
        <v>4</v>
      </c>
      <c r="E34" s="1734">
        <v>60000</v>
      </c>
      <c r="F34" s="1734"/>
      <c r="G34" s="1734"/>
      <c r="H34" s="1734"/>
      <c r="I34" s="1736">
        <f t="shared" si="1"/>
        <v>60000</v>
      </c>
      <c r="J34" s="1734">
        <v>55727</v>
      </c>
      <c r="K34" s="597"/>
    </row>
    <row r="35" spans="1:11" ht="12" customHeight="1" x14ac:dyDescent="0.2">
      <c r="A35" s="594" t="s">
        <v>2069</v>
      </c>
      <c r="B35" s="595">
        <v>41563</v>
      </c>
      <c r="C35" s="1737">
        <v>5295000</v>
      </c>
      <c r="D35" s="1735" t="s">
        <v>2066</v>
      </c>
      <c r="E35" s="1737">
        <v>2720000</v>
      </c>
      <c r="F35" s="1737"/>
      <c r="G35" s="1737"/>
      <c r="H35" s="1737"/>
      <c r="I35" s="1736">
        <f t="shared" si="1"/>
        <v>2720000</v>
      </c>
      <c r="J35" s="1737">
        <v>2717472</v>
      </c>
      <c r="K35" s="597"/>
    </row>
    <row r="36" spans="1:11" ht="12" customHeight="1" x14ac:dyDescent="0.2">
      <c r="A36" s="594" t="s">
        <v>2070</v>
      </c>
      <c r="B36" s="595">
        <v>43406</v>
      </c>
      <c r="C36" s="1734">
        <v>4505000</v>
      </c>
      <c r="D36" s="1735">
        <v>1</v>
      </c>
      <c r="E36" s="1734">
        <v>4505000</v>
      </c>
      <c r="F36" s="1734"/>
      <c r="G36" s="1734"/>
      <c r="H36" s="1734"/>
      <c r="I36" s="1736">
        <f t="shared" si="1"/>
        <v>4505000</v>
      </c>
      <c r="J36" s="1734">
        <v>4492781</v>
      </c>
      <c r="K36" s="598"/>
    </row>
    <row r="37" spans="1:11" ht="12" customHeight="1" x14ac:dyDescent="0.2">
      <c r="A37" s="594" t="s">
        <v>2071</v>
      </c>
      <c r="B37" s="595">
        <v>43406</v>
      </c>
      <c r="C37" s="1574">
        <v>1825000</v>
      </c>
      <c r="D37" s="1738">
        <v>3</v>
      </c>
      <c r="E37" s="1574">
        <v>1825000</v>
      </c>
      <c r="F37" s="1574"/>
      <c r="G37" s="1574"/>
      <c r="H37" s="1574"/>
      <c r="I37" s="1736">
        <f t="shared" si="1"/>
        <v>1825000</v>
      </c>
      <c r="J37" s="1574">
        <v>1819317</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17163889</v>
      </c>
      <c r="D49" s="1742"/>
      <c r="E49" s="1736">
        <f t="shared" ref="E49:J49" si="2">SUM(E31:E48)</f>
        <v>12490935</v>
      </c>
      <c r="F49" s="1736">
        <f t="shared" si="2"/>
        <v>0</v>
      </c>
      <c r="G49" s="1736">
        <f t="shared" si="2"/>
        <v>0</v>
      </c>
      <c r="H49" s="1736">
        <f t="shared" si="2"/>
        <v>169349</v>
      </c>
      <c r="I49" s="1736">
        <f t="shared" si="2"/>
        <v>12321586</v>
      </c>
      <c r="J49" s="1736">
        <f t="shared" si="2"/>
        <v>12001684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1786</v>
      </c>
      <c r="K2" s="616" t="s">
        <v>137</v>
      </c>
    </row>
    <row r="3" spans="1:11" x14ac:dyDescent="0.2">
      <c r="A3" s="2325" t="str">
        <f>"Cash Basis Fund Balance as of July 1, "&amp;'AFR20'!E2-1</f>
        <v>Cash Basis Fund Balance as of July 1, 2019</v>
      </c>
      <c r="B3" s="2326"/>
      <c r="C3" s="2326"/>
      <c r="D3" s="2326"/>
      <c r="E3" s="2327"/>
      <c r="F3" s="617"/>
      <c r="G3" s="1744"/>
      <c r="H3" s="1744">
        <v>0</v>
      </c>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1187204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1787</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1187204</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1187204</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1783</v>
      </c>
      <c r="B19" s="2356"/>
      <c r="C19" s="2356"/>
      <c r="D19" s="2356"/>
      <c r="E19" s="2357"/>
      <c r="F19" s="635" t="s">
        <v>927</v>
      </c>
      <c r="G19" s="1753"/>
      <c r="H19" s="1753"/>
      <c r="I19" s="1753"/>
      <c r="J19" s="1745"/>
      <c r="K19" s="1763"/>
    </row>
    <row r="20" spans="1:15" x14ac:dyDescent="0.2">
      <c r="A20" s="2333" t="s">
        <v>1788</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1789</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1187204</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1872</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425000</v>
      </c>
      <c r="D5" s="1770"/>
      <c r="E5" s="1770"/>
      <c r="F5" s="1765">
        <f>(C5+D5)-E5</f>
        <v>425000</v>
      </c>
      <c r="G5" s="676"/>
      <c r="H5" s="680"/>
      <c r="I5" s="680"/>
      <c r="J5" s="680"/>
      <c r="K5" s="637"/>
      <c r="L5" s="1442">
        <f>F5-K5</f>
        <v>425000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27789753</v>
      </c>
      <c r="D8" s="1771">
        <v>2612581</v>
      </c>
      <c r="E8" s="1771"/>
      <c r="F8" s="1765">
        <f>(C8+D8)-E8</f>
        <v>30402334</v>
      </c>
      <c r="G8" s="681">
        <v>50</v>
      </c>
      <c r="H8" s="619">
        <v>12169285</v>
      </c>
      <c r="I8" s="619">
        <v>608047</v>
      </c>
      <c r="J8" s="619"/>
      <c r="K8" s="1442">
        <f>(H8+I8)-J8</f>
        <v>12777332</v>
      </c>
      <c r="L8" s="1442">
        <f>F8-K8</f>
        <v>17625002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498548</v>
      </c>
      <c r="D10" s="1772">
        <v>253391</v>
      </c>
      <c r="E10" s="1772"/>
      <c r="F10" s="1773">
        <f>(C10+D10)-E10</f>
        <v>751939</v>
      </c>
      <c r="G10" s="681">
        <v>20</v>
      </c>
      <c r="H10" s="683">
        <v>363753</v>
      </c>
      <c r="I10" s="683">
        <v>21656</v>
      </c>
      <c r="J10" s="683"/>
      <c r="K10" s="1442">
        <f>(H10+I10)-J10</f>
        <v>385409</v>
      </c>
      <c r="L10" s="1442">
        <f>F10-K10</f>
        <v>366530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6379623</v>
      </c>
      <c r="D12" s="1771">
        <v>247624</v>
      </c>
      <c r="E12" s="1771"/>
      <c r="F12" s="1765">
        <f>(C12+D12)-E12</f>
        <v>6627247</v>
      </c>
      <c r="G12" s="681">
        <v>10</v>
      </c>
      <c r="H12" s="619">
        <v>5277989</v>
      </c>
      <c r="I12" s="619">
        <v>236953</v>
      </c>
      <c r="J12" s="619"/>
      <c r="K12" s="1442">
        <f>(H12+I12)-J12</f>
        <v>5514942</v>
      </c>
      <c r="L12" s="1442">
        <f>F12-K12</f>
        <v>1112305</v>
      </c>
    </row>
    <row r="13" spans="1:14" ht="14.25" thickTop="1" thickBot="1" x14ac:dyDescent="0.25">
      <c r="A13" s="684" t="s">
        <v>1112</v>
      </c>
      <c r="B13" s="679">
        <v>252</v>
      </c>
      <c r="C13" s="1771">
        <v>1019915</v>
      </c>
      <c r="D13" s="1771">
        <v>57185</v>
      </c>
      <c r="E13" s="1771"/>
      <c r="F13" s="1765">
        <f>(C13+D13)-E13</f>
        <v>1077100</v>
      </c>
      <c r="G13" s="681">
        <v>5</v>
      </c>
      <c r="H13" s="619">
        <v>901897</v>
      </c>
      <c r="I13" s="619">
        <v>52768</v>
      </c>
      <c r="J13" s="619"/>
      <c r="K13" s="1442">
        <f>(H13+I13)-J13</f>
        <v>954665</v>
      </c>
      <c r="L13" s="1442">
        <f>F13-K13</f>
        <v>122435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879610</v>
      </c>
      <c r="D15" s="1771">
        <v>843846</v>
      </c>
      <c r="E15" s="1771">
        <v>879610</v>
      </c>
      <c r="F15" s="1765">
        <f>(C15+D15)-E15</f>
        <v>843846</v>
      </c>
      <c r="G15" s="685" t="s">
        <v>857</v>
      </c>
      <c r="H15" s="632"/>
      <c r="I15" s="632"/>
      <c r="J15" s="632"/>
      <c r="K15" s="632"/>
      <c r="L15" s="1442">
        <f>F15-K15</f>
        <v>843846</v>
      </c>
    </row>
    <row r="16" spans="1:14" ht="15" customHeight="1" thickTop="1" thickBot="1" x14ac:dyDescent="0.25">
      <c r="A16" s="1438" t="s">
        <v>638</v>
      </c>
      <c r="B16" s="1439">
        <v>200</v>
      </c>
      <c r="C16" s="1765">
        <f>SUM(C3,C5:C6,C8:C10,C12:C15)</f>
        <v>36992449</v>
      </c>
      <c r="D16" s="1765">
        <f>SUM(D3,D5:D6,D8:D10,D12:D15)</f>
        <v>4014627</v>
      </c>
      <c r="E16" s="1765">
        <f>SUM(E3,E5:E6,E8:E10,E12:E15)</f>
        <v>879610</v>
      </c>
      <c r="F16" s="1765">
        <f>SUM(F3,F5:F6,F8:F10,F12:F15)</f>
        <v>40127466</v>
      </c>
      <c r="G16" s="681"/>
      <c r="H16" s="1435">
        <f>SUM(H3,H6,H8:H10,H12:H14,)</f>
        <v>18712924</v>
      </c>
      <c r="I16" s="1435">
        <f>SUM(I3,I6,I8:I10,I12:I14,)</f>
        <v>919424</v>
      </c>
      <c r="J16" s="1435">
        <f>SUM(J3,J6,J8:J10,J12:J14,)</f>
        <v>0</v>
      </c>
      <c r="K16" s="1435">
        <f>(H16+I16)-J16</f>
        <v>19632348</v>
      </c>
      <c r="L16" s="1435">
        <f>F16-K16</f>
        <v>20495118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919424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I166" sqref="I16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15708185</v>
      </c>
      <c r="G8" s="701"/>
    </row>
    <row r="9" spans="1:9" x14ac:dyDescent="0.2">
      <c r="A9" s="705" t="s">
        <v>457</v>
      </c>
      <c r="B9" s="706" t="s">
        <v>1845</v>
      </c>
      <c r="C9" s="707"/>
      <c r="D9" s="705" t="s">
        <v>498</v>
      </c>
      <c r="E9" s="704"/>
      <c r="F9" s="1775">
        <f>'Expenditures 15-22'!K151</f>
        <v>4386998</v>
      </c>
      <c r="G9" s="708"/>
    </row>
    <row r="10" spans="1:9" x14ac:dyDescent="0.2">
      <c r="A10" s="705" t="s">
        <v>496</v>
      </c>
      <c r="B10" s="706" t="s">
        <v>1846</v>
      </c>
      <c r="C10" s="707"/>
      <c r="D10" s="705" t="s">
        <v>498</v>
      </c>
      <c r="E10" s="704"/>
      <c r="F10" s="1775">
        <f>'Expenditures 15-22'!K174</f>
        <v>1051444</v>
      </c>
      <c r="G10" s="708"/>
    </row>
    <row r="11" spans="1:9" x14ac:dyDescent="0.2">
      <c r="A11" s="705" t="s">
        <v>458</v>
      </c>
      <c r="B11" s="706" t="s">
        <v>1847</v>
      </c>
      <c r="C11" s="707"/>
      <c r="D11" s="705" t="s">
        <v>498</v>
      </c>
      <c r="E11" s="704"/>
      <c r="F11" s="1775">
        <f>'Expenditures 15-22'!K210</f>
        <v>559543</v>
      </c>
      <c r="G11" s="708"/>
    </row>
    <row r="12" spans="1:9" x14ac:dyDescent="0.2">
      <c r="A12" s="705" t="s">
        <v>459</v>
      </c>
      <c r="B12" s="706" t="s">
        <v>1848</v>
      </c>
      <c r="C12" s="707"/>
      <c r="D12" s="705" t="s">
        <v>498</v>
      </c>
      <c r="E12" s="704"/>
      <c r="F12" s="1775">
        <f>'Expenditures 15-22'!K295</f>
        <v>528193</v>
      </c>
      <c r="G12" s="708"/>
    </row>
    <row r="13" spans="1:9" x14ac:dyDescent="0.2">
      <c r="A13" s="705" t="s">
        <v>106</v>
      </c>
      <c r="B13" s="706" t="s">
        <v>1849</v>
      </c>
      <c r="C13" s="707"/>
      <c r="D13" s="705" t="s">
        <v>498</v>
      </c>
      <c r="E13" s="704"/>
      <c r="F13" s="1775">
        <f>'Expenditures 15-22'!K342</f>
        <v>95984</v>
      </c>
      <c r="G13" s="709"/>
    </row>
    <row r="14" spans="1:9" ht="12" customHeight="1" thickBot="1" x14ac:dyDescent="0.25">
      <c r="A14" s="1443"/>
      <c r="B14" s="1444"/>
      <c r="C14" s="1445"/>
      <c r="D14" s="1446" t="s">
        <v>498</v>
      </c>
      <c r="E14" s="1447" t="s">
        <v>952</v>
      </c>
      <c r="F14" s="1776">
        <f>SUM(F8:F13)</f>
        <v>22330347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292415</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19876</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375262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11646</v>
      </c>
      <c r="G52" s="701"/>
    </row>
    <row r="53" spans="1:7" x14ac:dyDescent="0.2">
      <c r="A53" s="705" t="s">
        <v>456</v>
      </c>
      <c r="B53" s="705" t="s">
        <v>1458</v>
      </c>
      <c r="C53" s="724">
        <f>'Expenditures 15-22'!B102</f>
        <v>4000</v>
      </c>
      <c r="D53" s="723" t="str">
        <f>'Expenditures 15-22'!A102</f>
        <v>Total Payments to Other Govt Units</v>
      </c>
      <c r="E53" s="704"/>
      <c r="F53" s="1782">
        <f>'Expenditures 15-22'!K102</f>
        <v>819153</v>
      </c>
      <c r="G53" s="701"/>
    </row>
    <row r="54" spans="1:7" x14ac:dyDescent="0.2">
      <c r="A54" s="705" t="s">
        <v>456</v>
      </c>
      <c r="B54" s="705" t="s">
        <v>1459</v>
      </c>
      <c r="C54" s="724" t="s">
        <v>975</v>
      </c>
      <c r="D54" s="720" t="s">
        <v>1086</v>
      </c>
      <c r="E54" s="704"/>
      <c r="F54" s="1782">
        <f>'Expenditures 15-22'!G114</f>
        <v>185471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2892361</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169349</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57185</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3989</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552</v>
      </c>
      <c r="G71" s="701"/>
    </row>
    <row r="72" spans="1:9" x14ac:dyDescent="0.2">
      <c r="A72" s="705" t="s">
        <v>459</v>
      </c>
      <c r="B72" s="705" t="s">
        <v>1864</v>
      </c>
      <c r="C72" s="721">
        <f>'Expenditures 15-22'!B280</f>
        <v>3000</v>
      </c>
      <c r="D72" s="712" t="s">
        <v>446</v>
      </c>
      <c r="E72" s="704"/>
      <c r="F72" s="1782">
        <f>'Expenditures 15-22'!K280</f>
        <v>1345</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4828604</v>
      </c>
      <c r="G77" s="701"/>
    </row>
    <row r="78" spans="1:9" s="728" customFormat="1" ht="12" customHeight="1" thickTop="1" thickBot="1" x14ac:dyDescent="0.25">
      <c r="A78" s="1450"/>
      <c r="B78" s="1448"/>
      <c r="C78" s="1445"/>
      <c r="D78" s="1449" t="s">
        <v>2009</v>
      </c>
      <c r="E78" s="1447"/>
      <c r="F78" s="1788">
        <f>(F14-F77)</f>
        <v>17501743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1317.3</v>
      </c>
      <c r="G79" s="733"/>
      <c r="H79" s="705"/>
      <c r="I79" s="705"/>
    </row>
    <row r="80" spans="1:9" s="728" customFormat="1" ht="12" customHeight="1" thickBot="1" x14ac:dyDescent="0.25">
      <c r="A80" s="1452"/>
      <c r="B80" s="1448"/>
      <c r="C80" s="1445"/>
      <c r="D80" s="1449" t="s">
        <v>2010</v>
      </c>
      <c r="E80" s="1447" t="s">
        <v>952</v>
      </c>
      <c r="F80" s="1790">
        <f>IF(F79&gt;0,F78/F79," Complete Line 79")</f>
        <v>13286.072269035149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96186</v>
      </c>
      <c r="G95" s="745"/>
    </row>
    <row r="96" spans="1:7" x14ac:dyDescent="0.2">
      <c r="A96" s="741" t="s">
        <v>139</v>
      </c>
      <c r="B96" s="741" t="s">
        <v>174</v>
      </c>
      <c r="C96" s="743">
        <v>1700</v>
      </c>
      <c r="D96" s="751" t="str">
        <f>'Revenues 9-14'!A82</f>
        <v>Total District/School Activity Income</v>
      </c>
      <c r="E96" s="739"/>
      <c r="F96" s="1793">
        <f>SUM('Revenues 9-14'!C82,'Revenues 9-14'!D82)</f>
        <v>9016</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83682</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63740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173786</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3385</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0</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382905</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1923</v>
      </c>
      <c r="C122" s="761">
        <f>'Revenues 9-14'!B168</f>
        <v>3999</v>
      </c>
      <c r="D122" s="762" t="s">
        <v>540</v>
      </c>
      <c r="E122" s="764"/>
      <c r="F122" s="1793">
        <f>SUM('Revenues 9-14'!C168:G168,'Revenues 9-14'!J168)</f>
        <v>39721</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338514</v>
      </c>
      <c r="G126" s="763"/>
    </row>
    <row r="127" spans="1:7" x14ac:dyDescent="0.2">
      <c r="A127" s="760" t="s">
        <v>663</v>
      </c>
      <c r="B127" s="760" t="s">
        <v>1928</v>
      </c>
      <c r="C127" s="765">
        <v>4300</v>
      </c>
      <c r="D127" s="766" t="str">
        <f>'Revenues 9-14'!A204</f>
        <v>Total Title I</v>
      </c>
      <c r="E127" s="739"/>
      <c r="F127" s="1793">
        <f>SUM('Revenues 9-14'!C204,'Revenues 9-14'!D204,'Revenues 9-14'!F204,'Revenues 9-14'!G204)</f>
        <v>238415</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32068</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200988</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34094</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37155</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43309</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26152</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68414</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433783</v>
      </c>
      <c r="G172" s="760"/>
    </row>
    <row r="173" spans="1:7" x14ac:dyDescent="0.2">
      <c r="A173" s="1529" t="s">
        <v>659</v>
      </c>
      <c r="B173" s="1530" t="s">
        <v>1882</v>
      </c>
      <c r="C173" s="1531">
        <v>3300</v>
      </c>
      <c r="D173" s="1532" t="s">
        <v>1885</v>
      </c>
      <c r="E173" s="739"/>
      <c r="F173" s="1794">
        <v>120394</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2475707</v>
      </c>
    </row>
    <row r="176" spans="1:7" ht="12" customHeight="1" x14ac:dyDescent="0.2">
      <c r="A176" s="1443"/>
      <c r="B176" s="1453"/>
      <c r="C176" s="1454"/>
      <c r="D176" s="1455" t="s">
        <v>2011</v>
      </c>
      <c r="E176" s="1456"/>
      <c r="F176" s="1793">
        <f>'PCTC-OEPP 27-28'!F78-F175</f>
        <v>15026036</v>
      </c>
    </row>
    <row r="177" spans="1:9" ht="12" customHeight="1" x14ac:dyDescent="0.2">
      <c r="A177" s="1443"/>
      <c r="B177" s="1453"/>
      <c r="C177" s="1454"/>
      <c r="D177" s="1455" t="s">
        <v>1791</v>
      </c>
      <c r="E177" s="1456"/>
      <c r="F177" s="1793">
        <f>'Cap Outlay Deprec 26'!I18</f>
        <v>919424</v>
      </c>
    </row>
    <row r="178" spans="1:9" ht="12" customHeight="1" x14ac:dyDescent="0.2">
      <c r="A178" s="1443"/>
      <c r="B178" s="1453"/>
      <c r="C178" s="1454"/>
      <c r="D178" s="1455" t="s">
        <v>2012</v>
      </c>
      <c r="E178" s="1456"/>
      <c r="F178" s="1793">
        <f>F176+F177</f>
        <v>15945460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1317.3</v>
      </c>
      <c r="G179" s="763"/>
      <c r="I179" s="701"/>
    </row>
    <row r="180" spans="1:9" ht="12" customHeight="1" thickBot="1" x14ac:dyDescent="0.25">
      <c r="A180" s="1443"/>
      <c r="B180" s="1457"/>
      <c r="C180" s="1454"/>
      <c r="D180" s="1455" t="s">
        <v>2014</v>
      </c>
      <c r="E180" s="1456" t="s">
        <v>1528</v>
      </c>
      <c r="F180" s="1798">
        <f>F178/F179</f>
        <v>12104.653457830411</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9" sqref="D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7" t="s">
        <v>1792</v>
      </c>
      <c r="B4" s="2378"/>
      <c r="C4" s="2378"/>
      <c r="D4" s="2378"/>
      <c r="E4" s="2378"/>
      <c r="F4" s="2379"/>
    </row>
    <row r="5" spans="1:6" x14ac:dyDescent="0.25">
      <c r="A5" s="2380"/>
      <c r="B5" s="2381"/>
      <c r="C5" s="2381"/>
      <c r="D5" s="2381"/>
      <c r="E5" s="2381"/>
      <c r="F5" s="2382"/>
    </row>
    <row r="6" spans="1:6" ht="18.75" x14ac:dyDescent="0.25">
      <c r="A6" s="1867" t="s">
        <v>1793</v>
      </c>
      <c r="B6" s="1868"/>
      <c r="C6" s="1869"/>
      <c r="D6" s="1869"/>
      <c r="E6" s="1869"/>
      <c r="F6" s="1870"/>
    </row>
    <row r="7" spans="1:6" ht="47.25" customHeight="1" x14ac:dyDescent="0.25">
      <c r="A7" s="2383" t="s">
        <v>1982</v>
      </c>
      <c r="B7" s="2384"/>
      <c r="C7" s="2384"/>
      <c r="D7" s="2384"/>
      <c r="E7" s="2384"/>
      <c r="F7" s="2385"/>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6" t="s">
        <v>1978</v>
      </c>
      <c r="B10" s="2387"/>
      <c r="C10" s="2387"/>
      <c r="D10" s="2387"/>
      <c r="E10" s="2387"/>
      <c r="F10" s="2388"/>
    </row>
    <row r="11" spans="1:6" ht="33" customHeight="1" x14ac:dyDescent="0.25">
      <c r="A11" s="2383" t="s">
        <v>1983</v>
      </c>
      <c r="B11" s="2384"/>
      <c r="C11" s="2384"/>
      <c r="D11" s="2384"/>
      <c r="E11" s="2384"/>
      <c r="F11" s="2385"/>
    </row>
    <row r="12" spans="1:6" ht="15" customHeight="1" x14ac:dyDescent="0.25">
      <c r="A12" s="1873" t="s">
        <v>1979</v>
      </c>
      <c r="B12" s="1874"/>
      <c r="C12" s="1875"/>
      <c r="D12" s="1875"/>
      <c r="E12" s="1875"/>
      <c r="F12" s="1876"/>
    </row>
    <row r="13" spans="1:6" ht="17.25" customHeight="1" x14ac:dyDescent="0.25">
      <c r="A13" s="2383" t="s">
        <v>1980</v>
      </c>
      <c r="B13" s="2384"/>
      <c r="C13" s="2384"/>
      <c r="D13" s="2384"/>
      <c r="E13" s="2384"/>
      <c r="F13" s="2385"/>
    </row>
    <row r="14" spans="1:6" ht="15" customHeight="1" x14ac:dyDescent="0.25">
      <c r="A14" s="1873" t="s">
        <v>1797</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5" t="s">
        <v>2144</v>
      </c>
      <c r="B18" s="1908">
        <v>102300300</v>
      </c>
      <c r="C18" s="2036" t="s">
        <v>2145</v>
      </c>
      <c r="D18" s="1886">
        <v>50400</v>
      </c>
      <c r="E18" s="1906" t="str">
        <f t="shared" ref="E18:E81" si="0">IF(D18&lt;25000,D18,"25,000")</f>
        <v>25,000</v>
      </c>
      <c r="F18" s="1906">
        <f t="shared" ref="F18:F81" si="1">IF(D18&gt;=25000,(D18-E18),"0")</f>
        <v>25400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50400</v>
      </c>
      <c r="E142" s="1893">
        <f>SUM(E18:E141)</f>
        <v>0</v>
      </c>
      <c r="F142" s="1894">
        <f>SUM(F18:F141)</f>
        <v>25400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9" sqref="E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338514</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36821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10643855</v>
      </c>
      <c r="F19" s="1802"/>
      <c r="G19" s="1804">
        <f>'Expenditures 15-22'!K33-SUM('Expenditures 15-22'!G33,'Expenditures 15-22'!I33)+'Expenditures 15-22'!D229</f>
        <v>10643855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712808</v>
      </c>
      <c r="F21" s="1805"/>
      <c r="G21" s="1808">
        <f>'Expenditures 15-22'!K42-SUM('Expenditures 15-22'!G42,'Expenditures 15-22'!I42)+'Expenditures 15-22'!K120-SUM('Expenditures 15-22'!G120,'Expenditures 15-22'!I120)+'Expenditures 15-22'!K180-SUM('Expenditures 15-22'!G180,'Expenditures 15-22'!I180)+'Expenditures 15-22'!D238</f>
        <v>712808</v>
      </c>
      <c r="H21" s="817"/>
      <c r="I21" s="157"/>
    </row>
    <row r="22" spans="1:9" s="542" customFormat="1" ht="12" customHeight="1" x14ac:dyDescent="0.2">
      <c r="A22" s="824" t="s">
        <v>560</v>
      </c>
      <c r="B22" s="825"/>
      <c r="C22" s="823">
        <v>2200</v>
      </c>
      <c r="D22" s="1805"/>
      <c r="E22" s="1807">
        <f>'Expenditures 15-22'!K47-SUM('Expenditures 15-22'!G47,'Expenditures 15-22'!I47)+'Expenditures 15-22'!D243</f>
        <v>754936</v>
      </c>
      <c r="F22" s="1805"/>
      <c r="G22" s="1808">
        <f>'Expenditures 15-22'!K47-SUM('Expenditures 15-22'!G47,'Expenditures 15-22'!I47)+'Expenditures 15-22'!D243</f>
        <v>754936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569183</v>
      </c>
      <c r="F23" s="1805"/>
      <c r="G23" s="1807">
        <f>'Expenditures 15-22'!K53-SUM('Expenditures 15-22'!G53,'Expenditures 15-22'!I53)+'Expenditures 15-22'!D257+'Expenditures 15-22'!K330-SUM('Expenditures 15-22'!G330,'Expenditures 15-22'!I330)</f>
        <v>569183</v>
      </c>
      <c r="H23" s="817"/>
      <c r="I23" s="157"/>
    </row>
    <row r="24" spans="1:9" s="542" customFormat="1" ht="12" customHeight="1" x14ac:dyDescent="0.2">
      <c r="A24" s="824" t="s">
        <v>562</v>
      </c>
      <c r="B24" s="825"/>
      <c r="C24" s="823">
        <v>2400</v>
      </c>
      <c r="D24" s="1805"/>
      <c r="E24" s="1807">
        <f>'Expenditures 15-22'!K57-SUM('Expenditures 15-22'!G57,'Expenditures 15-22'!I57)+'Expenditures 15-22'!D261</f>
        <v>1224715</v>
      </c>
      <c r="F24" s="1805"/>
      <c r="G24" s="1808">
        <f>'Expenditures 15-22'!K57-SUM('Expenditures 15-22'!G57,'Expenditures 15-22'!I57)+'Expenditures 15-22'!D261</f>
        <v>1224715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279062</v>
      </c>
      <c r="E27" s="1807">
        <f>E8</f>
        <v>0</v>
      </c>
      <c r="F27" s="1807">
        <f>'Expenditures 15-22'!K60-SUM('Expenditures 15-22'!G60,'Expenditures 15-22'!I60)+'Expenditures 15-22'!D264-E8</f>
        <v>279062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2123113</v>
      </c>
      <c r="F28" s="1809">
        <f>'Expenditures 15-22'!K61-SUM('Expenditures 15-22'!G61,'Expenditures 15-22'!I61)+'Expenditures 15-22'!K124-SUM('Expenditures 15-22'!G124,'Expenditures 15-22'!I124)+'Expenditures 15-22'!D266-E9</f>
        <v>2123113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535600</v>
      </c>
      <c r="F29" s="1805"/>
      <c r="G29" s="1808">
        <f>'Expenditures 15-22'!K62-SUM('Expenditures 15-22'!G62,'Expenditures 15-22'!I62)+'Expenditures 15-22'!K125-SUM('Expenditures 15-22'!G125,'Expenditures 15-22'!I125)+'Expenditures 15-22'!K182-SUM('Expenditures 15-22'!G182,'Expenditures 15-22'!I182)+'Expenditures 15-22'!D267</f>
        <v>535600</v>
      </c>
      <c r="H29" s="815"/>
    </row>
    <row r="30" spans="1:9" ht="12" customHeight="1" x14ac:dyDescent="0.2">
      <c r="A30" s="824" t="s">
        <v>100</v>
      </c>
      <c r="B30" s="827"/>
      <c r="C30" s="823">
        <v>2560</v>
      </c>
      <c r="D30" s="1805"/>
      <c r="E30" s="1807">
        <f>'Expenditures 15-22'!K63-SUM('Expenditures 15-22'!G63,'Expenditures 15-22'!I63)+'Expenditures 15-22'!D268-E10</f>
        <v>82556</v>
      </c>
      <c r="F30" s="1805"/>
      <c r="G30" s="1807">
        <f>'Expenditures 15-22'!K63-SUM('Expenditures 15-22'!G63,'Expenditures 15-22'!I63)+'Expenditures 15-22'!D268-E10</f>
        <v>82556</v>
      </c>
    </row>
    <row r="31" spans="1:9" ht="12" customHeight="1" x14ac:dyDescent="0.2">
      <c r="A31" s="824" t="s">
        <v>101</v>
      </c>
      <c r="B31" s="827"/>
      <c r="C31" s="823">
        <v>2570</v>
      </c>
      <c r="D31" s="1807">
        <f>'Expenditures 15-22'!K64-SUM('Expenditures 15-22'!G64,'Expenditures 15-22'!I64)+'Expenditures 15-22'!D269-E12</f>
        <v>8412</v>
      </c>
      <c r="E31" s="1807">
        <f>E12</f>
        <v>0</v>
      </c>
      <c r="F31" s="1807">
        <f>'Expenditures 15-22'!K64-SUM('Expenditures 15-22'!G64,'Expenditures 15-22'!I64)+'Expenditures 15-22'!D269-E12</f>
        <v>8412</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38988</v>
      </c>
      <c r="F34" s="1805"/>
      <c r="G34" s="1807">
        <f>'Expenditures 15-22'!K68-SUM('Expenditures 15-22'!G68,'Expenditures 15-22'!I68)+'Expenditures 15-22'!D273</f>
        <v>38988</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12991</v>
      </c>
      <c r="F39" s="1805"/>
      <c r="G39" s="1807">
        <f>'Expenditures 15-22'!K75-SUM('Expenditures 15-22'!G75,'Expenditures 15-22'!I75)+'Expenditures 15-22'!K130-SUM('Expenditures 15-22'!G130,'Expenditures 15-22'!I130)+'Expenditures 15-22'!K185-SUM('Expenditures 15-22'!G185,'Expenditures 15-22'!I185)+'Expenditures 15-22'!D280</f>
        <v>12991</v>
      </c>
    </row>
    <row r="40" spans="1:7" ht="12" customHeight="1" x14ac:dyDescent="0.2">
      <c r="A40" s="820" t="s">
        <v>1795</v>
      </c>
      <c r="B40" s="821"/>
      <c r="C40" s="823"/>
      <c r="D40" s="1805"/>
      <c r="E40" s="1809">
        <f>-'Contracts Paid in CY 29'!F142</f>
        <v>-25400</v>
      </c>
      <c r="F40" s="1805"/>
      <c r="G40" s="1809">
        <f>-'Contracts Paid in CY 29'!F142</f>
        <v>-25400</v>
      </c>
    </row>
    <row r="41" spans="1:7" ht="12" customHeight="1" x14ac:dyDescent="0.2">
      <c r="A41" s="828" t="s">
        <v>155</v>
      </c>
      <c r="B41" s="829"/>
      <c r="C41" s="830"/>
      <c r="D41" s="1809">
        <f>SUM(D19:D39)</f>
        <v>287474</v>
      </c>
      <c r="E41" s="1809">
        <f>SUM(E19:E40)</f>
        <v>16673345</v>
      </c>
      <c r="F41" s="1809">
        <f>SUM(F19:F39)</f>
        <v>2410587</v>
      </c>
      <c r="G41" s="1809">
        <f>SUM(G19:G40)</f>
        <v>14550232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287474</v>
      </c>
      <c r="F43" s="1458" t="s">
        <v>470</v>
      </c>
      <c r="G43" s="1810">
        <f>F41</f>
        <v>2410587</v>
      </c>
    </row>
    <row r="44" spans="1:7" ht="12" customHeight="1" x14ac:dyDescent="0.2">
      <c r="A44" s="817"/>
      <c r="B44" s="157"/>
      <c r="C44" s="831"/>
      <c r="D44" s="1458" t="s">
        <v>471</v>
      </c>
      <c r="E44" s="1810">
        <f>E41</f>
        <v>16673345</v>
      </c>
      <c r="F44" s="1458" t="s">
        <v>471</v>
      </c>
      <c r="G44" s="1810">
        <f>G41</f>
        <v>14550232</v>
      </c>
    </row>
    <row r="45" spans="1:7" ht="12" customHeight="1" x14ac:dyDescent="0.2">
      <c r="A45" s="817"/>
      <c r="B45" s="157"/>
      <c r="C45" s="157"/>
      <c r="D45" s="1459" t="s">
        <v>999</v>
      </c>
      <c r="E45" s="1811">
        <f>(E43/E44)</f>
        <v>1.7241531318400716E-2</v>
      </c>
      <c r="F45" s="1459" t="s">
        <v>999</v>
      </c>
      <c r="G45" s="1811">
        <f>(G43/G44)</f>
        <v>0.16567344080836649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A38" sqref="A38:XFD3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Franklin Park SD 84</v>
      </c>
      <c r="D6" s="2404"/>
      <c r="E6" s="2404"/>
      <c r="F6" s="1482"/>
      <c r="G6" s="1507"/>
      <c r="L6" s="1507"/>
      <c r="M6" s="1855"/>
      <c r="N6" s="1855"/>
      <c r="O6" s="1855"/>
    </row>
    <row r="7" spans="1:15" ht="11.25" customHeight="1" thickBot="1" x14ac:dyDescent="0.3">
      <c r="A7" s="1480"/>
      <c r="B7" s="1481"/>
      <c r="C7" s="2405">
        <f>COVER!A13</f>
        <v>6016084002</v>
      </c>
      <c r="D7" s="2405"/>
      <c r="E7" s="2405"/>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2048</v>
      </c>
      <c r="D19" s="1495" t="s">
        <v>2048</v>
      </c>
      <c r="E19" s="1498"/>
      <c r="F19" s="1497" t="s">
        <v>2074</v>
      </c>
      <c r="G19" s="1507"/>
      <c r="H19" s="1507">
        <f t="shared" si="0"/>
        <v>5</v>
      </c>
      <c r="I19" s="1507">
        <f t="shared" si="1"/>
        <v>5</v>
      </c>
      <c r="J19" s="1507">
        <f t="shared" si="2"/>
        <v>0</v>
      </c>
      <c r="L19" s="1507"/>
      <c r="M19" s="1855"/>
      <c r="N19" s="1855"/>
      <c r="O19" s="1855"/>
    </row>
    <row r="20" spans="1:15" ht="12" customHeight="1" x14ac:dyDescent="0.2">
      <c r="A20" s="1493" t="s">
        <v>1511</v>
      </c>
      <c r="B20" s="1494"/>
      <c r="C20" s="1495" t="s">
        <v>2048</v>
      </c>
      <c r="D20" s="1495" t="s">
        <v>2048</v>
      </c>
      <c r="E20" s="1498"/>
      <c r="F20" s="1497" t="s">
        <v>2073</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c r="F26" s="1497" t="s">
        <v>2075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M15" sqref="M15"/>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Franklin Park SD 84</v>
      </c>
      <c r="K6" s="2420"/>
      <c r="L6" s="2421"/>
      <c r="M6" s="838"/>
      <c r="N6" s="1998"/>
    </row>
    <row r="7" spans="1:14" x14ac:dyDescent="0.2">
      <c r="A7" s="2422" t="s">
        <v>864</v>
      </c>
      <c r="B7" s="2423"/>
      <c r="C7" s="2423"/>
      <c r="D7" s="2423"/>
      <c r="E7" s="2424"/>
      <c r="F7" s="839"/>
      <c r="G7" s="838"/>
      <c r="H7" s="838"/>
      <c r="I7" s="1924" t="s">
        <v>369</v>
      </c>
      <c r="J7" s="2425">
        <f>COVER!A13</f>
        <v>6016084002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293431</v>
      </c>
      <c r="F12" s="1942"/>
      <c r="G12" s="1968">
        <f>G68</f>
        <v>0</v>
      </c>
      <c r="H12" s="1944">
        <f t="shared" ref="H12:H18" si="0">SUM(E12:G12)</f>
        <v>293431</v>
      </c>
      <c r="I12" s="1943">
        <v>258100</v>
      </c>
      <c r="J12" s="1942"/>
      <c r="K12" s="1943"/>
      <c r="L12" s="1944">
        <f t="shared" ref="L12:L18" si="1">SUM(I12:K12)</f>
        <v>258100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18785</v>
      </c>
      <c r="F16" s="1942"/>
      <c r="G16" s="1968">
        <f>K68</f>
        <v>95984</v>
      </c>
      <c r="H16" s="1944">
        <f t="shared" si="0"/>
        <v>114769</v>
      </c>
      <c r="I16" s="1943">
        <v>23000</v>
      </c>
      <c r="J16" s="1942"/>
      <c r="K16" s="1943">
        <v>128550</v>
      </c>
      <c r="L16" s="1944">
        <f t="shared" si="1"/>
        <v>151550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312216</v>
      </c>
      <c r="F19" s="1950">
        <f t="shared" si="2"/>
        <v>0</v>
      </c>
      <c r="G19" s="1950">
        <f t="shared" ref="G19" si="3">SUM(G12:G17)-G18</f>
        <v>95984</v>
      </c>
      <c r="H19" s="1950">
        <f t="shared" si="2"/>
        <v>408200</v>
      </c>
      <c r="I19" s="1950">
        <f t="shared" si="2"/>
        <v>281100</v>
      </c>
      <c r="J19" s="1950">
        <f t="shared" si="2"/>
        <v>0</v>
      </c>
      <c r="K19" s="1950">
        <f t="shared" si="2"/>
        <v>128550</v>
      </c>
      <c r="L19" s="1950">
        <f t="shared" si="2"/>
        <v>409650</v>
      </c>
      <c r="M19" s="838"/>
      <c r="N19" s="1998"/>
    </row>
    <row r="20" spans="1:14" ht="13.5" thickTop="1" x14ac:dyDescent="0.2">
      <c r="A20" s="2003">
        <v>9</v>
      </c>
      <c r="B20" s="2432" t="s">
        <v>2018</v>
      </c>
      <c r="C20" s="2432"/>
      <c r="D20" s="2433"/>
      <c r="E20" s="1951"/>
      <c r="F20" s="1951"/>
      <c r="G20" s="1951"/>
      <c r="H20" s="1951"/>
      <c r="I20" s="1951"/>
      <c r="J20" s="1951"/>
      <c r="K20" s="1951"/>
      <c r="L20" s="1952">
        <f>IF(AND(H19&gt;0,L19&gt;0),(((L19-H19)/H19)),"Enter Budget Data")</f>
        <v>3.5521803037726605E-3</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2021</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2022</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2023</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2024</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47" t="s">
        <v>2026</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Franklin Park SD 84</v>
      </c>
      <c r="M52" s="2420"/>
      <c r="N52" s="2450"/>
    </row>
    <row r="53" spans="1:14" x14ac:dyDescent="0.2">
      <c r="A53" s="1982"/>
      <c r="B53" s="1983"/>
      <c r="C53" s="1983"/>
      <c r="D53" s="1983"/>
      <c r="E53" s="1983"/>
      <c r="F53" s="1983"/>
      <c r="G53" s="1983"/>
      <c r="H53" s="1983"/>
      <c r="I53" s="1983"/>
      <c r="J53" s="1983"/>
      <c r="K53" s="1924" t="s">
        <v>369</v>
      </c>
      <c r="L53" s="2425">
        <f>J7</f>
        <v>6016084002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2027</v>
      </c>
      <c r="H55" s="2454"/>
      <c r="I55" s="2454"/>
      <c r="J55" s="2454"/>
      <c r="K55" s="2454"/>
      <c r="L55" s="2454"/>
      <c r="M55" s="2454"/>
      <c r="N55" s="2455"/>
    </row>
    <row r="56" spans="1:14" ht="63.75" x14ac:dyDescent="0.2">
      <c r="A56" s="2456" t="s">
        <v>2028</v>
      </c>
      <c r="B56" s="2457"/>
      <c r="C56" s="245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2038</v>
      </c>
      <c r="B58" s="2439"/>
      <c r="C58" s="2439"/>
      <c r="D58" s="1967">
        <v>2362</v>
      </c>
      <c r="E58" s="1977">
        <f>'Expenditures 15-22'!K320</f>
        <v>58854</v>
      </c>
      <c r="F58" s="1972"/>
      <c r="G58" s="2031"/>
      <c r="H58" s="2032"/>
      <c r="I58" s="2032"/>
      <c r="J58" s="2032"/>
      <c r="K58" s="2032">
        <v>58854</v>
      </c>
      <c r="L58" s="2032"/>
      <c r="M58" s="2032"/>
      <c r="N58" s="1975">
        <f>IF((SUM(G58:M58))=E58,SUM(G58:M58),"Column N does not agree with Column E")</f>
        <v>58854</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37130</v>
      </c>
      <c r="F60" s="1972"/>
      <c r="G60" s="2031"/>
      <c r="H60" s="2032"/>
      <c r="I60" s="2032"/>
      <c r="J60" s="2032"/>
      <c r="K60" s="2032">
        <v>37130</v>
      </c>
      <c r="L60" s="2032"/>
      <c r="M60" s="2032"/>
      <c r="N60" s="1975">
        <f t="shared" ref="N60:N67" si="4">IF((SUM(G60:M60))=E60,SUM(G60:M60),"Column N does not agree with Column E")</f>
        <v>37130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2039</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95984</v>
      </c>
      <c r="F68" s="1973"/>
      <c r="G68" s="1974">
        <f t="shared" ref="G68:N68" si="5">SUM(G57:G67)</f>
        <v>0</v>
      </c>
      <c r="H68" s="1974">
        <f t="shared" si="5"/>
        <v>0</v>
      </c>
      <c r="I68" s="1974">
        <f t="shared" si="5"/>
        <v>0</v>
      </c>
      <c r="J68" s="1974">
        <f t="shared" si="5"/>
        <v>0</v>
      </c>
      <c r="K68" s="1974">
        <f t="shared" si="5"/>
        <v>95984</v>
      </c>
      <c r="L68" s="1974">
        <f t="shared" si="5"/>
        <v>0</v>
      </c>
      <c r="M68" s="1974">
        <f t="shared" si="5"/>
        <v>0</v>
      </c>
      <c r="N68" s="1988">
        <f t="shared" si="5"/>
        <v>95984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Franklin Park SD 84</v>
      </c>
    </row>
    <row r="65" spans="2:2" x14ac:dyDescent="0.2">
      <c r="B65" s="849">
        <f>COVER!A13</f>
        <v>6016084002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3"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0</xdr:col>
                <xdr:colOff>0</xdr:colOff>
                <xdr:row>0</xdr:row>
                <xdr:rowOff>0</xdr:rowOff>
              </from>
              <to>
                <xdr:col>1</xdr:col>
                <xdr:colOff>685800</xdr:colOff>
                <xdr:row>3</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1969</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20373246</v>
      </c>
      <c r="C8" s="1813">
        <f>'Acct Summary 7-8'!D8</f>
        <v>1930335</v>
      </c>
      <c r="D8" s="1813">
        <f>'Acct Summary 7-8'!F8</f>
        <v>437353</v>
      </c>
      <c r="E8" s="1813">
        <f>'Acct Summary 7-8'!I8</f>
        <v>185089</v>
      </c>
      <c r="F8" s="1813">
        <f>SUM(B8:E8)</f>
        <v>22926023</v>
      </c>
    </row>
    <row r="9" spans="1:8" s="858" customFormat="1" ht="14.25" customHeight="1" thickBot="1" x14ac:dyDescent="0.25">
      <c r="A9" s="857" t="s">
        <v>1353</v>
      </c>
      <c r="B9" s="1814">
        <f>'Acct Summary 7-8'!C17</f>
        <v>15708185</v>
      </c>
      <c r="C9" s="1814">
        <f>'Acct Summary 7-8'!D17</f>
        <v>4386998</v>
      </c>
      <c r="D9" s="1814">
        <f>'Acct Summary 7-8'!F17</f>
        <v>559543</v>
      </c>
      <c r="E9" s="1813"/>
      <c r="F9" s="1813">
        <f>SUM(B9:E9)</f>
        <v>20654726</v>
      </c>
    </row>
    <row r="10" spans="1:8" s="858" customFormat="1" ht="14.25" thickTop="1" thickBot="1" x14ac:dyDescent="0.25">
      <c r="A10" s="859" t="s">
        <v>1354</v>
      </c>
      <c r="B10" s="1815">
        <f>(B8-B9)</f>
        <v>4665061</v>
      </c>
      <c r="C10" s="1815">
        <f>(C8-C9)</f>
        <v>-2456663</v>
      </c>
      <c r="D10" s="1815">
        <f>(D8-D9)</f>
        <v>-122190</v>
      </c>
      <c r="E10" s="1814">
        <f>(E8-E9)</f>
        <v>185089</v>
      </c>
      <c r="F10" s="1816">
        <f>SUM(F8-F9)</f>
        <v>2271297</v>
      </c>
    </row>
    <row r="11" spans="1:8" s="858" customFormat="1" ht="14.25" thickTop="1" thickBot="1" x14ac:dyDescent="0.25">
      <c r="A11" s="860" t="s">
        <v>1900</v>
      </c>
      <c r="B11" s="1817">
        <f>'Acct Summary 7-8'!C81</f>
        <v>22174225</v>
      </c>
      <c r="C11" s="1817">
        <f>'Acct Summary 7-8'!D81</f>
        <v>2270565</v>
      </c>
      <c r="D11" s="1817">
        <f>'Acct Summary 7-8'!F81</f>
        <v>2627150</v>
      </c>
      <c r="E11" s="1817">
        <f>'Acct Summary 7-8'!I81</f>
        <v>6649788</v>
      </c>
      <c r="F11" s="1818">
        <f>SUM(B11:E11)</f>
        <v>33721728</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1" sqref="D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6016084002</v>
      </c>
      <c r="E2" s="1542">
        <v>2020</v>
      </c>
      <c r="F2" s="1542">
        <v>1</v>
      </c>
      <c r="G2" s="1899">
        <v>101000300</v>
      </c>
    </row>
    <row r="3" spans="1:7" ht="15" x14ac:dyDescent="0.25">
      <c r="A3" t="s">
        <v>950</v>
      </c>
      <c r="B3" s="135" t="str">
        <f>COVER!A15</f>
        <v>COOK</v>
      </c>
      <c r="E3" s="1830" t="s">
        <v>1968</v>
      </c>
      <c r="F3" s="1830" t="s">
        <v>1967</v>
      </c>
      <c r="G3" s="1899">
        <v>101000400</v>
      </c>
    </row>
    <row r="4" spans="1:7" ht="15" x14ac:dyDescent="0.25">
      <c r="A4" t="s">
        <v>1000</v>
      </c>
      <c r="B4" s="135" t="str">
        <f>COVER!A17</f>
        <v xml:space="preserve">   Franklin Park SD 84</v>
      </c>
      <c r="E4" s="1828">
        <v>44119</v>
      </c>
      <c r="F4" s="1829">
        <v>44151</v>
      </c>
      <c r="G4" s="1899">
        <v>101000600</v>
      </c>
    </row>
    <row r="5" spans="1:7" ht="15" x14ac:dyDescent="0.25">
      <c r="A5" t="s">
        <v>699</v>
      </c>
      <c r="B5" s="135" t="str">
        <f>COVER!A38</f>
        <v>DR. DAVID KATZIN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066-003289</v>
      </c>
      <c r="G15" s="1899">
        <v>402100400</v>
      </c>
    </row>
    <row r="16" spans="1:7" ht="15" x14ac:dyDescent="0.25">
      <c r="A16" t="s">
        <v>419</v>
      </c>
      <c r="B16" s="135" t="str">
        <f>COVER!T13</f>
        <v>EVOY, KAMSCHULTE, JACOBS &amp; CO. LLP</v>
      </c>
      <c r="G16" s="1899">
        <v>402100600</v>
      </c>
    </row>
    <row r="17" spans="1:7" ht="15" x14ac:dyDescent="0.25">
      <c r="A17" t="s">
        <v>878</v>
      </c>
      <c r="B17" s="135" t="str">
        <f>COVER!T15</f>
        <v>JAMES HENRY, CPA</v>
      </c>
      <c r="G17" s="1899">
        <v>402100800</v>
      </c>
    </row>
    <row r="18" spans="1:7" ht="15" x14ac:dyDescent="0.25">
      <c r="A18" t="s">
        <v>1140</v>
      </c>
      <c r="B18" s="135" t="str">
        <f>COVER!T17</f>
        <v>2122 YEOMAN STREET</v>
      </c>
      <c r="G18" s="1899">
        <v>102200300</v>
      </c>
    </row>
    <row r="19" spans="1:7" ht="15" x14ac:dyDescent="0.25">
      <c r="A19" t="s">
        <v>880</v>
      </c>
      <c r="B19" s="135" t="str">
        <f>COVER!T25</f>
        <v>JHENRY@EKJLLP.COM</v>
      </c>
      <c r="G19" s="1899">
        <v>102200400</v>
      </c>
    </row>
    <row r="20" spans="1:7" ht="15" x14ac:dyDescent="0.25">
      <c r="A20" t="s">
        <v>881</v>
      </c>
      <c r="B20" s="135" t="str">
        <f>COVER!T19</f>
        <v>WAUKEGAN</v>
      </c>
      <c r="G20" s="1899">
        <v>102200600</v>
      </c>
    </row>
    <row r="21" spans="1:7" ht="15" x14ac:dyDescent="0.25">
      <c r="A21" t="s">
        <v>476</v>
      </c>
      <c r="B21" s="135" t="str">
        <f>COVER!X19</f>
        <v>IL</v>
      </c>
      <c r="G21" s="1899">
        <v>102200800</v>
      </c>
    </row>
    <row r="22" spans="1:7" ht="15" x14ac:dyDescent="0.25">
      <c r="A22" t="s">
        <v>882</v>
      </c>
      <c r="B22" s="135">
        <f>COVER!Z19</f>
        <v>60087</v>
      </c>
      <c r="G22" s="1899">
        <v>102300300</v>
      </c>
    </row>
    <row r="23" spans="1:7" ht="15" x14ac:dyDescent="0.25">
      <c r="A23" t="s">
        <v>1142</v>
      </c>
      <c r="B23" s="135" t="str">
        <f>COVER!T21</f>
        <v>847-662-8300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34700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22174225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22174225</v>
      </c>
      <c r="D92" s="2" t="str">
        <f t="shared" si="0"/>
        <v>Error?</v>
      </c>
      <c r="G92" s="1899">
        <v>102640600</v>
      </c>
    </row>
    <row r="93" spans="1:7" ht="15" x14ac:dyDescent="0.25">
      <c r="A93" s="5">
        <v>32</v>
      </c>
      <c r="B93" s="1832">
        <f>'Assets-Liab 5-6'!C41</f>
        <v>22174225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2270565</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2270565</v>
      </c>
      <c r="D123" s="2" t="str">
        <f t="shared" si="0"/>
        <v>Error?</v>
      </c>
      <c r="G123" s="1899">
        <v>203000400</v>
      </c>
    </row>
    <row r="124" spans="1:7" ht="15" x14ac:dyDescent="0.25">
      <c r="A124" s="5">
        <v>63</v>
      </c>
      <c r="B124" s="1832">
        <f>'Assets-Liab 5-6'!D41</f>
        <v>2270565</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319902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319902</v>
      </c>
      <c r="D140" s="2" t="str">
        <f t="shared" si="1"/>
        <v>Error?</v>
      </c>
    </row>
    <row r="141" spans="1:7" x14ac:dyDescent="0.2">
      <c r="A141" s="5">
        <v>80</v>
      </c>
      <c r="B141" s="1832">
        <f>'Assets-Liab 5-6'!E41</f>
        <v>319902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2627150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2627150</v>
      </c>
      <c r="D170" s="2" t="str">
        <f t="shared" si="1"/>
        <v>Error?</v>
      </c>
    </row>
    <row r="171" spans="1:4" x14ac:dyDescent="0.2">
      <c r="A171" s="5">
        <v>110</v>
      </c>
      <c r="B171" s="1832">
        <f>'Assets-Liab 5-6'!F41</f>
        <v>2627150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1068070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1068070</v>
      </c>
      <c r="D189" s="2" t="str">
        <f t="shared" si="1"/>
        <v>Error?</v>
      </c>
    </row>
    <row r="190" spans="1:4" x14ac:dyDescent="0.2">
      <c r="A190" s="5">
        <v>129</v>
      </c>
      <c r="B190" s="1832">
        <f>'Assets-Liab 5-6'!G41</f>
        <v>1068070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425000</v>
      </c>
      <c r="D273" s="2" t="str">
        <f t="shared" si="3"/>
        <v>Error?</v>
      </c>
    </row>
    <row r="274" spans="1:4" x14ac:dyDescent="0.2">
      <c r="A274" s="5">
        <v>213</v>
      </c>
      <c r="B274" s="1832">
        <f>'Assets-Liab 5-6'!M17</f>
        <v>17625002</v>
      </c>
      <c r="D274" s="2" t="str">
        <f t="shared" si="3"/>
        <v>Error?</v>
      </c>
    </row>
    <row r="275" spans="1:4" x14ac:dyDescent="0.2">
      <c r="A275" s="5">
        <v>214</v>
      </c>
      <c r="B275" s="1832">
        <f>'Assets-Liab 5-6'!M18</f>
        <v>366530</v>
      </c>
      <c r="D275" s="2" t="str">
        <f t="shared" si="3"/>
        <v>Error?</v>
      </c>
    </row>
    <row r="276" spans="1:4" x14ac:dyDescent="0.2">
      <c r="A276" s="5">
        <v>215</v>
      </c>
      <c r="B276" s="1832">
        <f>'Assets-Liab 5-6'!M19</f>
        <v>1234740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20495118</v>
      </c>
      <c r="C279" s="2" t="s">
        <v>569</v>
      </c>
      <c r="D279" s="2" t="str">
        <f t="shared" si="3"/>
        <v>Error?</v>
      </c>
    </row>
    <row r="280" spans="1:4" x14ac:dyDescent="0.2">
      <c r="A280" s="5">
        <v>219</v>
      </c>
      <c r="B280" s="1832">
        <f>'Assets-Liab 5-6'!M40</f>
        <v>20495118</v>
      </c>
      <c r="D280" s="2" t="str">
        <f t="shared" si="3"/>
        <v>Error?</v>
      </c>
    </row>
    <row r="281" spans="1:4" x14ac:dyDescent="0.2">
      <c r="A281" s="5">
        <v>220</v>
      </c>
      <c r="B281" s="1832">
        <f>'Assets-Liab 5-6'!M41</f>
        <v>20495118</v>
      </c>
      <c r="C281" s="2" t="s">
        <v>569</v>
      </c>
      <c r="D281" s="2" t="str">
        <f t="shared" si="3"/>
        <v>Error?</v>
      </c>
    </row>
    <row r="282" spans="1:4" x14ac:dyDescent="0.2">
      <c r="A282" s="5">
        <v>221</v>
      </c>
      <c r="B282" s="1832">
        <f>'Assets-Liab 5-6'!N21</f>
        <v>319902</v>
      </c>
      <c r="D282" s="2" t="str">
        <f t="shared" si="3"/>
        <v>Error?</v>
      </c>
    </row>
    <row r="283" spans="1:4" x14ac:dyDescent="0.2">
      <c r="A283" s="5">
        <v>222</v>
      </c>
      <c r="B283" s="1832">
        <f>'Assets-Liab 5-6'!N22</f>
        <v>12001684</v>
      </c>
      <c r="D283" s="2" t="str">
        <f t="shared" si="3"/>
        <v>Error?</v>
      </c>
    </row>
    <row r="284" spans="1:4" x14ac:dyDescent="0.2">
      <c r="A284" s="5">
        <v>223</v>
      </c>
      <c r="B284" s="1832">
        <f>'Assets-Liab 5-6'!N23</f>
        <v>12321586</v>
      </c>
      <c r="C284" s="2" t="s">
        <v>569</v>
      </c>
      <c r="D284" s="2" t="str">
        <f t="shared" si="3"/>
        <v>Error?</v>
      </c>
    </row>
    <row r="285" spans="1:4" x14ac:dyDescent="0.2">
      <c r="A285" s="5">
        <v>224</v>
      </c>
      <c r="B285" s="1832">
        <f>'Assets-Liab 5-6'!N36</f>
        <v>12321586</v>
      </c>
      <c r="D285" s="2" t="str">
        <f t="shared" si="3"/>
        <v>Error?</v>
      </c>
    </row>
    <row r="286" spans="1:4" x14ac:dyDescent="0.2">
      <c r="A286" s="10">
        <v>225</v>
      </c>
      <c r="B286" s="1832"/>
      <c r="D286" s="2" t="str">
        <f t="shared" si="3"/>
        <v>OK</v>
      </c>
    </row>
    <row r="287" spans="1:4" x14ac:dyDescent="0.2">
      <c r="A287" s="5">
        <v>226</v>
      </c>
      <c r="B287" s="1832">
        <f>'Assets-Liab 5-6'!N37</f>
        <v>12321586</v>
      </c>
      <c r="C287" s="2" t="s">
        <v>569</v>
      </c>
      <c r="D287" s="2" t="str">
        <f t="shared" si="3"/>
        <v>Error?</v>
      </c>
    </row>
    <row r="288" spans="1:4" x14ac:dyDescent="0.2">
      <c r="A288" s="5">
        <v>227</v>
      </c>
      <c r="B288" s="1832">
        <f>'Assets-Liab 5-6'!N41</f>
        <v>12321586</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5375182</v>
      </c>
      <c r="D705" s="2" t="str">
        <f t="shared" si="10"/>
        <v>Error?</v>
      </c>
    </row>
    <row r="706" spans="1:4" x14ac:dyDescent="0.2">
      <c r="A706" s="5">
        <v>645</v>
      </c>
      <c r="B706" s="1832">
        <f>'Expenditures 15-22'!C16</f>
        <v>93008</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338236</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347884</v>
      </c>
      <c r="D718" s="2" t="str">
        <f t="shared" si="10"/>
        <v>Error?</v>
      </c>
    </row>
    <row r="719" spans="1:4" x14ac:dyDescent="0.2">
      <c r="A719" s="5">
        <v>658</v>
      </c>
      <c r="B719" s="1832">
        <f>'Expenditures 15-22'!C15</f>
        <v>18664</v>
      </c>
      <c r="D719" s="2" t="str">
        <f t="shared" si="10"/>
        <v>Error?</v>
      </c>
    </row>
    <row r="720" spans="1:4" x14ac:dyDescent="0.2">
      <c r="A720" s="5">
        <v>659</v>
      </c>
      <c r="B720" s="1832">
        <f>'Expenditures 15-22'!C33</f>
        <v>7699293</v>
      </c>
      <c r="C720" s="2" t="s">
        <v>569</v>
      </c>
      <c r="D720" s="2" t="str">
        <f t="shared" si="10"/>
        <v>Error?</v>
      </c>
    </row>
    <row r="721" spans="1:4" x14ac:dyDescent="0.2">
      <c r="A721" s="5">
        <v>660</v>
      </c>
      <c r="B721" s="1832">
        <f>'Expenditures 15-22'!C36</f>
        <v>251252</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72555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157034</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480841</v>
      </c>
      <c r="C727" s="2" t="s">
        <v>569</v>
      </c>
      <c r="D727" s="2" t="str">
        <f t="shared" si="10"/>
        <v>Error?</v>
      </c>
    </row>
    <row r="728" spans="1:4" x14ac:dyDescent="0.2">
      <c r="A728" s="5">
        <v>667</v>
      </c>
      <c r="B728" s="1832">
        <f>'Expenditures 15-22'!C44</f>
        <v>211327</v>
      </c>
      <c r="D728" s="2" t="str">
        <f t="shared" si="10"/>
        <v>Error?</v>
      </c>
    </row>
    <row r="729" spans="1:4" x14ac:dyDescent="0.2">
      <c r="A729" s="5">
        <v>668</v>
      </c>
      <c r="B729" s="1832">
        <f>'Expenditures 15-22'!C45</f>
        <v>89544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300871</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228796</v>
      </c>
      <c r="D733" s="2" t="str">
        <f t="shared" si="10"/>
        <v>Error?</v>
      </c>
    </row>
    <row r="734" spans="1:4" x14ac:dyDescent="0.2">
      <c r="A734" s="5">
        <v>673</v>
      </c>
      <c r="B734" s="1832">
        <f>'Expenditures 15-22'!C53</f>
        <v>228796</v>
      </c>
      <c r="C734" s="2" t="s">
        <v>569</v>
      </c>
      <c r="D734" s="2" t="str">
        <f t="shared" si="10"/>
        <v>Error?</v>
      </c>
    </row>
    <row r="735" spans="1:4" x14ac:dyDescent="0.2">
      <c r="A735" s="5">
        <v>674</v>
      </c>
      <c r="B735" s="1832">
        <f>'Expenditures 15-22'!C55</f>
        <v>913446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913446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189474</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22810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212284</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2136238</v>
      </c>
      <c r="C755" s="2" t="s">
        <v>569</v>
      </c>
      <c r="D755" s="2" t="str">
        <f t="shared" si="10"/>
        <v>Error?</v>
      </c>
    </row>
    <row r="756" spans="1:4" x14ac:dyDescent="0.2">
      <c r="A756" s="5">
        <v>695</v>
      </c>
      <c r="B756" s="1832">
        <f>'Expenditures 15-22'!C75</f>
        <v>10561</v>
      </c>
      <c r="D756" s="2" t="str">
        <f t="shared" si="10"/>
        <v>Error?</v>
      </c>
    </row>
    <row r="757" spans="1:4" x14ac:dyDescent="0.2">
      <c r="A757" s="5">
        <v>696</v>
      </c>
      <c r="B757" s="1832">
        <f>'Expenditures 15-22'!C114</f>
        <v>9846092</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1425474</v>
      </c>
      <c r="D763" s="2" t="str">
        <f t="shared" si="10"/>
        <v>Error?</v>
      </c>
    </row>
    <row r="764" spans="1:4" x14ac:dyDescent="0.2">
      <c r="A764" s="5">
        <v>703</v>
      </c>
      <c r="B764" s="1832">
        <f>'Expenditures 15-22'!D16</f>
        <v>1433</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5112</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4510</v>
      </c>
      <c r="D776" s="2" t="str">
        <f t="shared" si="11"/>
        <v>Error?</v>
      </c>
    </row>
    <row r="777" spans="1:4" x14ac:dyDescent="0.2">
      <c r="A777" s="5">
        <v>716</v>
      </c>
      <c r="B777" s="1832">
        <f>'Expenditures 15-22'!D15</f>
        <v>251</v>
      </c>
      <c r="D777" s="2" t="str">
        <f t="shared" si="11"/>
        <v>Error?</v>
      </c>
    </row>
    <row r="778" spans="1:4" x14ac:dyDescent="0.2">
      <c r="A778" s="5">
        <v>717</v>
      </c>
      <c r="B778" s="1832">
        <f>'Expenditures 15-22'!D33</f>
        <v>1778266</v>
      </c>
      <c r="C778" s="2" t="s">
        <v>569</v>
      </c>
      <c r="D778" s="2" t="str">
        <f t="shared" si="11"/>
        <v>Error?</v>
      </c>
    </row>
    <row r="779" spans="1:4" x14ac:dyDescent="0.2">
      <c r="A779" s="5">
        <v>718</v>
      </c>
      <c r="B779" s="1832">
        <f>'Expenditures 15-22'!D36</f>
        <v>83249</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30010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28241</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141500</v>
      </c>
      <c r="C785" s="2" t="s">
        <v>569</v>
      </c>
      <c r="D785" s="2" t="str">
        <f t="shared" si="11"/>
        <v>Error?</v>
      </c>
    </row>
    <row r="786" spans="1:4" x14ac:dyDescent="0.2">
      <c r="A786" s="5">
        <v>725</v>
      </c>
      <c r="B786" s="1832">
        <f>'Expenditures 15-22'!D44</f>
        <v>74293</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74293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54831</v>
      </c>
      <c r="D791" s="2" t="str">
        <f t="shared" si="11"/>
        <v>Error?</v>
      </c>
    </row>
    <row r="792" spans="1:4" x14ac:dyDescent="0.2">
      <c r="A792" s="5">
        <v>731</v>
      </c>
      <c r="B792" s="1832">
        <f>'Expenditures 15-22'!D53</f>
        <v>54831</v>
      </c>
      <c r="C792" s="2" t="s">
        <v>569</v>
      </c>
      <c r="D792" s="2" t="str">
        <f t="shared" si="11"/>
        <v>Error?</v>
      </c>
    </row>
    <row r="793" spans="1:4" x14ac:dyDescent="0.2">
      <c r="A793" s="5">
        <v>732</v>
      </c>
      <c r="B793" s="1832">
        <f>'Expenditures 15-22'!D55</f>
        <v>255921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255921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40746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3330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44076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570621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2348887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143053</v>
      </c>
      <c r="D821" s="2" t="str">
        <f t="shared" si="11"/>
        <v>Error?</v>
      </c>
    </row>
    <row r="822" spans="1:4" x14ac:dyDescent="0.2">
      <c r="A822" s="5">
        <v>761</v>
      </c>
      <c r="B822" s="1832">
        <f>'Expenditures 15-22'!E16</f>
        <v>2545</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10886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255540</v>
      </c>
      <c r="C836" s="2" t="s">
        <v>569</v>
      </c>
      <c r="D836" s="2" t="str">
        <f t="shared" si="12"/>
        <v>Error?</v>
      </c>
    </row>
    <row r="837" spans="1:4" x14ac:dyDescent="0.2">
      <c r="A837" s="5">
        <v>776</v>
      </c>
      <c r="B837" s="1832">
        <f>'Expenditures 15-22'!E36</f>
        <v>1174</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35442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24807</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61423</v>
      </c>
      <c r="C843" s="2" t="s">
        <v>569</v>
      </c>
      <c r="D843" s="2" t="str">
        <f t="shared" si="12"/>
        <v>Error?</v>
      </c>
    </row>
    <row r="844" spans="1:4" x14ac:dyDescent="0.2">
      <c r="A844" s="5">
        <v>783</v>
      </c>
      <c r="B844" s="1832">
        <f>'Expenditures 15-22'!E44</f>
        <v>306946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306946</v>
      </c>
      <c r="C847" s="2" t="s">
        <v>569</v>
      </c>
      <c r="D847" s="2" t="str">
        <f t="shared" si="12"/>
        <v>Error?</v>
      </c>
    </row>
    <row r="848" spans="1:4" x14ac:dyDescent="0.2">
      <c r="A848" s="5">
        <v>787</v>
      </c>
      <c r="B848" s="1832">
        <f>'Expenditures 15-22'!E49</f>
        <v>151196</v>
      </c>
      <c r="D848" s="2" t="str">
        <f t="shared" si="12"/>
        <v>Error?</v>
      </c>
    </row>
    <row r="849" spans="1:4" x14ac:dyDescent="0.2">
      <c r="A849" s="5">
        <v>788</v>
      </c>
      <c r="B849" s="1832">
        <f>'Expenditures 15-22'!E50</f>
        <v>6625</v>
      </c>
      <c r="D849" s="2" t="str">
        <f t="shared" si="12"/>
        <v>Error?</v>
      </c>
    </row>
    <row r="850" spans="1:4" x14ac:dyDescent="0.2">
      <c r="A850" s="5">
        <v>789</v>
      </c>
      <c r="B850" s="1832">
        <f>'Expenditures 15-22'!E53</f>
        <v>157821</v>
      </c>
      <c r="C850" s="2" t="s">
        <v>569</v>
      </c>
      <c r="D850" s="2" t="str">
        <f t="shared" si="12"/>
        <v>Error?</v>
      </c>
    </row>
    <row r="851" spans="1:4" x14ac:dyDescent="0.2">
      <c r="A851" s="5">
        <v>790</v>
      </c>
      <c r="B851" s="1832">
        <f>'Expenditures 15-22'!E55</f>
        <v>4762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4762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6248</v>
      </c>
      <c r="D855" s="2" t="str">
        <f t="shared" si="12"/>
        <v>Error?</v>
      </c>
    </row>
    <row r="856" spans="1:4" x14ac:dyDescent="0.2">
      <c r="A856" s="5">
        <v>795</v>
      </c>
      <c r="B856" s="1832">
        <f>'Expenditures 15-22'!E61</f>
        <v>205611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383860</v>
      </c>
      <c r="D858" s="2" t="str">
        <f t="shared" si="12"/>
        <v>Error?</v>
      </c>
    </row>
    <row r="859" spans="1:4" x14ac:dyDescent="0.2">
      <c r="A859" s="5">
        <v>798</v>
      </c>
      <c r="B859" s="1832">
        <f>'Expenditures 15-22'!E64</f>
        <v>8412</v>
      </c>
      <c r="D859" s="2" t="str">
        <f t="shared" si="12"/>
        <v>Error?</v>
      </c>
    </row>
    <row r="860" spans="1:4" x14ac:dyDescent="0.2">
      <c r="A860" s="10">
        <v>799</v>
      </c>
      <c r="B860" s="1832"/>
      <c r="D860" s="2" t="str">
        <f t="shared" si="12"/>
        <v>OK</v>
      </c>
    </row>
    <row r="861" spans="1:4" x14ac:dyDescent="0.2">
      <c r="A861" s="5">
        <v>800</v>
      </c>
      <c r="B861" s="1832">
        <f>'Expenditures 15-22'!E65</f>
        <v>604131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38988</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38988</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1174071</v>
      </c>
      <c r="C871" s="2" t="s">
        <v>569</v>
      </c>
      <c r="D871" s="2" t="str">
        <f t="shared" si="12"/>
        <v>Error?</v>
      </c>
    </row>
    <row r="872" spans="1:4" x14ac:dyDescent="0.2">
      <c r="A872" s="5">
        <v>811</v>
      </c>
      <c r="B872" s="1832">
        <f>'Expenditures 15-22'!E75</f>
        <v>192</v>
      </c>
      <c r="D872" s="2" t="str">
        <f t="shared" si="12"/>
        <v>Error?</v>
      </c>
    </row>
    <row r="873" spans="1:4" x14ac:dyDescent="0.2">
      <c r="A873" s="5">
        <v>812</v>
      </c>
      <c r="B873" s="1832">
        <f>'Expenditures 15-22'!E114</f>
        <v>1429803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365314</v>
      </c>
      <c r="D879" s="2" t="str">
        <f t="shared" si="12"/>
        <v>Error?</v>
      </c>
    </row>
    <row r="880" spans="1:4" x14ac:dyDescent="0.2">
      <c r="A880" s="5">
        <v>819</v>
      </c>
      <c r="B880" s="1832">
        <f>'Expenditures 15-22'!F16</f>
        <v>1467</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258</v>
      </c>
      <c r="D892" s="2" t="str">
        <f t="shared" si="12"/>
        <v>Error?</v>
      </c>
    </row>
    <row r="893" spans="1:4" x14ac:dyDescent="0.2">
      <c r="A893" s="5">
        <v>832</v>
      </c>
      <c r="B893" s="1832">
        <f>'Expenditures 15-22'!F15</f>
        <v>961</v>
      </c>
      <c r="D893" s="2" t="str">
        <f t="shared" si="12"/>
        <v>Error?</v>
      </c>
    </row>
    <row r="894" spans="1:4" x14ac:dyDescent="0.2">
      <c r="A894" s="5">
        <v>833</v>
      </c>
      <c r="B894" s="1832">
        <f>'Expenditures 15-22'!F33</f>
        <v>374314</v>
      </c>
      <c r="C894" s="2" t="s">
        <v>569</v>
      </c>
      <c r="D894" s="2" t="str">
        <f t="shared" si="12"/>
        <v>Error?</v>
      </c>
    </row>
    <row r="895" spans="1:4" x14ac:dyDescent="0.2">
      <c r="A895" s="5">
        <v>834</v>
      </c>
      <c r="B895" s="1832">
        <f>'Expenditures 15-22'!F36</f>
        <v>921</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8433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468</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9822</v>
      </c>
      <c r="C901" s="2" t="s">
        <v>569</v>
      </c>
      <c r="D901" s="2" t="str">
        <f t="shared" si="13"/>
        <v>Error?</v>
      </c>
    </row>
    <row r="902" spans="1:4" x14ac:dyDescent="0.2">
      <c r="A902" s="5">
        <v>841</v>
      </c>
      <c r="B902" s="1832">
        <f>'Expenditures 15-22'!F44</f>
        <v>12557</v>
      </c>
      <c r="D902" s="2" t="str">
        <f t="shared" si="13"/>
        <v>Error?</v>
      </c>
    </row>
    <row r="903" spans="1:4" x14ac:dyDescent="0.2">
      <c r="A903" s="5">
        <v>842</v>
      </c>
      <c r="B903" s="1832">
        <f>'Expenditures 15-22'!F45</f>
        <v>19279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31836</v>
      </c>
      <c r="C905" s="2" t="s">
        <v>569</v>
      </c>
      <c r="D905" s="2" t="str">
        <f t="shared" si="13"/>
        <v>Error?</v>
      </c>
    </row>
    <row r="906" spans="1:4" x14ac:dyDescent="0.2">
      <c r="A906" s="5">
        <v>845</v>
      </c>
      <c r="B906" s="1832">
        <f>'Expenditures 15-22'!F49</f>
        <v>10957</v>
      </c>
      <c r="D906" s="2" t="str">
        <f t="shared" si="13"/>
        <v>Error?</v>
      </c>
    </row>
    <row r="907" spans="1:4" x14ac:dyDescent="0.2">
      <c r="A907" s="5">
        <v>846</v>
      </c>
      <c r="B907" s="1832">
        <f>'Expenditures 15-22'!F50</f>
        <v>2121</v>
      </c>
      <c r="D907" s="2" t="str">
        <f t="shared" si="13"/>
        <v>Error?</v>
      </c>
    </row>
    <row r="908" spans="1:4" x14ac:dyDescent="0.2">
      <c r="A908" s="5">
        <v>847</v>
      </c>
      <c r="B908" s="1832">
        <f>'Expenditures 15-22'!F53</f>
        <v>13078</v>
      </c>
      <c r="C908" s="2" t="s">
        <v>569</v>
      </c>
      <c r="D908" s="2" t="str">
        <f t="shared" si="13"/>
        <v>Error?</v>
      </c>
    </row>
    <row r="909" spans="1:4" x14ac:dyDescent="0.2">
      <c r="A909" s="5">
        <v>848</v>
      </c>
      <c r="B909" s="1832">
        <f>'Expenditures 15-22'!F55</f>
        <v>360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360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1113</v>
      </c>
      <c r="D913" s="2" t="str">
        <f t="shared" si="13"/>
        <v>Error?</v>
      </c>
    </row>
    <row r="914" spans="1:4" x14ac:dyDescent="0.2">
      <c r="A914" s="5">
        <v>853</v>
      </c>
      <c r="B914" s="1832">
        <f>'Expenditures 15-22'!F61</f>
        <v>249465</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6719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257297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312393</v>
      </c>
      <c r="C929" s="2" t="s">
        <v>569</v>
      </c>
      <c r="D929" s="2" t="str">
        <f t="shared" si="13"/>
        <v>Error?</v>
      </c>
    </row>
    <row r="930" spans="1:4" x14ac:dyDescent="0.2">
      <c r="A930" s="5">
        <v>869</v>
      </c>
      <c r="B930" s="1832">
        <f>'Expenditures 15-22'!F75</f>
        <v>893</v>
      </c>
      <c r="D930" s="2" t="str">
        <f t="shared" si="13"/>
        <v>Error?</v>
      </c>
    </row>
    <row r="931" spans="1:4" x14ac:dyDescent="0.2">
      <c r="A931" s="5">
        <v>870</v>
      </c>
      <c r="B931" s="1832">
        <f>'Expenditures 15-22'!F114</f>
        <v>687600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84617</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840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85457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89641</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89641</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10373</v>
      </c>
      <c r="D975" s="2" t="str">
        <f t="shared" si="14"/>
        <v>Error?</v>
      </c>
    </row>
    <row r="976" spans="1:4" x14ac:dyDescent="0.2">
      <c r="A976" s="10">
        <v>915</v>
      </c>
      <c r="B976" s="1832"/>
      <c r="D976" s="2" t="str">
        <f t="shared" si="14"/>
        <v>OK</v>
      </c>
    </row>
    <row r="977" spans="1:4" x14ac:dyDescent="0.2">
      <c r="A977" s="5">
        <v>916</v>
      </c>
      <c r="B977" s="1832">
        <f>'Expenditures 15-22'!G65</f>
        <v>10373</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100014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185471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375262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288</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288</v>
      </c>
      <c r="C1021" s="2" t="s">
        <v>569</v>
      </c>
      <c r="D1021" s="2" t="str">
        <f t="shared" si="14"/>
        <v>Error?</v>
      </c>
    </row>
    <row r="1022" spans="1:4" x14ac:dyDescent="0.2">
      <c r="A1022" s="5">
        <v>961</v>
      </c>
      <c r="B1022" s="1832">
        <f>'Expenditures 15-22'!H49</f>
        <v>8221</v>
      </c>
      <c r="D1022" s="2" t="str">
        <f t="shared" si="14"/>
        <v>Error?</v>
      </c>
    </row>
    <row r="1023" spans="1:4" x14ac:dyDescent="0.2">
      <c r="A1023" s="5">
        <v>962</v>
      </c>
      <c r="B1023" s="1832">
        <f>'Expenditures 15-22'!H50</f>
        <v>1058</v>
      </c>
      <c r="D1023" s="2" t="str">
        <f t="shared" ref="D1023:D1086" si="15">IF(ISBLANK(B1023),"OK",IF(A1023-B1023=0,"OK","Error?"))</f>
        <v>Error?</v>
      </c>
    </row>
    <row r="1024" spans="1:4" x14ac:dyDescent="0.2">
      <c r="A1024" s="5">
        <v>963</v>
      </c>
      <c r="B1024" s="1832">
        <f>'Expenditures 15-22'!H53</f>
        <v>9279</v>
      </c>
      <c r="C1024" s="2" t="s">
        <v>569</v>
      </c>
      <c r="D1024" s="2" t="str">
        <f t="shared" si="15"/>
        <v>Error?</v>
      </c>
    </row>
    <row r="1025" spans="1:4" x14ac:dyDescent="0.2">
      <c r="A1025" s="5">
        <v>964</v>
      </c>
      <c r="B1025" s="1832">
        <f>'Expenditures 15-22'!H55</f>
        <v>976</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976</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5374</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5374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15917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819153</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1210332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7393640</v>
      </c>
      <c r="C1093" s="2" t="s">
        <v>569</v>
      </c>
      <c r="D1093" s="2" t="str">
        <f t="shared" si="16"/>
        <v>Error?</v>
      </c>
    </row>
    <row r="1094" spans="1:4" x14ac:dyDescent="0.2">
      <c r="A1094" s="5">
        <v>1033</v>
      </c>
      <c r="B1094" s="1832">
        <f>'Expenditures 15-22'!K16</f>
        <v>98453</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343348</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364378</v>
      </c>
      <c r="C1106" s="2" t="s">
        <v>569</v>
      </c>
      <c r="D1106" s="2" t="str">
        <f t="shared" si="16"/>
        <v>Error?</v>
      </c>
    </row>
    <row r="1107" spans="1:4" x14ac:dyDescent="0.2">
      <c r="A1107" s="5">
        <v>1046</v>
      </c>
      <c r="B1107" s="1832">
        <f>'Expenditures 15-22'!K15</f>
        <v>19876</v>
      </c>
      <c r="C1107" s="2" t="s">
        <v>569</v>
      </c>
      <c r="D1107" s="2" t="str">
        <f t="shared" si="16"/>
        <v>Error?</v>
      </c>
    </row>
    <row r="1108" spans="1:4" x14ac:dyDescent="0.2">
      <c r="A1108" s="5">
        <v>1047</v>
      </c>
      <c r="B1108" s="1832">
        <f>'Expenditures 15-22'!K33</f>
        <v>10568132</v>
      </c>
      <c r="C1108" s="2" t="s">
        <v>569</v>
      </c>
      <c r="D1108" s="2" t="str">
        <f t="shared" si="16"/>
        <v>Error?</v>
      </c>
    </row>
    <row r="1109" spans="1:4" x14ac:dyDescent="0.2">
      <c r="A1109" s="5">
        <v>1048</v>
      </c>
      <c r="B1109" s="1832">
        <f>'Expenditures 15-22'!K36</f>
        <v>336596</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146440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210550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693586</v>
      </c>
      <c r="C1115" s="2" t="s">
        <v>569</v>
      </c>
      <c r="D1115" s="2" t="str">
        <f t="shared" si="16"/>
        <v>Error?</v>
      </c>
    </row>
    <row r="1116" spans="1:4" x14ac:dyDescent="0.2">
      <c r="A1116" s="5">
        <v>1055</v>
      </c>
      <c r="B1116" s="1832">
        <f>'Expenditures 15-22'!K44</f>
        <v>695052</v>
      </c>
      <c r="C1116" s="2" t="s">
        <v>569</v>
      </c>
      <c r="D1116" s="2" t="str">
        <f t="shared" si="16"/>
        <v>Error?</v>
      </c>
    </row>
    <row r="1117" spans="1:4" x14ac:dyDescent="0.2">
      <c r="A1117" s="5">
        <v>1056</v>
      </c>
      <c r="B1117" s="1832">
        <f>'Expenditures 15-22'!K45</f>
        <v>108823</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803875</v>
      </c>
      <c r="C1119" s="2" t="s">
        <v>569</v>
      </c>
      <c r="D1119" s="2" t="str">
        <f t="shared" si="16"/>
        <v>Error?</v>
      </c>
    </row>
    <row r="1120" spans="1:4" x14ac:dyDescent="0.2">
      <c r="A1120" s="5">
        <v>1059</v>
      </c>
      <c r="B1120" s="1832">
        <f>'Expenditures 15-22'!K49</f>
        <v>170374</v>
      </c>
      <c r="C1120" s="2" t="s">
        <v>569</v>
      </c>
      <c r="D1120" s="2" t="str">
        <f t="shared" si="16"/>
        <v>Error?</v>
      </c>
    </row>
    <row r="1121" spans="1:4" x14ac:dyDescent="0.2">
      <c r="A1121" s="5">
        <v>1060</v>
      </c>
      <c r="B1121" s="1832">
        <f>'Expenditures 15-22'!K50</f>
        <v>293431</v>
      </c>
      <c r="C1121" s="2" t="s">
        <v>569</v>
      </c>
      <c r="D1121" s="2" t="str">
        <f t="shared" si="16"/>
        <v>Error?</v>
      </c>
    </row>
    <row r="1122" spans="1:4" x14ac:dyDescent="0.2">
      <c r="A1122" s="5">
        <v>1061</v>
      </c>
      <c r="B1122" s="1832">
        <f>'Expenditures 15-22'!K53</f>
        <v>463805</v>
      </c>
      <c r="C1122" s="2" t="s">
        <v>569</v>
      </c>
      <c r="D1122" s="2" t="str">
        <f t="shared" si="16"/>
        <v>Error?</v>
      </c>
    </row>
    <row r="1123" spans="1:4" x14ac:dyDescent="0.2">
      <c r="A1123" s="5">
        <v>1062</v>
      </c>
      <c r="B1123" s="1832">
        <f>'Expenditures 15-22'!K55</f>
        <v>1175465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1175465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242955</v>
      </c>
      <c r="C1127" s="2" t="s">
        <v>569</v>
      </c>
      <c r="D1127" s="2" t="str">
        <f t="shared" si="16"/>
        <v>Error?</v>
      </c>
    </row>
    <row r="1128" spans="1:4" x14ac:dyDescent="0.2">
      <c r="A1128" s="5">
        <v>1067</v>
      </c>
      <c r="B1128" s="1832">
        <f>'Expenditures 15-22'!K61</f>
        <v>455076</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416719</v>
      </c>
      <c r="C1130" s="2" t="s">
        <v>569</v>
      </c>
      <c r="D1130" s="2" t="str">
        <f t="shared" si="16"/>
        <v>Error?</v>
      </c>
    </row>
    <row r="1131" spans="1:4" x14ac:dyDescent="0.2">
      <c r="A1131" s="5">
        <v>1070</v>
      </c>
      <c r="B1131" s="1832">
        <f>'Expenditures 15-22'!K64</f>
        <v>18785</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1133535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38988</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38988</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4309254</v>
      </c>
      <c r="C1143" s="2" t="s">
        <v>569</v>
      </c>
      <c r="D1143" s="2" t="str">
        <f t="shared" si="16"/>
        <v>Error?</v>
      </c>
    </row>
    <row r="1144" spans="1:4" x14ac:dyDescent="0.2">
      <c r="A1144" s="5">
        <v>1083</v>
      </c>
      <c r="B1144" s="1832">
        <f>'Expenditures 15-22'!K75</f>
        <v>11646</v>
      </c>
      <c r="C1144" s="2" t="s">
        <v>569</v>
      </c>
      <c r="D1144" s="2" t="str">
        <f t="shared" si="16"/>
        <v>Error?</v>
      </c>
    </row>
    <row r="1145" spans="1:4" x14ac:dyDescent="0.2">
      <c r="A1145" s="5">
        <v>1084</v>
      </c>
      <c r="B1145" s="1832">
        <f>'Expenditures 15-22'!K102</f>
        <v>819153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15708185</v>
      </c>
      <c r="C1152" s="2" t="s">
        <v>569</v>
      </c>
      <c r="D1152" s="2" t="str">
        <f t="shared" si="17"/>
        <v>Error?</v>
      </c>
    </row>
    <row r="1153" spans="1:4" x14ac:dyDescent="0.2">
      <c r="A1153" s="5">
        <v>1092</v>
      </c>
      <c r="B1153" s="1832">
        <f>'Expenditures 15-22'!K115</f>
        <v>4665061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918955</v>
      </c>
      <c r="D1221" s="2" t="str">
        <f t="shared" si="18"/>
        <v>Error?</v>
      </c>
    </row>
    <row r="1222" spans="1:4" x14ac:dyDescent="0.2">
      <c r="A1222" s="10">
        <v>1161</v>
      </c>
      <c r="B1222" s="1832"/>
      <c r="D1222" s="2" t="str">
        <f t="shared" si="18"/>
        <v>OK</v>
      </c>
    </row>
    <row r="1223" spans="1:4" x14ac:dyDescent="0.2">
      <c r="A1223" s="5">
        <v>1162</v>
      </c>
      <c r="B1223" s="1832">
        <f>'Expenditures 15-22'!C127</f>
        <v>918955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918955</v>
      </c>
      <c r="C1225" s="2" t="s">
        <v>569</v>
      </c>
      <c r="D1225" s="2" t="str">
        <f t="shared" si="18"/>
        <v>Error?</v>
      </c>
    </row>
    <row r="1226" spans="1:4" x14ac:dyDescent="0.2">
      <c r="A1226" s="5">
        <v>1165</v>
      </c>
      <c r="B1226" s="1832">
        <f>'Expenditures 15-22'!C151</f>
        <v>918955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206094</v>
      </c>
      <c r="D1229" s="2" t="str">
        <f t="shared" si="18"/>
        <v>Error?</v>
      </c>
    </row>
    <row r="1230" spans="1:4" x14ac:dyDescent="0.2">
      <c r="A1230" s="10">
        <v>1169</v>
      </c>
      <c r="B1230" s="1832"/>
      <c r="D1230" s="2" t="str">
        <f t="shared" si="18"/>
        <v>OK</v>
      </c>
    </row>
    <row r="1231" spans="1:4" x14ac:dyDescent="0.2">
      <c r="A1231" s="5">
        <v>1170</v>
      </c>
      <c r="B1231" s="1832">
        <f>'Expenditures 15-22'!D127</f>
        <v>206094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206094</v>
      </c>
      <c r="C1233" s="2" t="s">
        <v>569</v>
      </c>
      <c r="D1233" s="2" t="str">
        <f t="shared" si="18"/>
        <v>Error?</v>
      </c>
    </row>
    <row r="1234" spans="1:4" x14ac:dyDescent="0.2">
      <c r="A1234" s="5">
        <v>1173</v>
      </c>
      <c r="B1234" s="1832">
        <f>'Expenditures 15-22'!D151</f>
        <v>206094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278769</v>
      </c>
      <c r="D1237" s="2" t="str">
        <f t="shared" si="18"/>
        <v>Error?</v>
      </c>
    </row>
    <row r="1238" spans="1:4" x14ac:dyDescent="0.2">
      <c r="A1238" s="10">
        <v>1177</v>
      </c>
      <c r="B1238" s="1832"/>
      <c r="D1238" s="2" t="str">
        <f t="shared" si="18"/>
        <v>OK</v>
      </c>
    </row>
    <row r="1239" spans="1:4" x14ac:dyDescent="0.2">
      <c r="A1239" s="5">
        <v>1178</v>
      </c>
      <c r="B1239" s="1832">
        <f>'Expenditures 15-22'!E127</f>
        <v>278769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278769</v>
      </c>
      <c r="C1241" s="2" t="s">
        <v>569</v>
      </c>
      <c r="D1241" s="2" t="str">
        <f t="shared" si="18"/>
        <v>Error?</v>
      </c>
    </row>
    <row r="1242" spans="1:4" x14ac:dyDescent="0.2">
      <c r="A1242" s="5">
        <v>1181</v>
      </c>
      <c r="B1242" s="1832">
        <f>'Expenditures 15-22'!E151</f>
        <v>278769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90819</v>
      </c>
      <c r="D1245" s="2" t="str">
        <f t="shared" si="18"/>
        <v>Error?</v>
      </c>
    </row>
    <row r="1246" spans="1:4" x14ac:dyDescent="0.2">
      <c r="A1246" s="10">
        <v>1185</v>
      </c>
      <c r="B1246" s="1832"/>
      <c r="D1246" s="2" t="str">
        <f t="shared" si="18"/>
        <v>OK</v>
      </c>
    </row>
    <row r="1247" spans="1:4" x14ac:dyDescent="0.2">
      <c r="A1247" s="5">
        <v>1186</v>
      </c>
      <c r="B1247" s="1832">
        <f>'Expenditures 15-22'!F127</f>
        <v>90819</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90819</v>
      </c>
      <c r="C1249" s="2" t="s">
        <v>569</v>
      </c>
      <c r="D1249" s="2" t="str">
        <f t="shared" si="18"/>
        <v>Error?</v>
      </c>
    </row>
    <row r="1250" spans="1:4" x14ac:dyDescent="0.2">
      <c r="A1250" s="5">
        <v>1189</v>
      </c>
      <c r="B1250" s="1832">
        <f>'Expenditures 15-22'!F151</f>
        <v>90819</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2892361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2892361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2892361</v>
      </c>
      <c r="C1258" s="2" t="s">
        <v>569</v>
      </c>
      <c r="D1258" s="2" t="str">
        <f t="shared" si="18"/>
        <v>Error?</v>
      </c>
    </row>
    <row r="1259" spans="1:4" x14ac:dyDescent="0.2">
      <c r="A1259" s="5">
        <v>1198</v>
      </c>
      <c r="B1259" s="1832">
        <f>'Expenditures 15-22'!G151</f>
        <v>2892361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4386998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4386998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4386998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4386998</v>
      </c>
      <c r="C1288" s="2" t="s">
        <v>569</v>
      </c>
      <c r="D1288" s="2" t="str">
        <f t="shared" si="19"/>
        <v>Error?</v>
      </c>
    </row>
    <row r="1289" spans="1:4" x14ac:dyDescent="0.2">
      <c r="A1289" s="5">
        <v>1228</v>
      </c>
      <c r="B1289" s="1832">
        <f>'Expenditures 15-22'!K152</f>
        <v>-2456663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882095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169349</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1051444</v>
      </c>
      <c r="C1317" s="2" t="s">
        <v>569</v>
      </c>
      <c r="D1317" s="2" t="str">
        <f t="shared" si="19"/>
        <v>Error?</v>
      </c>
    </row>
    <row r="1318" spans="1:4" x14ac:dyDescent="0.2">
      <c r="A1318" s="5">
        <v>1257</v>
      </c>
      <c r="B1318" s="1832">
        <f>'Expenditures 15-22'!H174</f>
        <v>1051444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882095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169349</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1051444</v>
      </c>
      <c r="C1331" s="2" t="s">
        <v>569</v>
      </c>
      <c r="D1331" s="2" t="str">
        <f t="shared" si="19"/>
        <v>Error?</v>
      </c>
    </row>
    <row r="1332" spans="1:4" x14ac:dyDescent="0.2">
      <c r="A1332" s="5">
        <v>1271</v>
      </c>
      <c r="B1332" s="1832">
        <f>'Expenditures 15-22'!K174</f>
        <v>1051444</v>
      </c>
      <c r="C1332" s="2" t="s">
        <v>569</v>
      </c>
      <c r="D1332" s="2" t="str">
        <f t="shared" si="19"/>
        <v>Error?</v>
      </c>
    </row>
    <row r="1333" spans="1:4" x14ac:dyDescent="0.2">
      <c r="A1333" s="5">
        <v>1272</v>
      </c>
      <c r="B1333" s="1832">
        <f>'Expenditures 15-22'!K175</f>
        <v>36534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191225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191225</v>
      </c>
      <c r="C1339" s="2" t="s">
        <v>569</v>
      </c>
      <c r="D1339" s="2" t="str">
        <f t="shared" si="19"/>
        <v>Error?</v>
      </c>
    </row>
    <row r="1340" spans="1:4" x14ac:dyDescent="0.2">
      <c r="A1340" s="5">
        <v>1279</v>
      </c>
      <c r="B1340" s="1832">
        <f>'Expenditures 15-22'!C210</f>
        <v>191225</v>
      </c>
      <c r="C1340" s="2" t="s">
        <v>569</v>
      </c>
      <c r="D1340" s="2" t="str">
        <f t="shared" si="19"/>
        <v>Error?</v>
      </c>
    </row>
    <row r="1341" spans="1:4" x14ac:dyDescent="0.2">
      <c r="A1341" s="5">
        <v>1280</v>
      </c>
      <c r="B1341" s="1832">
        <f>'Expenditures 15-22'!D182</f>
        <v>23702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23702</v>
      </c>
      <c r="C1345" s="2" t="s">
        <v>569</v>
      </c>
      <c r="D1345" s="2" t="str">
        <f t="shared" si="20"/>
        <v>Error?</v>
      </c>
    </row>
    <row r="1346" spans="1:4" x14ac:dyDescent="0.2">
      <c r="A1346" s="5">
        <v>1285</v>
      </c>
      <c r="B1346" s="1832">
        <f>'Expenditures 15-22'!D210</f>
        <v>23702</v>
      </c>
      <c r="C1346" s="2" t="s">
        <v>569</v>
      </c>
      <c r="D1346" s="2" t="str">
        <f t="shared" si="20"/>
        <v>Error?</v>
      </c>
    </row>
    <row r="1347" spans="1:4" x14ac:dyDescent="0.2">
      <c r="A1347" s="5">
        <v>1286</v>
      </c>
      <c r="B1347" s="1832">
        <f>'Expenditures 15-22'!E182</f>
        <v>264891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264891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264891</v>
      </c>
      <c r="C1353" s="2" t="s">
        <v>569</v>
      </c>
      <c r="D1353" s="2" t="str">
        <f t="shared" si="20"/>
        <v>Error?</v>
      </c>
    </row>
    <row r="1354" spans="1:4" x14ac:dyDescent="0.2">
      <c r="A1354" s="5">
        <v>1293</v>
      </c>
      <c r="B1354" s="1832">
        <f>'Expenditures 15-22'!F182</f>
        <v>22540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22540</v>
      </c>
      <c r="C1358" s="2" t="s">
        <v>569</v>
      </c>
      <c r="D1358" s="2" t="str">
        <f t="shared" si="20"/>
        <v>Error?</v>
      </c>
    </row>
    <row r="1359" spans="1:4" x14ac:dyDescent="0.2">
      <c r="A1359" s="5">
        <v>1298</v>
      </c>
      <c r="B1359" s="1832">
        <f>'Expenditures 15-22'!F210</f>
        <v>22540</v>
      </c>
      <c r="C1359" s="2" t="s">
        <v>569</v>
      </c>
      <c r="D1359" s="2" t="str">
        <f t="shared" si="20"/>
        <v>Error?</v>
      </c>
    </row>
    <row r="1360" spans="1:4" x14ac:dyDescent="0.2">
      <c r="A1360" s="5">
        <v>1299</v>
      </c>
      <c r="B1360" s="1832">
        <f>'Expenditures 15-22'!G182</f>
        <v>57185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57185</v>
      </c>
      <c r="C1364" s="2" t="s">
        <v>569</v>
      </c>
      <c r="D1364" s="2" t="str">
        <f t="shared" si="20"/>
        <v>Error?</v>
      </c>
    </row>
    <row r="1365" spans="1:4" x14ac:dyDescent="0.2">
      <c r="A1365" s="5">
        <v>1304</v>
      </c>
      <c r="B1365" s="1832">
        <f>'Expenditures 15-22'!G210</f>
        <v>57185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559543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559543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559543</v>
      </c>
      <c r="C1388" s="2" t="s">
        <v>569</v>
      </c>
      <c r="D1388" s="2" t="str">
        <f t="shared" si="20"/>
        <v>Error?</v>
      </c>
    </row>
    <row r="1389" spans="1:4" x14ac:dyDescent="0.2">
      <c r="A1389" s="5">
        <v>1328</v>
      </c>
      <c r="B1389" s="1832">
        <f>'Expenditures 15-22'!K211</f>
        <v>-122190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1290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4773</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13411</v>
      </c>
      <c r="D1408" s="2" t="str">
        <f t="shared" si="21"/>
        <v>Error?</v>
      </c>
    </row>
    <row r="1409" spans="1:4" x14ac:dyDescent="0.2">
      <c r="A1409" s="5">
        <v>1348</v>
      </c>
      <c r="B1409" s="1832">
        <f>'Expenditures 15-22'!D224</f>
        <v>552</v>
      </c>
      <c r="D1409" s="2" t="str">
        <f t="shared" si="21"/>
        <v>Error?</v>
      </c>
    </row>
    <row r="1410" spans="1:4" x14ac:dyDescent="0.2">
      <c r="A1410" s="5">
        <v>1349</v>
      </c>
      <c r="B1410" s="1832">
        <f>'Expenditures 15-22'!D229</f>
        <v>161180</v>
      </c>
      <c r="C1410" s="2" t="s">
        <v>569</v>
      </c>
      <c r="D1410" s="2" t="str">
        <f t="shared" si="21"/>
        <v>Error?</v>
      </c>
    </row>
    <row r="1411" spans="1:4" x14ac:dyDescent="0.2">
      <c r="A1411" s="5">
        <v>1350</v>
      </c>
      <c r="B1411" s="1832">
        <f>'Expenditures 15-22'!D232</f>
        <v>3437</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13562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2223</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19222</v>
      </c>
      <c r="C1417" s="2" t="s">
        <v>569</v>
      </c>
      <c r="D1417" s="2" t="str">
        <f t="shared" si="21"/>
        <v>Error?</v>
      </c>
    </row>
    <row r="1418" spans="1:4" x14ac:dyDescent="0.2">
      <c r="A1418" s="5">
        <v>1357</v>
      </c>
      <c r="B1418" s="1832">
        <f>'Expenditures 15-22'!D240</f>
        <v>23354</v>
      </c>
      <c r="D1418" s="2" t="str">
        <f t="shared" si="21"/>
        <v>Error?</v>
      </c>
    </row>
    <row r="1419" spans="1:4" x14ac:dyDescent="0.2">
      <c r="A1419" s="5">
        <v>1358</v>
      </c>
      <c r="B1419" s="1832">
        <f>'Expenditures 15-22'!D241</f>
        <v>17348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40702</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9394</v>
      </c>
      <c r="D1423" s="2" t="str">
        <f t="shared" si="21"/>
        <v>Error?</v>
      </c>
    </row>
    <row r="1424" spans="1:4" x14ac:dyDescent="0.2">
      <c r="A1424" s="5">
        <v>1363</v>
      </c>
      <c r="B1424" s="1832">
        <f>'Expenditures 15-22'!D257</f>
        <v>9394</v>
      </c>
      <c r="C1424" s="2" t="s">
        <v>569</v>
      </c>
      <c r="D1424" s="2" t="str">
        <f t="shared" si="21"/>
        <v>Error?</v>
      </c>
    </row>
    <row r="1425" spans="1:4" x14ac:dyDescent="0.2">
      <c r="A1425" s="5">
        <v>1364</v>
      </c>
      <c r="B1425" s="1832">
        <f>'Expenditures 15-22'!D259</f>
        <v>49250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49250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36107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173400</v>
      </c>
      <c r="D1431" s="2" t="str">
        <f t="shared" si="21"/>
        <v>Error?</v>
      </c>
    </row>
    <row r="1432" spans="1:4" x14ac:dyDescent="0.2">
      <c r="A1432" s="5">
        <v>1371</v>
      </c>
      <c r="B1432" s="1832">
        <f>'Expenditures 15-22'!D267</f>
        <v>33242</v>
      </c>
      <c r="D1432" s="2" t="str">
        <f t="shared" si="21"/>
        <v>Error?</v>
      </c>
    </row>
    <row r="1433" spans="1:4" x14ac:dyDescent="0.2">
      <c r="A1433" s="5">
        <v>1372</v>
      </c>
      <c r="B1433" s="1832">
        <f>'Expenditures 15-22'!D268</f>
        <v>4351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247100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365668</v>
      </c>
      <c r="C1446" s="2" t="s">
        <v>569</v>
      </c>
      <c r="D1446" s="2" t="str">
        <f t="shared" si="21"/>
        <v>Error?</v>
      </c>
    </row>
    <row r="1447" spans="1:4" x14ac:dyDescent="0.2">
      <c r="A1447" s="5">
        <v>1386</v>
      </c>
      <c r="B1447" s="1832">
        <f>'Expenditures 15-22'!D280</f>
        <v>1345</v>
      </c>
      <c r="D1447" s="2" t="str">
        <f t="shared" si="21"/>
        <v>Error?</v>
      </c>
    </row>
    <row r="1448" spans="1:4" x14ac:dyDescent="0.2">
      <c r="A1448" s="5">
        <v>1387</v>
      </c>
      <c r="B1448" s="1832">
        <f>'Expenditures 15-22'!D295</f>
        <v>528193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1290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4773</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13411</v>
      </c>
      <c r="C1472" s="2" t="s">
        <v>569</v>
      </c>
      <c r="D1472" s="2" t="str">
        <f t="shared" si="22"/>
        <v>Error?</v>
      </c>
    </row>
    <row r="1473" spans="1:4" x14ac:dyDescent="0.2">
      <c r="A1473" s="5">
        <v>1412</v>
      </c>
      <c r="B1473" s="1832">
        <f>'Expenditures 15-22'!K224</f>
        <v>552</v>
      </c>
      <c r="C1473" s="2" t="s">
        <v>569</v>
      </c>
      <c r="D1473" s="2" t="str">
        <f t="shared" si="22"/>
        <v>Error?</v>
      </c>
    </row>
    <row r="1474" spans="1:4" x14ac:dyDescent="0.2">
      <c r="A1474" s="5">
        <v>1413</v>
      </c>
      <c r="B1474" s="1832">
        <f>'Expenditures 15-22'!K229</f>
        <v>161180</v>
      </c>
      <c r="C1474" s="2" t="s">
        <v>569</v>
      </c>
      <c r="D1474" s="2" t="str">
        <f t="shared" si="22"/>
        <v>Error?</v>
      </c>
    </row>
    <row r="1475" spans="1:4" x14ac:dyDescent="0.2">
      <c r="A1475" s="5">
        <v>1414</v>
      </c>
      <c r="B1475" s="1832">
        <f>'Expenditures 15-22'!K232</f>
        <v>3437</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13562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2223</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19222</v>
      </c>
      <c r="C1481" s="2" t="s">
        <v>569</v>
      </c>
      <c r="D1481" s="2" t="str">
        <f t="shared" si="22"/>
        <v>Error?</v>
      </c>
    </row>
    <row r="1482" spans="1:4" x14ac:dyDescent="0.2">
      <c r="A1482" s="5">
        <v>1421</v>
      </c>
      <c r="B1482" s="1832">
        <f>'Expenditures 15-22'!K240</f>
        <v>23354</v>
      </c>
      <c r="C1482" s="2" t="s">
        <v>569</v>
      </c>
      <c r="D1482" s="2" t="str">
        <f t="shared" si="22"/>
        <v>Error?</v>
      </c>
    </row>
    <row r="1483" spans="1:4" x14ac:dyDescent="0.2">
      <c r="A1483" s="5">
        <v>1422</v>
      </c>
      <c r="B1483" s="1832">
        <f>'Expenditures 15-22'!K241</f>
        <v>17348</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40702</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9394</v>
      </c>
      <c r="C1487" s="2" t="s">
        <v>569</v>
      </c>
      <c r="D1487" s="2" t="str">
        <f t="shared" si="22"/>
        <v>Error?</v>
      </c>
    </row>
    <row r="1488" spans="1:4" x14ac:dyDescent="0.2">
      <c r="A1488" s="5">
        <v>1427</v>
      </c>
      <c r="B1488" s="1832">
        <f>'Expenditures 15-22'!K257</f>
        <v>9394</v>
      </c>
      <c r="C1488" s="2" t="s">
        <v>569</v>
      </c>
      <c r="D1488" s="2" t="str">
        <f t="shared" si="22"/>
        <v>Error?</v>
      </c>
    </row>
    <row r="1489" spans="1:4" x14ac:dyDescent="0.2">
      <c r="A1489" s="5">
        <v>1428</v>
      </c>
      <c r="B1489" s="1832">
        <f>'Expenditures 15-22'!K259</f>
        <v>49250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49250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36107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173400</v>
      </c>
      <c r="C1495" s="2" t="s">
        <v>569</v>
      </c>
      <c r="D1495" s="2" t="str">
        <f t="shared" si="22"/>
        <v>Error?</v>
      </c>
    </row>
    <row r="1496" spans="1:4" x14ac:dyDescent="0.2">
      <c r="A1496" s="5">
        <v>1435</v>
      </c>
      <c r="B1496" s="1832">
        <f>'Expenditures 15-22'!K267</f>
        <v>33242</v>
      </c>
      <c r="C1496" s="2" t="s">
        <v>569</v>
      </c>
      <c r="D1496" s="2" t="str">
        <f t="shared" si="22"/>
        <v>Error?</v>
      </c>
    </row>
    <row r="1497" spans="1:4" x14ac:dyDescent="0.2">
      <c r="A1497" s="5">
        <v>1436</v>
      </c>
      <c r="B1497" s="1832">
        <f>'Expenditures 15-22'!K268</f>
        <v>4351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247100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365668</v>
      </c>
      <c r="C1510" s="2" t="s">
        <v>569</v>
      </c>
      <c r="D1510" s="2" t="str">
        <f t="shared" si="22"/>
        <v>Error?</v>
      </c>
    </row>
    <row r="1511" spans="1:4" x14ac:dyDescent="0.2">
      <c r="A1511" s="5">
        <v>1450</v>
      </c>
      <c r="B1511" s="1832">
        <f>'Expenditures 15-22'!K280</f>
        <v>1345</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528193</v>
      </c>
      <c r="C1517" s="2" t="s">
        <v>569</v>
      </c>
      <c r="D1517" s="2" t="str">
        <f t="shared" si="22"/>
        <v>Error?</v>
      </c>
    </row>
    <row r="1518" spans="1:4" x14ac:dyDescent="0.2">
      <c r="A1518" s="5">
        <v>1457</v>
      </c>
      <c r="B1518" s="1832">
        <f>'Expenditures 15-22'!K296</f>
        <v>145246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17509164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22174225</v>
      </c>
      <c r="C1630" s="2" t="s">
        <v>569</v>
      </c>
      <c r="D1630" s="2" t="str">
        <f t="shared" si="24"/>
        <v>Error?</v>
      </c>
    </row>
    <row r="1631" spans="1:4" x14ac:dyDescent="0.2">
      <c r="A1631" s="5">
        <v>1570</v>
      </c>
      <c r="B1631" s="1832">
        <f>'Acct Summary 7-8'!D79</f>
        <v>4727228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2270565</v>
      </c>
      <c r="C1644" s="2" t="s">
        <v>569</v>
      </c>
      <c r="D1644" s="2" t="str">
        <f t="shared" si="24"/>
        <v>Error?</v>
      </c>
    </row>
    <row r="1645" spans="1:4" x14ac:dyDescent="0.2">
      <c r="A1645" s="5">
        <v>1584</v>
      </c>
      <c r="B1645" s="1832">
        <f>'Acct Summary 7-8'!E79</f>
        <v>283368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319902</v>
      </c>
      <c r="C1658" s="2" t="s">
        <v>569</v>
      </c>
      <c r="D1658" s="2" t="str">
        <f t="shared" si="24"/>
        <v>Error?</v>
      </c>
    </row>
    <row r="1659" spans="1:4" x14ac:dyDescent="0.2">
      <c r="A1659" s="5">
        <v>1598</v>
      </c>
      <c r="B1659" s="1832">
        <f>'Acct Summary 7-8'!F79</f>
        <v>2749340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2627150</v>
      </c>
      <c r="C1672" s="2" t="s">
        <v>569</v>
      </c>
      <c r="D1672" s="2" t="str">
        <f t="shared" si="25"/>
        <v>Error?</v>
      </c>
    </row>
    <row r="1673" spans="1:4" x14ac:dyDescent="0.2">
      <c r="A1673" s="5">
        <v>1612</v>
      </c>
      <c r="B1673" s="1832">
        <f>'Acct Summary 7-8'!G79</f>
        <v>922824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1068070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13200116</v>
      </c>
      <c r="C1744" s="2" t="s">
        <v>569</v>
      </c>
      <c r="D1744" s="2" t="str">
        <f t="shared" si="26"/>
        <v>Error?</v>
      </c>
    </row>
    <row r="1745" spans="1:5" x14ac:dyDescent="0.2">
      <c r="A1745" s="5">
        <v>1684</v>
      </c>
      <c r="B1745" s="1832">
        <f>'Tax Sched 23'!B5</f>
        <v>1632572</v>
      </c>
      <c r="C1745" s="2" t="s">
        <v>569</v>
      </c>
      <c r="D1745" s="2" t="str">
        <f t="shared" si="26"/>
        <v>Error?</v>
      </c>
    </row>
    <row r="1746" spans="1:5" x14ac:dyDescent="0.2">
      <c r="A1746" s="5">
        <v>1685</v>
      </c>
      <c r="B1746" s="1832">
        <f>'Tax Sched 23'!B6</f>
        <v>1080878</v>
      </c>
      <c r="C1746" s="2" t="s">
        <v>569</v>
      </c>
      <c r="D1746" s="2" t="str">
        <f t="shared" si="26"/>
        <v>Error?</v>
      </c>
    </row>
    <row r="1747" spans="1:5" x14ac:dyDescent="0.2">
      <c r="A1747" s="5">
        <v>1686</v>
      </c>
      <c r="B1747" s="1832">
        <f>'Tax Sched 23'!B7</f>
        <v>-3068</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47223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164938</v>
      </c>
      <c r="C1752" s="2" t="s">
        <v>569</v>
      </c>
      <c r="D1752" s="2" t="str">
        <f t="shared" si="26"/>
        <v>Error?</v>
      </c>
    </row>
    <row r="1753" spans="1:5" x14ac:dyDescent="0.2">
      <c r="A1753" s="5">
        <v>1692</v>
      </c>
      <c r="B1753" s="1832">
        <f>'Tax Sched 23'!B12</f>
        <v>282576</v>
      </c>
      <c r="C1753" s="2" t="s">
        <v>569</v>
      </c>
      <c r="D1753" s="2" t="str">
        <f t="shared" si="26"/>
        <v>Error?</v>
      </c>
    </row>
    <row r="1754" spans="1:5" x14ac:dyDescent="0.2">
      <c r="A1754" s="5">
        <v>1693</v>
      </c>
      <c r="B1754" s="1832">
        <f>'Tax Sched 23'!B14</f>
        <v>1187204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17592439</v>
      </c>
      <c r="C1759" s="2" t="s">
        <v>569</v>
      </c>
      <c r="D1759" s="2" t="str">
        <f t="shared" si="26"/>
        <v>Error?</v>
      </c>
    </row>
    <row r="1760" spans="1:5" x14ac:dyDescent="0.2">
      <c r="A1760" s="5">
        <v>1699</v>
      </c>
      <c r="B1760" s="1832">
        <f>'Tax Sched 23'!D4</f>
        <v>6270646</v>
      </c>
      <c r="C1760" s="2" t="s">
        <v>569</v>
      </c>
      <c r="D1760" s="2" t="str">
        <f t="shared" si="26"/>
        <v>Error?</v>
      </c>
    </row>
    <row r="1761" spans="1:7" x14ac:dyDescent="0.2">
      <c r="A1761" s="5">
        <v>1700</v>
      </c>
      <c r="B1761" s="1832">
        <f>'Tax Sched 23'!D5</f>
        <v>702935</v>
      </c>
      <c r="C1761" s="2" t="s">
        <v>569</v>
      </c>
      <c r="D1761" s="2" t="str">
        <f t="shared" si="26"/>
        <v>Error?</v>
      </c>
    </row>
    <row r="1762" spans="1:7" s="8" customFormat="1" x14ac:dyDescent="0.2">
      <c r="A1762" s="5">
        <v>1701</v>
      </c>
      <c r="B1762" s="1832">
        <f>'Tax Sched 23'!D6</f>
        <v>499155</v>
      </c>
      <c r="C1762" s="2" t="s">
        <v>569</v>
      </c>
      <c r="D1762" s="2" t="str">
        <f t="shared" si="26"/>
        <v>Error?</v>
      </c>
      <c r="E1762" s="9"/>
      <c r="G1762"/>
    </row>
    <row r="1763" spans="1:7" x14ac:dyDescent="0.2">
      <c r="A1763" s="5">
        <v>1702</v>
      </c>
      <c r="B1763" s="1832">
        <f>'Tax Sched 23'!D7</f>
        <v>-3068</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20799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72654</v>
      </c>
      <c r="C1768" s="2" t="s">
        <v>569</v>
      </c>
      <c r="D1768" s="2" t="str">
        <f t="shared" si="26"/>
        <v>Error?</v>
      </c>
    </row>
    <row r="1769" spans="1:7" x14ac:dyDescent="0.2">
      <c r="A1769" s="5">
        <v>1708</v>
      </c>
      <c r="B1769" s="1832">
        <f>'Tax Sched 23'!D12</f>
        <v>124433</v>
      </c>
      <c r="C1769" s="2" t="s">
        <v>569</v>
      </c>
      <c r="D1769" s="2" t="str">
        <f t="shared" si="26"/>
        <v>Error?</v>
      </c>
    </row>
    <row r="1770" spans="1:7" x14ac:dyDescent="0.2">
      <c r="A1770" s="5">
        <v>1709</v>
      </c>
      <c r="B1770" s="1832">
        <f>'Tax Sched 23'!D14</f>
        <v>511197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8198751</v>
      </c>
      <c r="C1775" s="2" t="s">
        <v>569</v>
      </c>
      <c r="D1775" s="2" t="str">
        <f t="shared" si="26"/>
        <v>Error?</v>
      </c>
    </row>
    <row r="1776" spans="1:7" x14ac:dyDescent="0.2">
      <c r="A1776" s="5">
        <v>1715</v>
      </c>
      <c r="B1776" s="1832">
        <f>'Tax Sched 23'!C4</f>
        <v>6929470</v>
      </c>
      <c r="D1776" s="2" t="str">
        <f t="shared" si="26"/>
        <v>Error?</v>
      </c>
    </row>
    <row r="1777" spans="1:4" x14ac:dyDescent="0.2">
      <c r="A1777" s="5">
        <v>1716</v>
      </c>
      <c r="B1777" s="1832">
        <f>'Tax Sched 23'!C5</f>
        <v>929637</v>
      </c>
      <c r="D1777" s="2" t="str">
        <f t="shared" si="26"/>
        <v>Error?</v>
      </c>
    </row>
    <row r="1778" spans="1:4" x14ac:dyDescent="0.2">
      <c r="A1778" s="5">
        <v>1717</v>
      </c>
      <c r="B1778" s="1832">
        <f>'Tax Sched 23'!C6</f>
        <v>581723</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26424</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92284</v>
      </c>
      <c r="D1784" s="2" t="str">
        <f t="shared" si="26"/>
        <v>Error?</v>
      </c>
    </row>
    <row r="1785" spans="1:4" x14ac:dyDescent="0.2">
      <c r="A1785" s="5">
        <v>1724</v>
      </c>
      <c r="B1785" s="1832">
        <f>'Tax Sched 23'!C12</f>
        <v>158143</v>
      </c>
      <c r="D1785" s="2" t="str">
        <f t="shared" si="26"/>
        <v>Error?</v>
      </c>
    </row>
    <row r="1786" spans="1:4" x14ac:dyDescent="0.2">
      <c r="A1786" s="5">
        <v>1725</v>
      </c>
      <c r="B1786" s="1832">
        <f>'Tax Sched 23'!C14</f>
        <v>676007</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9393688</v>
      </c>
      <c r="C1791" s="2" t="s">
        <v>569</v>
      </c>
      <c r="D1791" s="2" t="str">
        <f t="shared" ref="D1791:D1854" si="27">IF(ISBLANK(B1791),"OK",IF(A1791-B1791=0,"OK","Error?"))</f>
        <v>Error?</v>
      </c>
    </row>
    <row r="1792" spans="1:4" x14ac:dyDescent="0.2">
      <c r="A1792" s="5">
        <v>1731</v>
      </c>
      <c r="B1792" s="1832">
        <f>'Tax Sched 23'!F4</f>
        <v>6220328</v>
      </c>
      <c r="C1792" s="2" t="s">
        <v>569</v>
      </c>
      <c r="D1792" s="2" t="str">
        <f t="shared" si="27"/>
        <v>Error?</v>
      </c>
    </row>
    <row r="1793" spans="1:4" x14ac:dyDescent="0.2">
      <c r="A1793" s="5">
        <v>1732</v>
      </c>
      <c r="B1793" s="1832">
        <f>'Tax Sched 23'!F5</f>
        <v>834508</v>
      </c>
      <c r="C1793" s="2" t="s">
        <v>569</v>
      </c>
      <c r="D1793" s="2" t="str">
        <f t="shared" si="27"/>
        <v>Error?</v>
      </c>
    </row>
    <row r="1794" spans="1:4" x14ac:dyDescent="0.2">
      <c r="A1794" s="5">
        <v>1733</v>
      </c>
      <c r="B1794" s="1832">
        <f>'Tax Sched 23'!F6</f>
        <v>522293</v>
      </c>
      <c r="C1794" s="2" t="s">
        <v>569</v>
      </c>
      <c r="D1794" s="2" t="str">
        <f t="shared" si="27"/>
        <v>Error?</v>
      </c>
    </row>
    <row r="1795" spans="1:4" x14ac:dyDescent="0.2">
      <c r="A1795" s="5">
        <v>1734</v>
      </c>
      <c r="B1795" s="1832">
        <f>'Tax Sched 23'!F7</f>
        <v>1</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23576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82716</v>
      </c>
      <c r="C1800" s="2" t="s">
        <v>569</v>
      </c>
      <c r="D1800" s="2" t="str">
        <f t="shared" si="27"/>
        <v>Error?</v>
      </c>
    </row>
    <row r="1801" spans="1:4" x14ac:dyDescent="0.2">
      <c r="A1801" s="5">
        <v>1740</v>
      </c>
      <c r="B1801" s="1832">
        <f>'Tax Sched 23'!F12</f>
        <v>141857</v>
      </c>
      <c r="C1801" s="2" t="s">
        <v>569</v>
      </c>
      <c r="D1801" s="2" t="str">
        <f t="shared" si="27"/>
        <v>Error?</v>
      </c>
    </row>
    <row r="1802" spans="1:4" x14ac:dyDescent="0.2">
      <c r="A1802" s="5">
        <v>1741</v>
      </c>
      <c r="B1802" s="1832">
        <f>'Tax Sched 23'!F14</f>
        <v>607007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8432286</v>
      </c>
      <c r="C1807" s="2" t="s">
        <v>569</v>
      </c>
      <c r="D1807" s="2" t="str">
        <f t="shared" si="27"/>
        <v>Error?</v>
      </c>
    </row>
    <row r="1808" spans="1:4" x14ac:dyDescent="0.2">
      <c r="A1808" s="5">
        <v>1747</v>
      </c>
      <c r="B1808" s="1832">
        <f>'Tax Sched 23'!E4</f>
        <v>13149798</v>
      </c>
      <c r="D1808" s="2" t="str">
        <f t="shared" si="27"/>
        <v>Error?</v>
      </c>
    </row>
    <row r="1809" spans="1:4" x14ac:dyDescent="0.2">
      <c r="A1809" s="5">
        <v>1748</v>
      </c>
      <c r="B1809" s="1832">
        <f>'Tax Sched 23'!E5</f>
        <v>1764145</v>
      </c>
      <c r="D1809" s="2" t="str">
        <f t="shared" si="27"/>
        <v>Error?</v>
      </c>
    </row>
    <row r="1810" spans="1:4" x14ac:dyDescent="0.2">
      <c r="A1810" s="5">
        <v>1749</v>
      </c>
      <c r="B1810" s="1832">
        <f>'Tax Sched 23'!E6</f>
        <v>1104016</v>
      </c>
      <c r="D1810" s="2" t="str">
        <f t="shared" si="27"/>
        <v>Error?</v>
      </c>
    </row>
    <row r="1811" spans="1:4" x14ac:dyDescent="0.2">
      <c r="A1811" s="5">
        <v>1750</v>
      </c>
      <c r="B1811" s="1832">
        <f>'Tax Sched 23'!E7</f>
        <v>1</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50000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175000</v>
      </c>
      <c r="D1816" s="2" t="str">
        <f t="shared" si="27"/>
        <v>Error?</v>
      </c>
    </row>
    <row r="1817" spans="1:4" x14ac:dyDescent="0.2">
      <c r="A1817" s="5">
        <v>1756</v>
      </c>
      <c r="B1817" s="1832">
        <f>'Tax Sched 23'!E12</f>
        <v>300000</v>
      </c>
      <c r="D1817" s="2" t="str">
        <f t="shared" si="27"/>
        <v>Error?</v>
      </c>
    </row>
    <row r="1818" spans="1:4" x14ac:dyDescent="0.2">
      <c r="A1818" s="5">
        <v>1757</v>
      </c>
      <c r="B1818" s="1832">
        <f>'Tax Sched 23'!E14</f>
        <v>1283014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17825974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12490935</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1187204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1187204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1187204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425000</v>
      </c>
      <c r="D2008" s="2" t="str">
        <f t="shared" si="30"/>
        <v>Error?</v>
      </c>
    </row>
    <row r="2009" spans="1:4" x14ac:dyDescent="0.2">
      <c r="A2009" s="5">
        <v>1948</v>
      </c>
      <c r="B2009" s="1832">
        <f>'Cap Outlay Deprec 26'!C8</f>
        <v>27789753</v>
      </c>
      <c r="D2009" s="2" t="str">
        <f t="shared" si="30"/>
        <v>Error?</v>
      </c>
    </row>
    <row r="2010" spans="1:4" x14ac:dyDescent="0.2">
      <c r="A2010" s="5">
        <v>1949</v>
      </c>
      <c r="B2010" s="1832">
        <f>'Cap Outlay Deprec 26'!C10</f>
        <v>498548</v>
      </c>
      <c r="D2010" s="2" t="str">
        <f t="shared" si="30"/>
        <v>Error?</v>
      </c>
    </row>
    <row r="2011" spans="1:4" x14ac:dyDescent="0.2">
      <c r="A2011" s="5">
        <v>1950</v>
      </c>
      <c r="B2011" s="1832">
        <f>'Cap Outlay Deprec 26'!C12</f>
        <v>6379623</v>
      </c>
      <c r="D2011" s="2" t="str">
        <f t="shared" si="30"/>
        <v>Error?</v>
      </c>
    </row>
    <row r="2012" spans="1:4" x14ac:dyDescent="0.2">
      <c r="A2012" s="5">
        <v>1951</v>
      </c>
      <c r="B2012" s="1832">
        <f>'Cap Outlay Deprec 26'!C13</f>
        <v>1019915</v>
      </c>
      <c r="D2012" s="2" t="str">
        <f t="shared" si="30"/>
        <v>Error?</v>
      </c>
    </row>
    <row r="2013" spans="1:4" x14ac:dyDescent="0.2">
      <c r="A2013" s="5">
        <v>1952</v>
      </c>
      <c r="B2013" s="1832">
        <f>'Cap Outlay Deprec 26'!C16</f>
        <v>36992449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2612581</v>
      </c>
      <c r="D2015" s="2" t="str">
        <f t="shared" si="30"/>
        <v>Error?</v>
      </c>
    </row>
    <row r="2016" spans="1:4" x14ac:dyDescent="0.2">
      <c r="A2016" s="5">
        <v>1955</v>
      </c>
      <c r="B2016" s="1832">
        <f>'Cap Outlay Deprec 26'!D10</f>
        <v>253391</v>
      </c>
      <c r="D2016" s="2" t="str">
        <f t="shared" si="30"/>
        <v>Error?</v>
      </c>
    </row>
    <row r="2017" spans="1:4" x14ac:dyDescent="0.2">
      <c r="A2017" s="5">
        <v>1956</v>
      </c>
      <c r="B2017" s="1832">
        <f>'Cap Outlay Deprec 26'!D12</f>
        <v>247624</v>
      </c>
      <c r="D2017" s="2" t="str">
        <f t="shared" si="30"/>
        <v>Error?</v>
      </c>
    </row>
    <row r="2018" spans="1:4" x14ac:dyDescent="0.2">
      <c r="A2018" s="5">
        <v>1957</v>
      </c>
      <c r="B2018" s="1832">
        <f>'Cap Outlay Deprec 26'!D13</f>
        <v>57185</v>
      </c>
      <c r="D2018" s="2" t="str">
        <f t="shared" si="30"/>
        <v>Error?</v>
      </c>
    </row>
    <row r="2019" spans="1:4" x14ac:dyDescent="0.2">
      <c r="A2019" s="5">
        <v>1958</v>
      </c>
      <c r="B2019" s="1832">
        <f>'Cap Outlay Deprec 26'!D16</f>
        <v>4014627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879610</v>
      </c>
      <c r="C2025" s="2" t="s">
        <v>569</v>
      </c>
      <c r="D2025" s="2" t="str">
        <f t="shared" si="30"/>
        <v>Error?</v>
      </c>
    </row>
    <row r="2026" spans="1:4" x14ac:dyDescent="0.2">
      <c r="A2026" s="5">
        <v>1965</v>
      </c>
      <c r="B2026" s="1832">
        <f>'Cap Outlay Deprec 26'!F5</f>
        <v>425000</v>
      </c>
      <c r="C2026" s="2" t="s">
        <v>569</v>
      </c>
      <c r="D2026" s="2" t="str">
        <f t="shared" si="30"/>
        <v>Error?</v>
      </c>
    </row>
    <row r="2027" spans="1:4" x14ac:dyDescent="0.2">
      <c r="A2027" s="5">
        <v>1966</v>
      </c>
      <c r="B2027" s="1832">
        <f>'Cap Outlay Deprec 26'!F8</f>
        <v>30402334</v>
      </c>
      <c r="C2027" s="2" t="s">
        <v>569</v>
      </c>
      <c r="D2027" s="2" t="str">
        <f t="shared" si="30"/>
        <v>Error?</v>
      </c>
    </row>
    <row r="2028" spans="1:4" x14ac:dyDescent="0.2">
      <c r="A2028" s="5">
        <v>1967</v>
      </c>
      <c r="B2028" s="1832">
        <f>'Cap Outlay Deprec 26'!F10</f>
        <v>751939</v>
      </c>
      <c r="C2028" s="2" t="s">
        <v>569</v>
      </c>
      <c r="D2028" s="2" t="str">
        <f t="shared" si="30"/>
        <v>Error?</v>
      </c>
    </row>
    <row r="2029" spans="1:4" x14ac:dyDescent="0.2">
      <c r="A2029" s="5">
        <v>1968</v>
      </c>
      <c r="B2029" s="1832">
        <f>'Cap Outlay Deprec 26'!F12</f>
        <v>6627247</v>
      </c>
      <c r="C2029" s="2" t="s">
        <v>569</v>
      </c>
      <c r="D2029" s="2" t="str">
        <f t="shared" si="30"/>
        <v>Error?</v>
      </c>
    </row>
    <row r="2030" spans="1:4" x14ac:dyDescent="0.2">
      <c r="A2030" s="5">
        <v>1969</v>
      </c>
      <c r="B2030" s="1832">
        <f>'Cap Outlay Deprec 26'!F13</f>
        <v>1077100</v>
      </c>
      <c r="C2030" s="2" t="s">
        <v>569</v>
      </c>
      <c r="D2030" s="2" t="str">
        <f t="shared" si="30"/>
        <v>Error?</v>
      </c>
    </row>
    <row r="2031" spans="1:4" x14ac:dyDescent="0.2">
      <c r="A2031" s="5">
        <v>1970</v>
      </c>
      <c r="B2031" s="1832">
        <f>'Cap Outlay Deprec 26'!F16</f>
        <v>40127466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12169285</v>
      </c>
      <c r="D2033" s="2" t="str">
        <f t="shared" si="30"/>
        <v>Error?</v>
      </c>
    </row>
    <row r="2034" spans="1:4" x14ac:dyDescent="0.2">
      <c r="A2034" s="5">
        <v>1973</v>
      </c>
      <c r="B2034" s="1832">
        <f>'Cap Outlay Deprec 26'!H10</f>
        <v>363753</v>
      </c>
      <c r="D2034" s="2" t="str">
        <f t="shared" si="30"/>
        <v>Error?</v>
      </c>
    </row>
    <row r="2035" spans="1:4" x14ac:dyDescent="0.2">
      <c r="A2035" s="5">
        <v>1974</v>
      </c>
      <c r="B2035" s="1832">
        <f>'Cap Outlay Deprec 26'!H12</f>
        <v>5277989</v>
      </c>
      <c r="D2035" s="2" t="str">
        <f t="shared" si="30"/>
        <v>Error?</v>
      </c>
    </row>
    <row r="2036" spans="1:4" x14ac:dyDescent="0.2">
      <c r="A2036" s="5">
        <v>1975</v>
      </c>
      <c r="B2036" s="1832">
        <f>'Cap Outlay Deprec 26'!H13</f>
        <v>901897</v>
      </c>
      <c r="D2036" s="2" t="str">
        <f t="shared" si="30"/>
        <v>Error?</v>
      </c>
    </row>
    <row r="2037" spans="1:4" x14ac:dyDescent="0.2">
      <c r="A2037" s="5">
        <v>1976</v>
      </c>
      <c r="B2037" s="1832">
        <f>'Cap Outlay Deprec 26'!H16</f>
        <v>18712924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608047</v>
      </c>
      <c r="D2039" s="2" t="str">
        <f t="shared" si="30"/>
        <v>Error?</v>
      </c>
    </row>
    <row r="2040" spans="1:4" x14ac:dyDescent="0.2">
      <c r="A2040" s="5">
        <v>1979</v>
      </c>
      <c r="B2040" s="1832">
        <f>'Cap Outlay Deprec 26'!I10</f>
        <v>21656</v>
      </c>
      <c r="D2040" s="2" t="str">
        <f t="shared" si="30"/>
        <v>Error?</v>
      </c>
    </row>
    <row r="2041" spans="1:4" x14ac:dyDescent="0.2">
      <c r="A2041" s="5">
        <v>1980</v>
      </c>
      <c r="B2041" s="1832">
        <f>'Cap Outlay Deprec 26'!I12</f>
        <v>236953</v>
      </c>
      <c r="D2041" s="2" t="str">
        <f t="shared" si="30"/>
        <v>Error?</v>
      </c>
    </row>
    <row r="2042" spans="1:4" x14ac:dyDescent="0.2">
      <c r="A2042" s="5">
        <v>1981</v>
      </c>
      <c r="B2042" s="1832">
        <f>'Cap Outlay Deprec 26'!I13</f>
        <v>52768</v>
      </c>
      <c r="D2042" s="2" t="str">
        <f t="shared" si="30"/>
        <v>Error?</v>
      </c>
    </row>
    <row r="2043" spans="1:4" x14ac:dyDescent="0.2">
      <c r="A2043" s="5">
        <v>1982</v>
      </c>
      <c r="B2043" s="1832">
        <f>'Cap Outlay Deprec 26'!I16</f>
        <v>919424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12777332</v>
      </c>
      <c r="C2051" s="2" t="s">
        <v>569</v>
      </c>
      <c r="D2051" s="2" t="str">
        <f t="shared" si="31"/>
        <v>Error?</v>
      </c>
    </row>
    <row r="2052" spans="1:4" x14ac:dyDescent="0.2">
      <c r="A2052" s="5">
        <v>1991</v>
      </c>
      <c r="B2052" s="1832">
        <f>'Cap Outlay Deprec 26'!K10</f>
        <v>385409</v>
      </c>
      <c r="C2052" s="2" t="s">
        <v>569</v>
      </c>
      <c r="D2052" s="2" t="str">
        <f t="shared" si="31"/>
        <v>Error?</v>
      </c>
    </row>
    <row r="2053" spans="1:4" x14ac:dyDescent="0.2">
      <c r="A2053" s="5">
        <v>1992</v>
      </c>
      <c r="B2053" s="1832">
        <f>'Cap Outlay Deprec 26'!K12</f>
        <v>5514942</v>
      </c>
      <c r="C2053" s="2" t="s">
        <v>569</v>
      </c>
      <c r="D2053" s="2" t="str">
        <f t="shared" si="31"/>
        <v>Error?</v>
      </c>
    </row>
    <row r="2054" spans="1:4" x14ac:dyDescent="0.2">
      <c r="A2054" s="5">
        <v>1993</v>
      </c>
      <c r="B2054" s="1832">
        <f>'Cap Outlay Deprec 26'!K13</f>
        <v>954665</v>
      </c>
      <c r="C2054" s="2" t="s">
        <v>569</v>
      </c>
      <c r="D2054" s="2" t="str">
        <f t="shared" si="31"/>
        <v>Error?</v>
      </c>
    </row>
    <row r="2055" spans="1:4" x14ac:dyDescent="0.2">
      <c r="A2055" s="5">
        <v>1994</v>
      </c>
      <c r="B2055" s="1832">
        <f>'Cap Outlay Deprec 26'!K16</f>
        <v>19632348</v>
      </c>
      <c r="C2055" s="2" t="s">
        <v>569</v>
      </c>
      <c r="D2055" s="2" t="str">
        <f t="shared" si="31"/>
        <v>Error?</v>
      </c>
    </row>
    <row r="2056" spans="1:4" x14ac:dyDescent="0.2">
      <c r="A2056" s="5">
        <v>1995</v>
      </c>
      <c r="B2056" s="1832">
        <f>'Cap Outlay Deprec 26'!L5</f>
        <v>425000</v>
      </c>
      <c r="C2056" s="2" t="s">
        <v>569</v>
      </c>
      <c r="D2056" s="2" t="str">
        <f t="shared" si="31"/>
        <v>Error?</v>
      </c>
    </row>
    <row r="2057" spans="1:4" x14ac:dyDescent="0.2">
      <c r="A2057" s="5">
        <v>1996</v>
      </c>
      <c r="B2057" s="1832">
        <f>'Cap Outlay Deprec 26'!L8</f>
        <v>17625002</v>
      </c>
      <c r="C2057" s="2" t="s">
        <v>569</v>
      </c>
      <c r="D2057" s="2" t="str">
        <f t="shared" si="31"/>
        <v>Error?</v>
      </c>
    </row>
    <row r="2058" spans="1:4" x14ac:dyDescent="0.2">
      <c r="A2058" s="5">
        <v>1997</v>
      </c>
      <c r="B2058" s="1832">
        <f>'Cap Outlay Deprec 26'!L10</f>
        <v>366530</v>
      </c>
      <c r="C2058" s="2" t="s">
        <v>569</v>
      </c>
      <c r="D2058" s="2" t="str">
        <f t="shared" si="31"/>
        <v>Error?</v>
      </c>
    </row>
    <row r="2059" spans="1:4" x14ac:dyDescent="0.2">
      <c r="A2059" s="5">
        <v>1998</v>
      </c>
      <c r="B2059" s="1832">
        <f>'Cap Outlay Deprec 26'!L12</f>
        <v>1112305</v>
      </c>
      <c r="C2059" s="2" t="s">
        <v>569</v>
      </c>
      <c r="D2059" s="2" t="str">
        <f t="shared" si="31"/>
        <v>Error?</v>
      </c>
    </row>
    <row r="2060" spans="1:4" x14ac:dyDescent="0.2">
      <c r="A2060" s="5">
        <v>1999</v>
      </c>
      <c r="B2060" s="1832">
        <f>'Cap Outlay Deprec 26'!L13</f>
        <v>122435</v>
      </c>
      <c r="C2060" s="2" t="s">
        <v>569</v>
      </c>
      <c r="D2060" s="2" t="str">
        <f t="shared" si="31"/>
        <v>Error?</v>
      </c>
    </row>
    <row r="2061" spans="1:4" x14ac:dyDescent="0.2">
      <c r="A2061" s="5">
        <v>2000</v>
      </c>
      <c r="B2061" s="1832">
        <f>'Cap Outlay Deprec 26'!L16</f>
        <v>20495118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238307</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238307</v>
      </c>
      <c r="C2088" s="2" t="s">
        <v>569</v>
      </c>
      <c r="D2088" s="2" t="str">
        <f t="shared" si="31"/>
        <v>Error?</v>
      </c>
    </row>
    <row r="2089" spans="1:4" x14ac:dyDescent="0.2">
      <c r="A2089" s="5">
        <v>2028</v>
      </c>
      <c r="B2089" s="1832">
        <f>'Expenditures 15-22'!K92</f>
        <v>580846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15211778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4134862</v>
      </c>
      <c r="C2553" s="2" t="s">
        <v>569</v>
      </c>
      <c r="D2553" s="2" t="str">
        <f t="shared" si="38"/>
        <v>Error?</v>
      </c>
    </row>
    <row r="2554" spans="1:4" x14ac:dyDescent="0.2">
      <c r="A2554" s="5">
        <v>2493</v>
      </c>
      <c r="B2554" s="1832">
        <f>'Acct Summary 7-8'!C7</f>
        <v>1026606</v>
      </c>
      <c r="C2554" s="2" t="s">
        <v>569</v>
      </c>
      <c r="D2554" s="2" t="str">
        <f t="shared" si="38"/>
        <v>Error?</v>
      </c>
    </row>
    <row r="2555" spans="1:4" x14ac:dyDescent="0.2">
      <c r="A2555" s="5">
        <v>2494</v>
      </c>
      <c r="B2555" s="1832">
        <f>'Acct Summary 7-8'!C8</f>
        <v>20373246</v>
      </c>
      <c r="C2555" s="2" t="s">
        <v>569</v>
      </c>
      <c r="D2555" s="2" t="str">
        <f t="shared" si="38"/>
        <v>Error?</v>
      </c>
    </row>
    <row r="2556" spans="1:4" x14ac:dyDescent="0.2">
      <c r="A2556" s="5">
        <v>2495</v>
      </c>
      <c r="B2556" s="1832">
        <f>'Acct Summary 7-8'!C12</f>
        <v>10568132</v>
      </c>
      <c r="C2556" s="2" t="s">
        <v>569</v>
      </c>
      <c r="D2556" s="2" t="str">
        <f t="shared" si="38"/>
        <v>Error?</v>
      </c>
    </row>
    <row r="2557" spans="1:4" x14ac:dyDescent="0.2">
      <c r="A2557" s="5">
        <v>2496</v>
      </c>
      <c r="B2557" s="1832">
        <f>'Acct Summary 7-8'!C13</f>
        <v>4309254</v>
      </c>
      <c r="C2557" s="2" t="s">
        <v>569</v>
      </c>
      <c r="D2557" s="2" t="str">
        <f t="shared" si="38"/>
        <v>Error?</v>
      </c>
    </row>
    <row r="2558" spans="1:4" x14ac:dyDescent="0.2">
      <c r="A2558" s="5">
        <v>2497</v>
      </c>
      <c r="B2558" s="1832">
        <f>'Acct Summary 7-8'!C14</f>
        <v>11646</v>
      </c>
      <c r="C2558" s="2" t="s">
        <v>569</v>
      </c>
      <c r="D2558" s="2" t="str">
        <f t="shared" si="38"/>
        <v>Error?</v>
      </c>
    </row>
    <row r="2559" spans="1:4" x14ac:dyDescent="0.2">
      <c r="A2559" s="5">
        <v>2498</v>
      </c>
      <c r="B2559" s="1832">
        <f>'Acct Summary 7-8'!C15</f>
        <v>819153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15708185</v>
      </c>
      <c r="C2561" s="2" t="s">
        <v>569</v>
      </c>
      <c r="D2561" s="2" t="str">
        <f t="shared" si="39"/>
        <v>Error?</v>
      </c>
    </row>
    <row r="2562" spans="1:4" x14ac:dyDescent="0.2">
      <c r="A2562" s="5">
        <v>2501</v>
      </c>
      <c r="B2562" s="1832">
        <f>'Acct Summary 7-8'!C20</f>
        <v>4665061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1880335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1930335</v>
      </c>
      <c r="C2568" s="2" t="s">
        <v>569</v>
      </c>
      <c r="D2568" s="2" t="str">
        <f t="shared" si="39"/>
        <v>Error?</v>
      </c>
    </row>
    <row r="2569" spans="1:4" x14ac:dyDescent="0.2">
      <c r="A2569" s="5">
        <v>2508</v>
      </c>
      <c r="B2569" s="1832">
        <f>'Acct Summary 7-8'!D13</f>
        <v>4386998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4386998</v>
      </c>
      <c r="C2573" s="2" t="s">
        <v>569</v>
      </c>
      <c r="D2573" s="2" t="str">
        <f t="shared" si="39"/>
        <v>Error?</v>
      </c>
    </row>
    <row r="2574" spans="1:4" x14ac:dyDescent="0.2">
      <c r="A2574" s="5">
        <v>2513</v>
      </c>
      <c r="B2574" s="1832">
        <f>'Acct Summary 7-8'!D20</f>
        <v>-2456663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54448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382905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437353</v>
      </c>
      <c r="C2595" s="2" t="s">
        <v>569</v>
      </c>
      <c r="D2595" s="2" t="str">
        <f t="shared" si="39"/>
        <v>Error?</v>
      </c>
    </row>
    <row r="2596" spans="1:4" x14ac:dyDescent="0.2">
      <c r="A2596" s="5">
        <v>2535</v>
      </c>
      <c r="B2596" s="1832">
        <f>'Acct Summary 7-8'!F13</f>
        <v>559543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559543</v>
      </c>
      <c r="C2600" s="2" t="s">
        <v>569</v>
      </c>
      <c r="D2600" s="2" t="str">
        <f t="shared" si="39"/>
        <v>Error?</v>
      </c>
    </row>
    <row r="2601" spans="1:4" x14ac:dyDescent="0.2">
      <c r="A2601" s="5">
        <v>2540</v>
      </c>
      <c r="B2601" s="1832">
        <f>'Acct Summary 7-8'!F20</f>
        <v>-122190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673439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673439</v>
      </c>
      <c r="C2606" s="2" t="s">
        <v>569</v>
      </c>
      <c r="D2606" s="2" t="str">
        <f t="shared" si="39"/>
        <v>Error?</v>
      </c>
    </row>
    <row r="2607" spans="1:4" x14ac:dyDescent="0.2">
      <c r="A2607" s="5">
        <v>2546</v>
      </c>
      <c r="B2607" s="1832">
        <f>'Acct Summary 7-8'!G12</f>
        <v>161180</v>
      </c>
      <c r="C2607" s="2" t="s">
        <v>569</v>
      </c>
      <c r="D2607" s="2" t="str">
        <f t="shared" si="39"/>
        <v>Error?</v>
      </c>
    </row>
    <row r="2608" spans="1:4" x14ac:dyDescent="0.2">
      <c r="A2608" s="5">
        <v>2547</v>
      </c>
      <c r="B2608" s="1832">
        <f>'Acct Summary 7-8'!G13</f>
        <v>365668</v>
      </c>
      <c r="C2608" s="2" t="s">
        <v>569</v>
      </c>
      <c r="D2608" s="2" t="str">
        <f t="shared" si="39"/>
        <v>Error?</v>
      </c>
    </row>
    <row r="2609" spans="1:4" x14ac:dyDescent="0.2">
      <c r="A2609" s="5">
        <v>2548</v>
      </c>
      <c r="B2609" s="1832">
        <f>'Acct Summary 7-8'!G14</f>
        <v>1345</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528193</v>
      </c>
      <c r="C2612" s="2" t="s">
        <v>569</v>
      </c>
      <c r="D2612" s="2" t="str">
        <f t="shared" si="39"/>
        <v>Error?</v>
      </c>
    </row>
    <row r="2613" spans="1:4" x14ac:dyDescent="0.2">
      <c r="A2613" s="5">
        <v>2552</v>
      </c>
      <c r="B2613" s="1832">
        <f>'Acct Summary 7-8'!G20</f>
        <v>145246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1087978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1087978</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1051444</v>
      </c>
      <c r="C2634" s="2" t="s">
        <v>569</v>
      </c>
      <c r="D2634" s="2" t="str">
        <f t="shared" si="40"/>
        <v>Error?</v>
      </c>
    </row>
    <row r="2635" spans="1:4" x14ac:dyDescent="0.2">
      <c r="A2635" s="5">
        <v>2574</v>
      </c>
      <c r="B2635" s="1832">
        <f>'Acct Summary 7-8'!E17</f>
        <v>1051444</v>
      </c>
      <c r="C2635" s="2" t="s">
        <v>569</v>
      </c>
      <c r="D2635" s="2" t="str">
        <f t="shared" si="40"/>
        <v>Error?</v>
      </c>
    </row>
    <row r="2636" spans="1:4" x14ac:dyDescent="0.2">
      <c r="A2636" s="5">
        <v>2575</v>
      </c>
      <c r="B2636" s="1832">
        <f>'Acct Summary 7-8'!E20</f>
        <v>36534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843846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6649788</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46827</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6649788</v>
      </c>
      <c r="D2912" s="2" t="str">
        <f t="shared" si="44"/>
        <v>Error?</v>
      </c>
    </row>
    <row r="2913" spans="1:4" x14ac:dyDescent="0.2">
      <c r="A2913" s="5">
        <v>2852</v>
      </c>
      <c r="B2913" s="1832">
        <f>'Assets-Liab 5-6'!I41</f>
        <v>6649788</v>
      </c>
      <c r="C2913" s="2" t="s">
        <v>569</v>
      </c>
      <c r="D2913" s="2" t="str">
        <f t="shared" si="44"/>
        <v>Error?</v>
      </c>
    </row>
    <row r="2914" spans="1:4" x14ac:dyDescent="0.2">
      <c r="A2914" s="5">
        <v>2853</v>
      </c>
      <c r="B2914" s="1832">
        <f>'Assets-Liab 5-6'!L33</f>
        <v>46827</v>
      </c>
      <c r="D2914" s="2" t="str">
        <f t="shared" si="44"/>
        <v>Error?</v>
      </c>
    </row>
    <row r="2915" spans="1:4" x14ac:dyDescent="0.2">
      <c r="A2915" s="10">
        <v>2854</v>
      </c>
      <c r="B2915" s="1832"/>
      <c r="D2915" s="2" t="str">
        <f t="shared" si="44"/>
        <v>OK</v>
      </c>
    </row>
    <row r="2916" spans="1:4" x14ac:dyDescent="0.2">
      <c r="A2916" s="5">
        <v>2855</v>
      </c>
      <c r="B2916" s="1832">
        <f>'Assets-Liab 5-6'!L34</f>
        <v>46827</v>
      </c>
      <c r="C2916" s="2" t="s">
        <v>569</v>
      </c>
      <c r="D2916" s="2" t="str">
        <f t="shared" si="44"/>
        <v>Error?</v>
      </c>
    </row>
    <row r="2917" spans="1:4" x14ac:dyDescent="0.2">
      <c r="A2917" s="5">
        <v>2856</v>
      </c>
      <c r="B2917" s="1832">
        <f>'Assets-Liab 5-6'!L41</f>
        <v>46827</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238307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238307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214005</v>
      </c>
      <c r="D3055" s="2" t="str">
        <f t="shared" si="46"/>
        <v>Error?</v>
      </c>
    </row>
    <row r="3056" spans="1:4" x14ac:dyDescent="0.2">
      <c r="A3056" s="5">
        <v>2995</v>
      </c>
      <c r="B3056" s="1832">
        <f>'Expenditures 15-22'!D10</f>
        <v>3210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428</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217643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2966</v>
      </c>
      <c r="D3064" s="2" t="str">
        <f t="shared" si="46"/>
        <v>Error?</v>
      </c>
    </row>
    <row r="3065" spans="1:4" x14ac:dyDescent="0.2">
      <c r="A3065" s="5">
        <v>3004</v>
      </c>
      <c r="B3065" s="1832">
        <f>'Expenditures 15-22'!K219</f>
        <v>2966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185089</v>
      </c>
      <c r="C3225" s="2" t="s">
        <v>569</v>
      </c>
      <c r="D3225" s="2" t="str">
        <f t="shared" si="49"/>
        <v>Error?</v>
      </c>
    </row>
    <row r="3226" spans="1:4" x14ac:dyDescent="0.2">
      <c r="A3226" s="5">
        <v>3165</v>
      </c>
      <c r="B3226" s="1832">
        <f>'Acct Summary 7-8'!I8</f>
        <v>185089</v>
      </c>
      <c r="C3226" s="2" t="s">
        <v>569</v>
      </c>
      <c r="D3226" s="2" t="str">
        <f t="shared" si="49"/>
        <v>Error?</v>
      </c>
    </row>
    <row r="3227" spans="1:4" x14ac:dyDescent="0.2">
      <c r="A3227" s="5">
        <v>3166</v>
      </c>
      <c r="B3227" s="1832">
        <f>'Acct Summary 7-8'!I20</f>
        <v>185089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4665061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-2456663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-122190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145246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36534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185089</v>
      </c>
      <c r="C3320" s="2" t="s">
        <v>569</v>
      </c>
      <c r="D3320" s="2" t="str">
        <f t="shared" si="50"/>
        <v>Error?</v>
      </c>
    </row>
    <row r="3321" spans="1:4" x14ac:dyDescent="0.2">
      <c r="A3321" s="5">
        <v>3260</v>
      </c>
      <c r="B3321" s="1832">
        <f>'Acct Summary 7-8'!I79</f>
        <v>6464699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6649788</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1132474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297519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28973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4151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1463117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84276</v>
      </c>
      <c r="D3387" s="2" t="str">
        <f t="shared" si="51"/>
        <v>Error?</v>
      </c>
    </row>
    <row r="3388" spans="1:4" x14ac:dyDescent="0.2">
      <c r="A3388" s="5">
        <v>3327</v>
      </c>
      <c r="B3388" s="1832">
        <f>'Expenditures 15-22'!D217</f>
        <v>49923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84276</v>
      </c>
      <c r="C3390" s="2" t="s">
        <v>569</v>
      </c>
      <c r="D3390" s="2" t="str">
        <f t="shared" si="51"/>
        <v>Error?</v>
      </c>
    </row>
    <row r="3391" spans="1:4" x14ac:dyDescent="0.2">
      <c r="A3391" s="5">
        <v>3330</v>
      </c>
      <c r="B3391" s="1832">
        <f>'Expenditures 15-22'!K217</f>
        <v>49923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22174225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2270565</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319902</v>
      </c>
      <c r="D3417" s="2" t="str">
        <f t="shared" si="52"/>
        <v>Error?</v>
      </c>
    </row>
    <row r="3418" spans="1:4" x14ac:dyDescent="0.2">
      <c r="A3418" s="10">
        <v>3357</v>
      </c>
      <c r="B3418" s="1832"/>
      <c r="D3418" s="2" t="str">
        <f t="shared" si="52"/>
        <v>OK</v>
      </c>
    </row>
    <row r="3419" spans="1:4" x14ac:dyDescent="0.2">
      <c r="A3419" s="5">
        <v>3358</v>
      </c>
      <c r="B3419" s="1832">
        <f>'Assets-Liab 5-6'!F4</f>
        <v>2627150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1068070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6649788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46827</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879610</v>
      </c>
      <c r="D3451" s="2" t="str">
        <f t="shared" si="52"/>
        <v>Error?</v>
      </c>
    </row>
    <row r="3452" spans="1:4" x14ac:dyDescent="0.2">
      <c r="A3452" s="5">
        <v>3391</v>
      </c>
      <c r="B3452" s="1832">
        <f>'Cap Outlay Deprec 26'!D15</f>
        <v>843846</v>
      </c>
      <c r="D3452" s="2" t="str">
        <f t="shared" si="52"/>
        <v>Error?</v>
      </c>
    </row>
    <row r="3453" spans="1:4" x14ac:dyDescent="0.2">
      <c r="A3453" s="5">
        <v>3392</v>
      </c>
      <c r="B3453" s="1832">
        <f>'Cap Outlay Deprec 26'!E15</f>
        <v>879610</v>
      </c>
      <c r="D3453" s="2" t="str">
        <f t="shared" si="52"/>
        <v>Error?</v>
      </c>
    </row>
    <row r="3454" spans="1:4" x14ac:dyDescent="0.2">
      <c r="A3454" s="5">
        <v>3393</v>
      </c>
      <c r="B3454" s="1832">
        <f>'Cap Outlay Deprec 26'!F15</f>
        <v>843846</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843846</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437682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437682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437682</v>
      </c>
      <c r="D3567" s="2" t="str">
        <f t="shared" si="54"/>
        <v>Error?</v>
      </c>
    </row>
    <row r="3568" spans="1:4" x14ac:dyDescent="0.2">
      <c r="A3568" s="5">
        <v>3507</v>
      </c>
      <c r="B3568" s="1832">
        <f>'Assets-Liab 5-6'!K41</f>
        <v>437682</v>
      </c>
      <c r="C3568" s="2" t="s">
        <v>569</v>
      </c>
      <c r="D3568" s="2" t="str">
        <f t="shared" si="54"/>
        <v>Error?</v>
      </c>
    </row>
    <row r="3569" spans="1:4" x14ac:dyDescent="0.2">
      <c r="A3569" s="5">
        <v>3508</v>
      </c>
      <c r="B3569" s="1832">
        <f>'Acct Summary 7-8'!K4</f>
        <v>288891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288891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288891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288891</v>
      </c>
      <c r="C3588" s="2" t="s">
        <v>569</v>
      </c>
      <c r="D3588" s="2" t="str">
        <f t="shared" si="55"/>
        <v>Error?</v>
      </c>
    </row>
    <row r="3589" spans="1:4" x14ac:dyDescent="0.2">
      <c r="A3589" s="5">
        <v>3528</v>
      </c>
      <c r="B3589" s="1832">
        <f>'Acct Summary 7-8'!K79</f>
        <v>148791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437682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288891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338514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7006298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27379544</v>
      </c>
      <c r="C4122" s="2" t="s">
        <v>569</v>
      </c>
      <c r="D4122" s="2" t="str">
        <f t="shared" si="63"/>
        <v>Error?</v>
      </c>
    </row>
    <row r="4123" spans="1:4" x14ac:dyDescent="0.2">
      <c r="A4123" s="5">
        <v>4062</v>
      </c>
      <c r="B4123" s="1832">
        <f>'Acct Summary 7-8'!D10</f>
        <v>1930335</v>
      </c>
      <c r="C4123" s="2" t="s">
        <v>569</v>
      </c>
      <c r="D4123" s="2" t="str">
        <f t="shared" si="63"/>
        <v>Error?</v>
      </c>
    </row>
    <row r="4124" spans="1:4" x14ac:dyDescent="0.2">
      <c r="A4124" s="5">
        <v>4063</v>
      </c>
      <c r="B4124" s="1832">
        <f>'Acct Summary 7-8'!E10</f>
        <v>1087978</v>
      </c>
      <c r="C4124" s="2" t="s">
        <v>569</v>
      </c>
      <c r="D4124" s="2" t="str">
        <f t="shared" si="63"/>
        <v>Error?</v>
      </c>
    </row>
    <row r="4125" spans="1:4" x14ac:dyDescent="0.2">
      <c r="A4125" s="5">
        <v>4064</v>
      </c>
      <c r="B4125" s="1832">
        <f>'Acct Summary 7-8'!F10</f>
        <v>437353</v>
      </c>
      <c r="C4125" s="2" t="s">
        <v>569</v>
      </c>
      <c r="D4125" s="2" t="str">
        <f t="shared" si="63"/>
        <v>Error?</v>
      </c>
    </row>
    <row r="4126" spans="1:4" x14ac:dyDescent="0.2">
      <c r="A4126" s="5">
        <v>4065</v>
      </c>
      <c r="B4126" s="1832">
        <f>'Acct Summary 7-8'!G10</f>
        <v>673439</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185089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288891</v>
      </c>
      <c r="C4130" s="2" t="s">
        <v>569</v>
      </c>
      <c r="D4130" s="2" t="str">
        <f t="shared" si="63"/>
        <v>Error?</v>
      </c>
    </row>
    <row r="4131" spans="1:4" x14ac:dyDescent="0.2">
      <c r="A4131" s="5">
        <v>4070</v>
      </c>
      <c r="B4131" s="1832">
        <f>'Acct Summary 7-8'!C18</f>
        <v>7006298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22714483</v>
      </c>
      <c r="C4136" s="2" t="s">
        <v>569</v>
      </c>
      <c r="D4136" s="2" t="str">
        <f t="shared" si="63"/>
        <v>Error?</v>
      </c>
    </row>
    <row r="4137" spans="1:4" x14ac:dyDescent="0.2">
      <c r="A4137" s="5">
        <v>4076</v>
      </c>
      <c r="B4137" s="1832">
        <f>'Acct Summary 7-8'!D19</f>
        <v>4386998</v>
      </c>
      <c r="C4137" s="2" t="s">
        <v>569</v>
      </c>
      <c r="D4137" s="2" t="str">
        <f t="shared" si="63"/>
        <v>Error?</v>
      </c>
    </row>
    <row r="4138" spans="1:4" x14ac:dyDescent="0.2">
      <c r="A4138" s="5">
        <v>4077</v>
      </c>
      <c r="B4138" s="1832">
        <f>'Acct Summary 7-8'!E19</f>
        <v>1051444</v>
      </c>
      <c r="C4138" s="2" t="s">
        <v>569</v>
      </c>
      <c r="D4138" s="2" t="str">
        <f t="shared" si="63"/>
        <v>Error?</v>
      </c>
    </row>
    <row r="4139" spans="1:4" x14ac:dyDescent="0.2">
      <c r="A4139" s="5">
        <v>4078</v>
      </c>
      <c r="B4139" s="1832">
        <f>'Acct Summary 7-8'!F19</f>
        <v>559543</v>
      </c>
      <c r="C4139" s="2" t="s">
        <v>569</v>
      </c>
      <c r="D4139" s="2" t="str">
        <f t="shared" si="63"/>
        <v>Error?</v>
      </c>
    </row>
    <row r="4140" spans="1:4" x14ac:dyDescent="0.2">
      <c r="A4140" s="5">
        <v>4079</v>
      </c>
      <c r="B4140" s="1832">
        <f>'Acct Summary 7-8'!G19</f>
        <v>528193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12321586</v>
      </c>
      <c r="C4171" s="2" t="s">
        <v>569</v>
      </c>
      <c r="D4171" s="2" t="str">
        <f t="shared" si="64"/>
        <v>Error?</v>
      </c>
    </row>
    <row r="4172" spans="1:4" x14ac:dyDescent="0.2">
      <c r="A4172" s="5">
        <v>4111</v>
      </c>
      <c r="B4172" s="1832">
        <f>'Short-Term Long-Term Debt 24'!J49</f>
        <v>12001684</v>
      </c>
      <c r="C4172" s="2" t="s">
        <v>569</v>
      </c>
      <c r="D4172" s="2" t="str">
        <f t="shared" si="64"/>
        <v>Error?</v>
      </c>
    </row>
    <row r="4173" spans="1:4" x14ac:dyDescent="0.2">
      <c r="A4173" s="5">
        <v>4112</v>
      </c>
      <c r="B4173" s="1832">
        <f>'Short-Term Long-Term Debt 24'!H49</f>
        <v>169349</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3461.6</v>
      </c>
      <c r="C4265" s="2" t="s">
        <v>569</v>
      </c>
      <c r="D4265" s="2" t="str">
        <f t="shared" si="65"/>
        <v>Error?</v>
      </c>
      <c r="E4265" s="125"/>
    </row>
    <row r="4266" spans="1:5" x14ac:dyDescent="0.2">
      <c r="A4266" s="12">
        <v>4205</v>
      </c>
      <c r="B4266" s="1832">
        <f>('FP Info 3'!F10)*100000</f>
        <v>464.4</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3926.0000000000005</v>
      </c>
      <c r="C4268" s="2" t="s">
        <v>569</v>
      </c>
      <c r="D4268" s="2" t="str">
        <f t="shared" si="65"/>
        <v>Error?</v>
      </c>
    </row>
    <row r="4269" spans="1:5" x14ac:dyDescent="0.2">
      <c r="A4269" s="12">
        <v>4208</v>
      </c>
      <c r="B4269" s="1832">
        <f>'FP Info 3'!J16</f>
        <v>33721728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6173</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26152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68414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32068</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37155</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43309</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13.200000000000001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63740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39721</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379876374</v>
      </c>
      <c r="D4995" s="2" t="str">
        <f t="shared" si="77"/>
        <v>Error?</v>
      </c>
    </row>
    <row r="4996" spans="1:4" x14ac:dyDescent="0.2">
      <c r="A4996" s="12">
        <v>4935</v>
      </c>
      <c r="B4996" s="1832">
        <f>'FP Info 3'!H31</f>
        <v>26211469.806000002</v>
      </c>
      <c r="D4996" s="2" t="str">
        <f t="shared" si="77"/>
        <v>Error?</v>
      </c>
    </row>
    <row r="4997" spans="1:4" x14ac:dyDescent="0.2">
      <c r="A4997" s="12">
        <v>4936</v>
      </c>
      <c r="B4997" s="1832">
        <f>'FP Info 3'!H37</f>
        <v>12321586</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13200116</v>
      </c>
      <c r="D5061" s="2" t="str">
        <f t="shared" si="78"/>
        <v>Error?</v>
      </c>
    </row>
    <row r="5062" spans="1:4" x14ac:dyDescent="0.2">
      <c r="A5062" s="10">
        <v>5001</v>
      </c>
      <c r="B5062" s="1832"/>
      <c r="D5062" s="2" t="str">
        <f t="shared" si="78"/>
        <v>OK</v>
      </c>
    </row>
    <row r="5063" spans="1:4" x14ac:dyDescent="0.2">
      <c r="A5063" s="5">
        <v>5002</v>
      </c>
      <c r="B5063" s="1832">
        <f>'Revenues 9-14'!C7</f>
        <v>1187204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14387320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117654</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117654</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1025</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43827</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44852</v>
      </c>
      <c r="C5087" s="2" t="s">
        <v>569</v>
      </c>
      <c r="D5087" s="2" t="str">
        <f t="shared" si="78"/>
        <v>Error?</v>
      </c>
    </row>
    <row r="5088" spans="1:4" x14ac:dyDescent="0.2">
      <c r="A5088" s="5">
        <v>5027</v>
      </c>
      <c r="B5088" s="1832">
        <f>'Revenues 9-14'!C65</f>
        <v>447295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447295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96186</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9016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9016</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7680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35038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2997</v>
      </c>
      <c r="D5119" s="2" t="str">
        <f t="shared" ref="D5119:D5182" si="79">IF(ISBLANK(B5119),"OK",IF(A5119-B5119=0,"OK","Error?"))</f>
        <v>Error?</v>
      </c>
    </row>
    <row r="5120" spans="1:4" x14ac:dyDescent="0.2">
      <c r="A5120" s="5">
        <v>5059</v>
      </c>
      <c r="B5120" s="1832">
        <f>'Revenues 9-14'!C108</f>
        <v>109455</v>
      </c>
      <c r="C5120" s="2" t="s">
        <v>569</v>
      </c>
      <c r="D5120" s="2" t="str">
        <f t="shared" si="79"/>
        <v>Error?</v>
      </c>
    </row>
    <row r="5121" spans="1:4" x14ac:dyDescent="0.2">
      <c r="A5121" s="5">
        <v>5060</v>
      </c>
      <c r="B5121" s="1832">
        <f>'Revenues 9-14'!C109</f>
        <v>15211778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3650969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3650969</v>
      </c>
      <c r="C5132" s="2" t="s">
        <v>569</v>
      </c>
      <c r="D5132" s="2" t="str">
        <f t="shared" si="79"/>
        <v>Error?</v>
      </c>
    </row>
    <row r="5133" spans="1:4" x14ac:dyDescent="0.2">
      <c r="A5133" s="5">
        <v>5072</v>
      </c>
      <c r="B5133" s="1832">
        <f>'Revenues 9-14'!C125</f>
        <v>173786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173786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3385</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267001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483893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4134862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254088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4406</v>
      </c>
      <c r="D5241" s="2" t="str">
        <f t="shared" si="80"/>
        <v>Error?</v>
      </c>
    </row>
    <row r="5242" spans="1:4" x14ac:dyDescent="0.2">
      <c r="A5242" s="5">
        <v>5181</v>
      </c>
      <c r="B5242" s="1832">
        <f>'Revenues 9-14'!C194</f>
        <v>80020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338514</v>
      </c>
      <c r="C5246" s="2" t="s">
        <v>569</v>
      </c>
      <c r="D5246" s="2" t="str">
        <f t="shared" si="80"/>
        <v>Error?</v>
      </c>
    </row>
    <row r="5247" spans="1:4" x14ac:dyDescent="0.2">
      <c r="A5247" s="5">
        <v>5186</v>
      </c>
      <c r="B5247" s="1832">
        <f>'Revenues 9-14'!C200</f>
        <v>232242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32068</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238415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7497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200988</v>
      </c>
      <c r="D5278" s="2" t="str">
        <f t="shared" si="81"/>
        <v>Error?</v>
      </c>
    </row>
    <row r="5279" spans="1:4" x14ac:dyDescent="0.2">
      <c r="A5279" s="5">
        <v>5218</v>
      </c>
      <c r="B5279" s="1832">
        <f>'Revenues 9-14'!C214</f>
        <v>34094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242579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1026606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1026606</v>
      </c>
      <c r="C5326" s="2" t="s">
        <v>569</v>
      </c>
      <c r="D5326" s="2" t="str">
        <f t="shared" si="82"/>
        <v>Error?</v>
      </c>
    </row>
    <row r="5327" spans="1:5" x14ac:dyDescent="0.2">
      <c r="A5327" s="5">
        <v>5266</v>
      </c>
      <c r="B5327" s="1832">
        <f>'Revenues 9-14'!C268</f>
        <v>20373246</v>
      </c>
      <c r="C5327" s="2" t="s">
        <v>569</v>
      </c>
      <c r="D5327" s="2" t="str">
        <f t="shared" si="82"/>
        <v>Error?</v>
      </c>
    </row>
    <row r="5328" spans="1:5" x14ac:dyDescent="0.2">
      <c r="A5328" s="5">
        <v>5267</v>
      </c>
      <c r="B5328" s="1832">
        <f>'Revenues 9-14'!D5</f>
        <v>1632572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1632572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100000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100000</v>
      </c>
      <c r="C5339" s="2" t="s">
        <v>569</v>
      </c>
      <c r="D5339" s="2" t="str">
        <f t="shared" si="82"/>
        <v>Error?</v>
      </c>
    </row>
    <row r="5340" spans="1:4" x14ac:dyDescent="0.2">
      <c r="A5340" s="5">
        <v>5279</v>
      </c>
      <c r="B5340" s="1832">
        <f>'Revenues 9-14'!D65</f>
        <v>64081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64081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83682</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83682</v>
      </c>
      <c r="C5355" s="2" t="s">
        <v>569</v>
      </c>
      <c r="D5355" s="2" t="str">
        <f t="shared" si="82"/>
        <v>Error?</v>
      </c>
    </row>
    <row r="5356" spans="1:4" x14ac:dyDescent="0.2">
      <c r="A5356" s="5">
        <v>5295</v>
      </c>
      <c r="B5356" s="1832">
        <f>'Revenues 9-14'!D109</f>
        <v>1880335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1930335</v>
      </c>
      <c r="C5508" s="2" t="s">
        <v>569</v>
      </c>
      <c r="D5508" s="2" t="str">
        <f t="shared" si="85"/>
        <v>Error?</v>
      </c>
    </row>
    <row r="5509" spans="1:4" x14ac:dyDescent="0.2">
      <c r="A5509" s="5">
        <v>5448</v>
      </c>
      <c r="B5509" s="1832">
        <f>'Revenues 9-14'!E5</f>
        <v>1080878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1080878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6326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6326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774</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774</v>
      </c>
      <c r="C5526" s="2" t="s">
        <v>569</v>
      </c>
      <c r="D5526" s="2" t="str">
        <f t="shared" si="85"/>
        <v>Error?</v>
      </c>
    </row>
    <row r="5527" spans="1:4" x14ac:dyDescent="0.2">
      <c r="A5527" s="5">
        <v>5466</v>
      </c>
      <c r="B5527" s="1832">
        <f>'Revenues 9-14'!E109</f>
        <v>1087978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1087978</v>
      </c>
      <c r="C5552" s="2" t="s">
        <v>569</v>
      </c>
      <c r="D5552" s="2" t="str">
        <f t="shared" si="85"/>
        <v>Error?</v>
      </c>
    </row>
    <row r="5553" spans="1:4" x14ac:dyDescent="0.2">
      <c r="A5553" s="5">
        <v>5492</v>
      </c>
      <c r="B5553" s="1832">
        <f>'Revenues 9-14'!F5</f>
        <v>-3068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-3068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57516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57516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54448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10133</v>
      </c>
      <c r="D5615" s="2" t="str">
        <f t="shared" si="86"/>
        <v>Error?</v>
      </c>
    </row>
    <row r="5616" spans="1:4" x14ac:dyDescent="0.2">
      <c r="A5616" s="10">
        <v>5555</v>
      </c>
      <c r="B5616" s="1832"/>
      <c r="D5616" s="2" t="str">
        <f t="shared" si="86"/>
        <v>OK</v>
      </c>
    </row>
    <row r="5617" spans="1:5" x14ac:dyDescent="0.2">
      <c r="A5617" s="5">
        <v>5556</v>
      </c>
      <c r="B5617" s="1832">
        <f>'Revenues 9-14'!F153</f>
        <v>372772</v>
      </c>
      <c r="D5617" s="2" t="str">
        <f t="shared" si="86"/>
        <v>Error?</v>
      </c>
    </row>
    <row r="5618" spans="1:5" x14ac:dyDescent="0.2">
      <c r="A5618" s="5">
        <v>5557</v>
      </c>
      <c r="B5618" s="1832">
        <f>'Revenues 9-14'!F155</f>
        <v>382905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382905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382905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437353</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650000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650000</v>
      </c>
      <c r="C5730" s="2" t="s">
        <v>569</v>
      </c>
      <c r="D5730" s="2" t="str">
        <f t="shared" si="88"/>
        <v>Error?</v>
      </c>
    </row>
    <row r="5731" spans="1:4" x14ac:dyDescent="0.2">
      <c r="A5731" s="5">
        <v>5670</v>
      </c>
      <c r="B5731" s="1832">
        <f>'Revenues 9-14'!G65</f>
        <v>23439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23439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673439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47223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47223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137866</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137866</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185089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282576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282576</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6315</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6315</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288891</v>
      </c>
      <c r="C6023" s="2" t="s">
        <v>569</v>
      </c>
      <c r="D6023" s="2" t="str">
        <f t="shared" si="93"/>
        <v>Error?</v>
      </c>
    </row>
    <row r="6024" spans="1:5" x14ac:dyDescent="0.2">
      <c r="A6024" s="5">
        <v>5963</v>
      </c>
      <c r="B6024" s="1832">
        <f>'Revenues 9-14'!G109</f>
        <v>673439</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185089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288891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96186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36821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1317.3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384178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384178</v>
      </c>
      <c r="D6215" s="2" t="str">
        <f t="shared" si="96"/>
        <v>Error?</v>
      </c>
      <c r="E6215" s="2" t="s">
        <v>189</v>
      </c>
    </row>
    <row r="6216" spans="1:5" x14ac:dyDescent="0.2">
      <c r="A6216">
        <v>6155</v>
      </c>
      <c r="B6216" s="1832">
        <f>'Assets-Liab 5-6'!J41</f>
        <v>384178</v>
      </c>
      <c r="D6216" s="2" t="str">
        <f t="shared" si="96"/>
        <v>Error?</v>
      </c>
      <c r="E6216" s="2" t="s">
        <v>189</v>
      </c>
    </row>
    <row r="6217" spans="1:5" x14ac:dyDescent="0.2">
      <c r="A6217">
        <v>6156</v>
      </c>
      <c r="B6217" s="1832">
        <f>'Assets-Liab 5-6'!J4</f>
        <v>384178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190832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190832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190832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95984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95984</v>
      </c>
      <c r="D6229" s="2" t="str">
        <f t="shared" si="96"/>
        <v>Error?</v>
      </c>
      <c r="E6229" s="2" t="s">
        <v>189</v>
      </c>
    </row>
    <row r="6230" spans="1:5" x14ac:dyDescent="0.2">
      <c r="A6230">
        <v>6169</v>
      </c>
      <c r="B6230" s="1832">
        <f>'Acct Summary 7-8'!J20</f>
        <v>94848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94848</v>
      </c>
      <c r="D6263" s="2" t="str">
        <f t="shared" si="96"/>
        <v>Error?</v>
      </c>
      <c r="E6263" s="2" t="s">
        <v>189</v>
      </c>
    </row>
    <row r="6264" spans="1:5" x14ac:dyDescent="0.2">
      <c r="A6264">
        <v>6203</v>
      </c>
      <c r="B6264" s="1832">
        <f>'Acct Summary 7-8'!J79</f>
        <v>289330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384178</v>
      </c>
      <c r="D6266" s="2" t="str">
        <f t="shared" si="96"/>
        <v>Error?</v>
      </c>
      <c r="E6266" s="2" t="s">
        <v>189</v>
      </c>
    </row>
    <row r="6267" spans="1:5" x14ac:dyDescent="0.2">
      <c r="A6267">
        <v>6206</v>
      </c>
      <c r="B6267" s="1832">
        <f>'Acct Summary 7-8'!C82</f>
        <v>4665061</v>
      </c>
      <c r="D6267" s="2" t="str">
        <f t="shared" si="96"/>
        <v>Error?</v>
      </c>
      <c r="E6267" s="2" t="s">
        <v>189</v>
      </c>
    </row>
    <row r="6268" spans="1:5" x14ac:dyDescent="0.2">
      <c r="A6268">
        <v>6207</v>
      </c>
      <c r="B6268" s="1832">
        <f>'Acct Summary 7-8'!D82</f>
        <v>-2456663</v>
      </c>
      <c r="D6268" s="2" t="str">
        <f t="shared" si="96"/>
        <v>Error?</v>
      </c>
      <c r="E6268" s="2" t="s">
        <v>189</v>
      </c>
    </row>
    <row r="6269" spans="1:5" x14ac:dyDescent="0.2">
      <c r="A6269">
        <v>6208</v>
      </c>
      <c r="B6269" s="1832">
        <f>'Acct Summary 7-8'!E82</f>
        <v>36534</v>
      </c>
      <c r="D6269" s="2" t="str">
        <f t="shared" si="96"/>
        <v>Error?</v>
      </c>
      <c r="E6269" s="2" t="s">
        <v>189</v>
      </c>
    </row>
    <row r="6270" spans="1:5" x14ac:dyDescent="0.2">
      <c r="A6270">
        <v>6209</v>
      </c>
      <c r="B6270" s="1832">
        <f>'Acct Summary 7-8'!F82</f>
        <v>-122190</v>
      </c>
      <c r="D6270" s="2" t="str">
        <f t="shared" si="96"/>
        <v>Error?</v>
      </c>
      <c r="E6270" s="2" t="s">
        <v>189</v>
      </c>
    </row>
    <row r="6271" spans="1:5" x14ac:dyDescent="0.2">
      <c r="A6271">
        <v>6210</v>
      </c>
      <c r="B6271" s="1832">
        <f>'Acct Summary 7-8'!G82</f>
        <v>145246</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185089</v>
      </c>
      <c r="D6273" s="2" t="str">
        <f t="shared" si="97"/>
        <v>Error?</v>
      </c>
      <c r="E6273" s="2" t="s">
        <v>189</v>
      </c>
    </row>
    <row r="6274" spans="1:5" x14ac:dyDescent="0.2">
      <c r="A6274">
        <v>6213</v>
      </c>
      <c r="B6274" s="1832">
        <f>'Acct Summary 7-8'!J82</f>
        <v>94848</v>
      </c>
      <c r="D6274" s="2" t="str">
        <f t="shared" si="97"/>
        <v>Error?</v>
      </c>
      <c r="E6274" s="2" t="s">
        <v>189</v>
      </c>
    </row>
    <row r="6275" spans="1:5" x14ac:dyDescent="0.2">
      <c r="A6275">
        <v>6214</v>
      </c>
      <c r="B6275" s="1832">
        <f>'Acct Summary 7-8'!K82</f>
        <v>288891</v>
      </c>
      <c r="D6275" s="2" t="str">
        <f t="shared" si="97"/>
        <v>Error?</v>
      </c>
      <c r="E6275" s="2" t="s">
        <v>189</v>
      </c>
    </row>
    <row r="6276" spans="1:5" x14ac:dyDescent="0.2">
      <c r="A6276">
        <v>6215</v>
      </c>
      <c r="B6276" s="1832">
        <f>'Acct Summary 7-8'!C83</f>
        <v>0.21038214413356046</v>
      </c>
      <c r="D6276" s="2" t="str">
        <f t="shared" si="97"/>
        <v>Error?</v>
      </c>
      <c r="E6276" s="2" t="s">
        <v>189</v>
      </c>
    </row>
    <row r="6277" spans="1:5" x14ac:dyDescent="0.2">
      <c r="A6277">
        <v>6216</v>
      </c>
      <c r="B6277" s="1832">
        <f>'Acct Summary 7-8'!D83</f>
        <v>-1.081961097788436</v>
      </c>
      <c r="D6277" s="2" t="str">
        <f t="shared" si="97"/>
        <v>Error?</v>
      </c>
      <c r="E6277" s="2" t="s">
        <v>189</v>
      </c>
    </row>
    <row r="6278" spans="1:5" x14ac:dyDescent="0.2">
      <c r="A6278">
        <v>6217</v>
      </c>
      <c r="B6278" s="1832">
        <f>'Acct Summary 7-8'!E83</f>
        <v>0.11420372489074779</v>
      </c>
      <c r="D6278" s="2" t="str">
        <f t="shared" si="97"/>
        <v>Error?</v>
      </c>
      <c r="E6278" s="2" t="s">
        <v>189</v>
      </c>
    </row>
    <row r="6279" spans="1:5" x14ac:dyDescent="0.2">
      <c r="A6279">
        <v>6218</v>
      </c>
      <c r="B6279" s="1832">
        <f>'Acct Summary 7-8'!F83</f>
        <v>-4.6510477133014864E-2</v>
      </c>
      <c r="D6279" s="2" t="str">
        <f t="shared" si="97"/>
        <v>Error?</v>
      </c>
      <c r="E6279" s="2" t="s">
        <v>189</v>
      </c>
    </row>
    <row r="6280" spans="1:5" x14ac:dyDescent="0.2">
      <c r="A6280">
        <v>6219</v>
      </c>
      <c r="B6280" s="1832">
        <f>'Acct Summary 7-8'!G83</f>
        <v>0.13598921419008117</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2.7833819664626901E-2</v>
      </c>
      <c r="D6282" s="2" t="str">
        <f t="shared" si="97"/>
        <v>Error?</v>
      </c>
      <c r="E6282" s="2" t="s">
        <v>189</v>
      </c>
    </row>
    <row r="6283" spans="1:5" x14ac:dyDescent="0.2">
      <c r="A6283">
        <v>6222</v>
      </c>
      <c r="B6283" s="1832">
        <f>'Acct Summary 7-8'!J83</f>
        <v>0.24688555825684969</v>
      </c>
      <c r="D6283" s="2" t="str">
        <f t="shared" si="97"/>
        <v>Error?</v>
      </c>
      <c r="E6283" s="2" t="s">
        <v>189</v>
      </c>
    </row>
    <row r="6284" spans="1:5" x14ac:dyDescent="0.2">
      <c r="A6284">
        <v>6223</v>
      </c>
      <c r="B6284" s="1832">
        <f>'Acct Summary 7-8'!K83</f>
        <v>0.66004770586864436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164938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164938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6324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6324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19570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19570</v>
      </c>
      <c r="D6351" s="2" t="str">
        <f t="shared" si="98"/>
        <v>Error?</v>
      </c>
      <c r="E6351" s="2" t="s">
        <v>189</v>
      </c>
    </row>
    <row r="6352" spans="1:5" x14ac:dyDescent="0.2">
      <c r="A6352">
        <v>6291</v>
      </c>
      <c r="B6352" s="1832">
        <f>'Revenues 9-14'!J109</f>
        <v>190832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292415</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375262</v>
      </c>
      <c r="D6880" s="2" t="str">
        <f t="shared" si="106"/>
        <v>Error?</v>
      </c>
    </row>
    <row r="6881" spans="1:4" x14ac:dyDescent="0.2">
      <c r="A6881">
        <v>6820</v>
      </c>
      <c r="B6881" s="1832">
        <f>'Expenditures 15-22'!K22</f>
        <v>375262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580846</v>
      </c>
      <c r="D6983" s="2" t="str">
        <f t="shared" si="108"/>
        <v>Error?</v>
      </c>
    </row>
    <row r="6984" spans="1:4" x14ac:dyDescent="0.2">
      <c r="A6984">
        <v>6923</v>
      </c>
      <c r="B6984" s="1832">
        <f>'Expenditures 15-22'!K86</f>
        <v>580846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580846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95984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190832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3989</v>
      </c>
      <c r="D7075" s="2" t="str">
        <f t="shared" si="109"/>
        <v>Error?</v>
      </c>
    </row>
    <row r="7076" spans="1:4" x14ac:dyDescent="0.2">
      <c r="A7076">
        <v>7015</v>
      </c>
      <c r="B7076" s="1832">
        <f>'Expenditures 15-22'!K218</f>
        <v>3989</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58854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58854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37130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37130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95984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95984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95984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95984</v>
      </c>
      <c r="D7224" s="2" t="str">
        <f t="shared" si="111"/>
        <v>Error?</v>
      </c>
    </row>
    <row r="7225" spans="1:4" x14ac:dyDescent="0.2">
      <c r="A7225">
        <v>7164</v>
      </c>
      <c r="B7225" s="1832">
        <f>'Expenditures 15-22'!K343</f>
        <v>94848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179840</v>
      </c>
      <c r="D7251" s="2" t="str">
        <f t="shared" si="112"/>
        <v>Error?</v>
      </c>
    </row>
    <row r="7252" spans="1:4" x14ac:dyDescent="0.2">
      <c r="A7252">
        <f t="shared" si="113"/>
        <v>7191</v>
      </c>
      <c r="B7252" s="1832">
        <f>'Expenditures 15-22'!D9</f>
        <v>40757</v>
      </c>
      <c r="D7252" s="2" t="str">
        <f t="shared" si="112"/>
        <v>Error?</v>
      </c>
    </row>
    <row r="7253" spans="1:4" x14ac:dyDescent="0.2">
      <c r="A7253">
        <f t="shared" si="113"/>
        <v>7192</v>
      </c>
      <c r="B7253" s="1832">
        <f>'Expenditures 15-22'!E9</f>
        <v>70083</v>
      </c>
      <c r="D7253" s="2" t="str">
        <f t="shared" si="112"/>
        <v>Error?</v>
      </c>
    </row>
    <row r="7254" spans="1:4" x14ac:dyDescent="0.2">
      <c r="A7254">
        <f t="shared" si="113"/>
        <v>7193</v>
      </c>
      <c r="B7254" s="1832">
        <f>'Expenditures 15-22'!F9</f>
        <v>1735</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919424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1187204</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0</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17163889</v>
      </c>
      <c r="D7817" s="2" t="str">
        <f t="shared" si="128"/>
        <v>Error?</v>
      </c>
      <c r="E7817" s="4" t="s">
        <v>1963</v>
      </c>
    </row>
    <row r="7818" spans="1:5" x14ac:dyDescent="0.2">
      <c r="A7818">
        <v>7757</v>
      </c>
      <c r="B7818" s="1832">
        <f>'PCTC-OEPP 27-28'!F172</f>
        <v>433783</v>
      </c>
      <c r="D7818" s="2" t="str">
        <f t="shared" si="128"/>
        <v>Error?</v>
      </c>
      <c r="E7818" s="4" t="s">
        <v>1977</v>
      </c>
    </row>
    <row r="7819" spans="1:5" x14ac:dyDescent="0.2">
      <c r="A7819">
        <v>7758</v>
      </c>
      <c r="B7819" s="1832">
        <f>'PCTC-OEPP 27-28'!F173</f>
        <v>120394</v>
      </c>
      <c r="D7819" s="2" t="str">
        <f t="shared" si="128"/>
        <v>Error?</v>
      </c>
      <c r="E7819" s="4" t="s">
        <v>1977</v>
      </c>
    </row>
    <row r="7820" spans="1:5" x14ac:dyDescent="0.2">
      <c r="A7820">
        <v>7759</v>
      </c>
      <c r="B7820" s="1832">
        <f>'ICR Computation 30'!E40</f>
        <v>-25400</v>
      </c>
      <c r="D7820" s="2" t="str">
        <f t="shared" si="128"/>
        <v>Error?</v>
      </c>
    </row>
    <row r="7821" spans="1:5" x14ac:dyDescent="0.2">
      <c r="A7821">
        <v>7760</v>
      </c>
      <c r="B7821" s="1832">
        <f>'ICR Computation 30'!G40</f>
        <v>-25400</v>
      </c>
      <c r="D7821" s="2" t="str">
        <f t="shared" si="128"/>
        <v>Error?</v>
      </c>
    </row>
    <row r="7822" spans="1:5" x14ac:dyDescent="0.2">
      <c r="A7822" s="1">
        <v>7761</v>
      </c>
      <c r="B7822" s="1832">
        <f>'PCTC-OEPP 27-28'!F14</f>
        <v>22330347</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292415</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19876</v>
      </c>
      <c r="D7830" s="2" t="str">
        <f t="shared" si="129"/>
        <v>Error?</v>
      </c>
      <c r="E7830" s="4" t="s">
        <v>1995</v>
      </c>
    </row>
    <row r="7831" spans="1:5" x14ac:dyDescent="0.2">
      <c r="A7831">
        <v>7770</v>
      </c>
      <c r="B7831" s="1832">
        <f>'PCTC-OEPP 27-28'!F52</f>
        <v>11646</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4828604</v>
      </c>
      <c r="D7834" s="2" t="str">
        <f t="shared" si="129"/>
        <v>Error?</v>
      </c>
      <c r="E7834" s="4" t="s">
        <v>1995</v>
      </c>
    </row>
    <row r="7835" spans="1:5" x14ac:dyDescent="0.2">
      <c r="A7835">
        <v>7774</v>
      </c>
      <c r="B7835" s="1832">
        <f>'PCTC-OEPP 27-28'!F78</f>
        <v>17501743</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13286.072269035149</v>
      </c>
      <c r="D7837" s="2" t="str">
        <f t="shared" si="129"/>
        <v>Error?</v>
      </c>
      <c r="E7837" s="4" t="s">
        <v>1995</v>
      </c>
    </row>
    <row r="7838" spans="1:5" x14ac:dyDescent="0.2">
      <c r="A7838">
        <v>7777</v>
      </c>
      <c r="B7838" s="1832">
        <f>'PCTC-OEPP 27-28'!F96</f>
        <v>9016</v>
      </c>
      <c r="D7838" s="2" t="str">
        <f t="shared" si="129"/>
        <v>Error?</v>
      </c>
      <c r="E7838" s="4" t="s">
        <v>1995</v>
      </c>
    </row>
    <row r="7839" spans="1:5" x14ac:dyDescent="0.2">
      <c r="A7839">
        <v>7778</v>
      </c>
      <c r="B7839" s="1832">
        <f>'PCTC-OEPP 27-28'!F102</f>
        <v>83682</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63740</v>
      </c>
      <c r="D7841" s="2" t="str">
        <f t="shared" si="129"/>
        <v>Error?</v>
      </c>
      <c r="E7841" s="4" t="s">
        <v>1995</v>
      </c>
    </row>
    <row r="7842" spans="1:5" x14ac:dyDescent="0.2">
      <c r="A7842">
        <v>7781</v>
      </c>
      <c r="B7842" s="1832">
        <f>'PCTC-OEPP 27-28'!F106</f>
        <v>173786</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0</v>
      </c>
      <c r="D7846" s="2" t="str">
        <f t="shared" si="129"/>
        <v>Error?</v>
      </c>
      <c r="E7846" s="4" t="s">
        <v>1995</v>
      </c>
    </row>
    <row r="7847" spans="1:5" x14ac:dyDescent="0.2">
      <c r="A7847">
        <v>7786</v>
      </c>
      <c r="B7847" s="1832">
        <f>'PCTC-OEPP 27-28'!F112</f>
        <v>382905</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39721</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338514</v>
      </c>
      <c r="D7858" s="2" t="str">
        <f t="shared" si="129"/>
        <v>Error?</v>
      </c>
      <c r="E7858" s="4" t="s">
        <v>1995</v>
      </c>
    </row>
    <row r="7859" spans="1:5" x14ac:dyDescent="0.2">
      <c r="A7859">
        <v>7798</v>
      </c>
      <c r="B7859" s="1832">
        <f>'PCTC-OEPP 27-28'!F127</f>
        <v>238415</v>
      </c>
      <c r="D7859" s="2" t="str">
        <f t="shared" si="129"/>
        <v>Error?</v>
      </c>
      <c r="E7859" s="4" t="s">
        <v>1995</v>
      </c>
    </row>
    <row r="7860" spans="1:5" x14ac:dyDescent="0.2">
      <c r="A7860">
        <v>7799</v>
      </c>
      <c r="B7860" s="1832">
        <f>'PCTC-OEPP 27-28'!F128</f>
        <v>32068</v>
      </c>
      <c r="D7860" s="2" t="str">
        <f t="shared" si="129"/>
        <v>Error?</v>
      </c>
      <c r="E7860" s="4" t="s">
        <v>1995</v>
      </c>
    </row>
    <row r="7861" spans="1:5" x14ac:dyDescent="0.2">
      <c r="A7861">
        <v>7800</v>
      </c>
      <c r="B7861" s="1832">
        <f>'PCTC-OEPP 27-28'!F129</f>
        <v>200988</v>
      </c>
      <c r="D7861" s="2" t="str">
        <f t="shared" si="129"/>
        <v>Error?</v>
      </c>
      <c r="E7861" s="4" t="s">
        <v>1995</v>
      </c>
    </row>
    <row r="7862" spans="1:5" x14ac:dyDescent="0.2">
      <c r="A7862">
        <v>7801</v>
      </c>
      <c r="B7862" s="1832">
        <f>'PCTC-OEPP 27-28'!F130</f>
        <v>34094</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37155</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43309</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26152</v>
      </c>
      <c r="D7874" s="2" t="str">
        <f t="shared" si="129"/>
        <v>Error?</v>
      </c>
      <c r="E7874" s="4" t="s">
        <v>1995</v>
      </c>
    </row>
    <row r="7875" spans="1:5" x14ac:dyDescent="0.2">
      <c r="A7875">
        <v>7814</v>
      </c>
      <c r="B7875" s="1832">
        <f>'PCTC-OEPP 27-28'!F170</f>
        <v>68414</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2475707</v>
      </c>
      <c r="D7877" s="2" t="str">
        <f t="shared" si="129"/>
        <v>Error?</v>
      </c>
      <c r="E7877" s="4" t="s">
        <v>1995</v>
      </c>
    </row>
    <row r="7878" spans="1:5" x14ac:dyDescent="0.2">
      <c r="A7878">
        <v>7817</v>
      </c>
      <c r="B7878" s="1832">
        <f>'PCTC-OEPP 27-28'!F176</f>
        <v>15026036</v>
      </c>
      <c r="D7878" s="2" t="str">
        <f t="shared" si="129"/>
        <v>Error?</v>
      </c>
      <c r="E7878" s="4" t="s">
        <v>1995</v>
      </c>
    </row>
    <row r="7879" spans="1:5" x14ac:dyDescent="0.2">
      <c r="A7879">
        <v>7818</v>
      </c>
      <c r="B7879" s="1832">
        <f>'PCTC-OEPP 27-28'!F178</f>
        <v>15945460</v>
      </c>
      <c r="D7879" s="2" t="str">
        <f t="shared" si="129"/>
        <v>Error?</v>
      </c>
      <c r="E7879" s="4" t="s">
        <v>1995</v>
      </c>
    </row>
    <row r="7880" spans="1:5" x14ac:dyDescent="0.2">
      <c r="A7880">
        <v>7819</v>
      </c>
      <c r="B7880" s="1832">
        <f>'PCTC-OEPP 27-28'!F180</f>
        <v>12104.653457830411</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Franklin Park SD 84</v>
      </c>
      <c r="B7" s="2536"/>
      <c r="C7" s="2536"/>
      <c r="D7" s="2537"/>
      <c r="E7" s="2538">
        <f>COVER!A13</f>
        <v>6016084002</v>
      </c>
      <c r="F7" s="2539"/>
      <c r="G7" s="2545" t="str">
        <f>COVER!T23</f>
        <v>066-003289</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EVOY, KAMSCHULTE, JACOBS &amp; CO. LLP</v>
      </c>
      <c r="H9" s="2551"/>
      <c r="I9" s="2551"/>
      <c r="J9" s="2551"/>
      <c r="K9" s="2551"/>
      <c r="L9" s="2552"/>
    </row>
    <row r="10" spans="1:29" ht="13.5" customHeight="1" x14ac:dyDescent="0.2">
      <c r="A10" s="2524" t="str">
        <f>COVER!A38</f>
        <v>DR. DAVID KATZIN</v>
      </c>
      <c r="B10" s="2525"/>
      <c r="C10" s="2525"/>
      <c r="D10" s="2525"/>
      <c r="E10" s="2525"/>
      <c r="F10" s="2526"/>
      <c r="G10" s="2518" t="str">
        <f>COVER!T17</f>
        <v>2122 YEOMAN STREET</v>
      </c>
      <c r="H10" s="2519"/>
      <c r="I10" s="2519"/>
      <c r="J10" s="2519"/>
      <c r="K10" s="2519"/>
      <c r="L10" s="2520"/>
    </row>
    <row r="11" spans="1:29" ht="13.5" customHeight="1" x14ac:dyDescent="0.2">
      <c r="A11" s="963" t="s">
        <v>1502</v>
      </c>
      <c r="B11" s="964"/>
      <c r="C11" s="965"/>
      <c r="D11" s="970"/>
      <c r="E11" s="965"/>
      <c r="F11" s="969"/>
      <c r="G11" s="2518" t="str">
        <f>COVER!T19</f>
        <v>WAUKEGAN</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JHENRY@EKJLLP.COM</v>
      </c>
      <c r="J13" s="2531"/>
      <c r="K13" s="2531"/>
      <c r="L13" s="2532"/>
    </row>
    <row r="14" spans="1:29" ht="13.5" customHeight="1" x14ac:dyDescent="0.2">
      <c r="A14" s="2518" t="str">
        <f>COVER!A19</f>
        <v>2915 MAPLE STREET</v>
      </c>
      <c r="B14" s="2519"/>
      <c r="C14" s="2519"/>
      <c r="D14" s="2519"/>
      <c r="E14" s="2519"/>
      <c r="F14" s="2520"/>
      <c r="G14" s="974" t="s">
        <v>1175</v>
      </c>
      <c r="H14" s="972"/>
      <c r="I14" s="972"/>
      <c r="J14" s="972"/>
      <c r="K14" s="972"/>
      <c r="L14" s="973"/>
    </row>
    <row r="15" spans="1:29" ht="13.5" customHeight="1" x14ac:dyDescent="0.2">
      <c r="A15" s="2518" t="str">
        <f>COVER!A21</f>
        <v>FRANKLIN PARK</v>
      </c>
      <c r="B15" s="2519"/>
      <c r="C15" s="2519"/>
      <c r="D15" s="2519"/>
      <c r="E15" s="2519"/>
      <c r="F15" s="2520"/>
      <c r="G15" s="2515" t="str">
        <f>COVER!T15</f>
        <v>JAMES HENRY, CPA</v>
      </c>
      <c r="H15" s="2516"/>
      <c r="I15" s="2516"/>
      <c r="J15" s="2516"/>
      <c r="K15" s="2516"/>
      <c r="L15" s="2517"/>
    </row>
    <row r="16" spans="1:29" ht="12.2" customHeight="1" x14ac:dyDescent="0.2">
      <c r="A16" s="2541">
        <f>COVER!A25</f>
        <v>60131</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847-662-8300</v>
      </c>
      <c r="H18" s="2536"/>
      <c r="I18" s="2536"/>
      <c r="J18" s="2536"/>
      <c r="K18" s="2535" t="str">
        <f>COVER!X21</f>
        <v>847-662-8305</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8" sqref="D2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Franklin Park SD 84</v>
      </c>
      <c r="B1" s="2558"/>
      <c r="C1" s="2558"/>
      <c r="D1" s="2558"/>
    </row>
    <row r="2" spans="1:11" s="991" customFormat="1" ht="12.75" x14ac:dyDescent="0.2">
      <c r="A2" s="2559">
        <f>'Single Audit Cover'!E7</f>
        <v>6016084002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Franklin Park SD 84</v>
      </c>
      <c r="B1" s="2562"/>
      <c r="C1" s="2562"/>
      <c r="D1" s="2562"/>
      <c r="E1" s="2562"/>
    </row>
    <row r="2" spans="1:5" x14ac:dyDescent="0.2">
      <c r="A2" s="2563">
        <f>'Single Audit Cover'!E7</f>
        <v>6016084002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1026606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36821</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-68414</v>
      </c>
    </row>
    <row r="19" spans="1:4" ht="13.5" thickBot="1" x14ac:dyDescent="0.25">
      <c r="A19" s="1041" t="s">
        <v>1224</v>
      </c>
      <c r="D19" s="1042">
        <f>SUM(D10:D17)</f>
        <v>995013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995013</v>
      </c>
    </row>
    <row r="33" spans="1:4" x14ac:dyDescent="0.2">
      <c r="D33" s="1045"/>
    </row>
    <row r="34" spans="1:4" x14ac:dyDescent="0.2">
      <c r="A34" s="295" t="s">
        <v>1221</v>
      </c>
    </row>
    <row r="35" spans="1:4" x14ac:dyDescent="0.2">
      <c r="A35" s="295" t="s">
        <v>1220</v>
      </c>
      <c r="B35" s="1034" t="s">
        <v>1219</v>
      </c>
      <c r="D35" s="1046">
        <v>995013</v>
      </c>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995013</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F15" sqref="F1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Franklin Park SD 84</v>
      </c>
      <c r="C1" s="2566"/>
      <c r="D1" s="2566"/>
      <c r="E1" s="2566"/>
      <c r="F1" s="2566"/>
      <c r="G1" s="2566"/>
      <c r="H1" s="2566"/>
      <c r="I1" s="2566"/>
      <c r="J1" s="2566"/>
      <c r="K1" s="2566"/>
      <c r="L1" s="2566"/>
      <c r="M1" s="2566"/>
    </row>
    <row r="2" spans="2:14" ht="15" x14ac:dyDescent="0.2">
      <c r="B2" s="2567">
        <f>'Single Audit Cover'!E7</f>
        <v>6016084002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2086</v>
      </c>
      <c r="C11" s="1821"/>
      <c r="D11" s="1822"/>
      <c r="E11" s="1823"/>
      <c r="F11" s="1823"/>
      <c r="G11" s="1823"/>
      <c r="H11" s="1823"/>
      <c r="I11" s="1823"/>
      <c r="J11" s="1823"/>
      <c r="K11" s="1823"/>
      <c r="L11" s="1823">
        <f>+G11+I11+K11</f>
        <v>0</v>
      </c>
      <c r="M11" s="1823"/>
    </row>
    <row r="12" spans="2:14" ht="20.100000000000001" customHeight="1" x14ac:dyDescent="0.2">
      <c r="B12" s="1113" t="s">
        <v>2087</v>
      </c>
      <c r="C12" s="1824"/>
      <c r="D12" s="1825"/>
      <c r="E12" s="1826"/>
      <c r="F12" s="1826"/>
      <c r="G12" s="1826"/>
      <c r="H12" s="1826"/>
      <c r="I12" s="1826"/>
      <c r="J12" s="1826"/>
      <c r="K12" s="1826"/>
      <c r="L12" s="1823">
        <f t="shared" ref="L12:L27" si="0">+G12+I12+K12</f>
        <v>0</v>
      </c>
      <c r="M12" s="1826"/>
    </row>
    <row r="13" spans="2:14" ht="20.100000000000001" customHeight="1" x14ac:dyDescent="0.2">
      <c r="B13" s="1113" t="s">
        <v>2088</v>
      </c>
      <c r="C13" s="1824">
        <v>84.01</v>
      </c>
      <c r="D13" s="1825" t="s">
        <v>2089</v>
      </c>
      <c r="E13" s="1826"/>
      <c r="F13" s="1826">
        <v>77277</v>
      </c>
      <c r="G13" s="1826">
        <v>0</v>
      </c>
      <c r="H13" s="1826"/>
      <c r="I13" s="1826">
        <v>164936</v>
      </c>
      <c r="J13" s="1826"/>
      <c r="K13" s="1826"/>
      <c r="L13" s="1823">
        <f t="shared" si="0"/>
        <v>164936</v>
      </c>
      <c r="M13" s="1826"/>
    </row>
    <row r="14" spans="2:14" ht="20.100000000000001" customHeight="1" x14ac:dyDescent="0.2">
      <c r="B14" s="1113" t="s">
        <v>2088</v>
      </c>
      <c r="C14" s="1824">
        <v>84.01</v>
      </c>
      <c r="D14" s="1825" t="s">
        <v>2090</v>
      </c>
      <c r="E14" s="1826">
        <v>125215</v>
      </c>
      <c r="F14" s="1826">
        <v>154965</v>
      </c>
      <c r="G14" s="1826">
        <v>279583</v>
      </c>
      <c r="H14" s="1826"/>
      <c r="I14" s="1826">
        <v>597</v>
      </c>
      <c r="J14" s="1826"/>
      <c r="K14" s="1826"/>
      <c r="L14" s="1823">
        <f t="shared" si="0"/>
        <v>280180</v>
      </c>
      <c r="M14" s="1826"/>
    </row>
    <row r="15" spans="2:14" ht="20.100000000000001" customHeight="1" x14ac:dyDescent="0.2">
      <c r="B15" s="1113" t="s">
        <v>2092</v>
      </c>
      <c r="C15" s="1824">
        <v>84.01</v>
      </c>
      <c r="D15" s="1825" t="s">
        <v>2091</v>
      </c>
      <c r="E15" s="1826">
        <v>8827</v>
      </c>
      <c r="F15" s="1826">
        <v>6173</v>
      </c>
      <c r="G15" s="1826">
        <v>15000</v>
      </c>
      <c r="H15" s="1826"/>
      <c r="I15" s="1826">
        <v>0</v>
      </c>
      <c r="J15" s="1826"/>
      <c r="K15" s="1826"/>
      <c r="L15" s="1823">
        <f t="shared" si="0"/>
        <v>15000</v>
      </c>
      <c r="M15" s="1826"/>
    </row>
    <row r="16" spans="2:14" ht="20.100000000000001" customHeight="1" x14ac:dyDescent="0.2">
      <c r="B16" s="1113" t="s">
        <v>2093</v>
      </c>
      <c r="C16" s="1824">
        <v>84.424000000000007</v>
      </c>
      <c r="D16" s="1825" t="s">
        <v>2094</v>
      </c>
      <c r="E16" s="1826"/>
      <c r="F16" s="1826">
        <v>20929</v>
      </c>
      <c r="G16" s="1826">
        <v>0</v>
      </c>
      <c r="H16" s="1826"/>
      <c r="I16" s="1826">
        <v>22780</v>
      </c>
      <c r="J16" s="1826"/>
      <c r="K16" s="1826"/>
      <c r="L16" s="1823">
        <f t="shared" si="0"/>
        <v>22780</v>
      </c>
      <c r="M16" s="1826"/>
    </row>
    <row r="17" spans="2:14" ht="20.100000000000001" customHeight="1" x14ac:dyDescent="0.2">
      <c r="B17" s="1113" t="s">
        <v>2093</v>
      </c>
      <c r="C17" s="1824">
        <v>84.424000000000007</v>
      </c>
      <c r="D17" s="1825" t="s">
        <v>2095</v>
      </c>
      <c r="E17" s="1826">
        <v>13176</v>
      </c>
      <c r="F17" s="1826">
        <v>11139</v>
      </c>
      <c r="G17" s="1826">
        <v>24315</v>
      </c>
      <c r="H17" s="1826"/>
      <c r="I17" s="1826">
        <v>0</v>
      </c>
      <c r="J17" s="1826"/>
      <c r="K17" s="1826"/>
      <c r="L17" s="1823">
        <f t="shared" si="0"/>
        <v>24315</v>
      </c>
      <c r="M17" s="1826"/>
    </row>
    <row r="18" spans="2:14" ht="20.100000000000001" customHeight="1" x14ac:dyDescent="0.2">
      <c r="B18" s="1113" t="s">
        <v>2096</v>
      </c>
      <c r="C18" s="1824">
        <v>84.364999999999995</v>
      </c>
      <c r="D18" s="1825" t="s">
        <v>2097</v>
      </c>
      <c r="E18" s="1826"/>
      <c r="F18" s="1826">
        <v>29305</v>
      </c>
      <c r="G18" s="1826">
        <v>0</v>
      </c>
      <c r="H18" s="1826"/>
      <c r="I18" s="1826">
        <v>29665</v>
      </c>
      <c r="J18" s="1826"/>
      <c r="K18" s="1826"/>
      <c r="L18" s="1823">
        <f t="shared" si="0"/>
        <v>29665</v>
      </c>
      <c r="M18" s="1826"/>
    </row>
    <row r="19" spans="2:14" ht="20.100000000000001" customHeight="1" x14ac:dyDescent="0.2">
      <c r="B19" s="1113" t="s">
        <v>2096</v>
      </c>
      <c r="C19" s="1824">
        <v>84.364999999999995</v>
      </c>
      <c r="D19" s="1825" t="s">
        <v>2098</v>
      </c>
      <c r="E19" s="1826">
        <v>30600</v>
      </c>
      <c r="F19" s="1826">
        <v>7850</v>
      </c>
      <c r="G19" s="1826">
        <v>37565</v>
      </c>
      <c r="H19" s="1826"/>
      <c r="I19" s="1826">
        <v>885</v>
      </c>
      <c r="J19" s="1826"/>
      <c r="K19" s="1826"/>
      <c r="L19" s="1823">
        <f t="shared" si="0"/>
        <v>38450</v>
      </c>
      <c r="M19" s="1826"/>
    </row>
    <row r="20" spans="2:14" ht="20.100000000000001" customHeight="1" x14ac:dyDescent="0.2">
      <c r="B20" s="1113" t="s">
        <v>2100</v>
      </c>
      <c r="C20" s="1824">
        <v>84.367000000000004</v>
      </c>
      <c r="D20" s="1825" t="s">
        <v>2099</v>
      </c>
      <c r="E20" s="1826"/>
      <c r="F20" s="1826">
        <v>29446</v>
      </c>
      <c r="G20" s="1826"/>
      <c r="H20" s="1826"/>
      <c r="I20" s="1826">
        <v>37981</v>
      </c>
      <c r="J20" s="1826"/>
      <c r="K20" s="1826"/>
      <c r="L20" s="1823">
        <f t="shared" si="0"/>
        <v>37981</v>
      </c>
      <c r="M20" s="1826"/>
    </row>
    <row r="21" spans="2:14" ht="20.100000000000001" customHeight="1" x14ac:dyDescent="0.2">
      <c r="B21" s="1113" t="s">
        <v>2100</v>
      </c>
      <c r="C21" s="1824">
        <v>84.367000000000004</v>
      </c>
      <c r="D21" s="1825" t="s">
        <v>2101</v>
      </c>
      <c r="E21" s="1826">
        <v>28784</v>
      </c>
      <c r="F21" s="1826">
        <v>13863</v>
      </c>
      <c r="G21" s="1826">
        <v>42647</v>
      </c>
      <c r="H21" s="1826"/>
      <c r="I21" s="1826">
        <v>0</v>
      </c>
      <c r="J21" s="1826"/>
      <c r="K21" s="1826"/>
      <c r="L21" s="1823">
        <f t="shared" si="0"/>
        <v>42647</v>
      </c>
      <c r="M21" s="1826"/>
    </row>
    <row r="22" spans="2:14" ht="20.100000000000001" customHeight="1" x14ac:dyDescent="0.2">
      <c r="B22" s="1113" t="s">
        <v>2103</v>
      </c>
      <c r="C22" s="1824"/>
      <c r="D22" s="1825"/>
      <c r="E22" s="1826"/>
      <c r="F22" s="1826"/>
      <c r="G22" s="1826"/>
      <c r="H22" s="1826"/>
      <c r="I22" s="1826"/>
      <c r="J22" s="1826"/>
      <c r="K22" s="1826"/>
      <c r="L22" s="1823">
        <f t="shared" si="0"/>
        <v>0</v>
      </c>
      <c r="M22" s="1826"/>
    </row>
    <row r="23" spans="2:14" ht="20.100000000000001" customHeight="1" x14ac:dyDescent="0.2">
      <c r="B23" s="1113" t="s">
        <v>2104</v>
      </c>
      <c r="C23" s="1824"/>
      <c r="D23" s="1825"/>
      <c r="E23" s="1826"/>
      <c r="F23" s="1826"/>
      <c r="G23" s="1826"/>
      <c r="H23" s="1826"/>
      <c r="I23" s="1826"/>
      <c r="J23" s="1826"/>
      <c r="K23" s="1826"/>
      <c r="L23" s="1823">
        <f t="shared" si="0"/>
        <v>0</v>
      </c>
      <c r="M23" s="1826"/>
    </row>
    <row r="24" spans="2:14" ht="20.100000000000001" customHeight="1" x14ac:dyDescent="0.2">
      <c r="B24" s="1113" t="s">
        <v>2102</v>
      </c>
      <c r="C24" s="1824">
        <v>84.027000000000001</v>
      </c>
      <c r="D24" s="1825" t="s">
        <v>2105</v>
      </c>
      <c r="E24" s="1826"/>
      <c r="F24" s="1826">
        <v>0</v>
      </c>
      <c r="G24" s="1826"/>
      <c r="H24" s="1826"/>
      <c r="I24" s="1826">
        <v>5565</v>
      </c>
      <c r="J24" s="1826"/>
      <c r="K24" s="1826"/>
      <c r="L24" s="1823">
        <f t="shared" si="0"/>
        <v>5565</v>
      </c>
      <c r="M24" s="1826"/>
    </row>
    <row r="25" spans="2:14" ht="20.100000000000001" customHeight="1" x14ac:dyDescent="0.2">
      <c r="B25" s="1113" t="s">
        <v>2102</v>
      </c>
      <c r="C25" s="1824">
        <v>84.027000000000001</v>
      </c>
      <c r="D25" s="1825" t="s">
        <v>2106</v>
      </c>
      <c r="E25" s="1826">
        <v>0</v>
      </c>
      <c r="F25" s="1826">
        <v>34094</v>
      </c>
      <c r="G25" s="1826">
        <v>34094</v>
      </c>
      <c r="H25" s="1826"/>
      <c r="I25" s="1826">
        <v>0</v>
      </c>
      <c r="J25" s="1826"/>
      <c r="K25" s="1826"/>
      <c r="L25" s="1823">
        <f t="shared" si="0"/>
        <v>34094</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Franklin Park SD 84</v>
      </c>
      <c r="C1" s="2566"/>
      <c r="D1" s="2566"/>
      <c r="E1" s="2566"/>
      <c r="F1" s="2566"/>
      <c r="G1" s="2566"/>
      <c r="H1" s="2566"/>
      <c r="I1" s="2566"/>
      <c r="J1" s="2566"/>
      <c r="K1" s="2566"/>
      <c r="L1" s="2566"/>
      <c r="M1" s="2566"/>
    </row>
    <row r="2" spans="2:14" ht="15" x14ac:dyDescent="0.2">
      <c r="B2" s="2567">
        <f>'Single Audit Cover'!E7</f>
        <v>6016084002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2143</v>
      </c>
      <c r="C11" s="1821"/>
      <c r="D11" s="1822"/>
      <c r="E11" s="1823"/>
      <c r="F11" s="1823"/>
      <c r="G11" s="1823"/>
      <c r="H11" s="1823"/>
      <c r="I11" s="1823"/>
      <c r="J11" s="1823"/>
      <c r="K11" s="1823"/>
      <c r="L11" s="1823">
        <f>+G11+I11+K11</f>
        <v>0</v>
      </c>
      <c r="M11" s="1823"/>
    </row>
    <row r="12" spans="2:14" ht="20.100000000000001" customHeight="1" x14ac:dyDescent="0.2">
      <c r="B12" s="1113" t="s">
        <v>2107</v>
      </c>
      <c r="C12" s="1824"/>
      <c r="D12" s="1825"/>
      <c r="E12" s="1826"/>
      <c r="F12" s="1826"/>
      <c r="G12" s="1826"/>
      <c r="H12" s="1826"/>
      <c r="I12" s="1826"/>
      <c r="J12" s="1826"/>
      <c r="K12" s="1826"/>
      <c r="L12" s="1823">
        <f t="shared" ref="L12:L27" si="0">+G12+I12+K12</f>
        <v>0</v>
      </c>
      <c r="M12" s="1826"/>
    </row>
    <row r="13" spans="2:14" ht="20.100000000000001" customHeight="1" x14ac:dyDescent="0.2">
      <c r="B13" s="1113" t="s">
        <v>2108</v>
      </c>
      <c r="C13" s="1824"/>
      <c r="D13" s="1825"/>
      <c r="E13" s="1826"/>
      <c r="F13" s="1826"/>
      <c r="G13" s="1826"/>
      <c r="H13" s="1826"/>
      <c r="I13" s="1826"/>
      <c r="J13" s="1826"/>
      <c r="K13" s="1826"/>
      <c r="L13" s="1823">
        <f t="shared" si="0"/>
        <v>0</v>
      </c>
      <c r="M13" s="1826"/>
    </row>
    <row r="14" spans="2:14" ht="20.100000000000001" customHeight="1" x14ac:dyDescent="0.2">
      <c r="B14" s="1113" t="s">
        <v>2109</v>
      </c>
      <c r="C14" s="1824">
        <v>84.173000000000002</v>
      </c>
      <c r="D14" s="1825" t="s">
        <v>2110</v>
      </c>
      <c r="E14" s="1826"/>
      <c r="F14" s="1826">
        <v>7497</v>
      </c>
      <c r="G14" s="1826">
        <v>0</v>
      </c>
      <c r="H14" s="1826"/>
      <c r="I14" s="1826">
        <v>7497</v>
      </c>
      <c r="J14" s="1826"/>
      <c r="K14" s="1826"/>
      <c r="L14" s="1823">
        <f t="shared" si="0"/>
        <v>7497</v>
      </c>
      <c r="M14" s="1826"/>
    </row>
    <row r="15" spans="2:14" ht="20.100000000000001" customHeight="1" x14ac:dyDescent="0.2">
      <c r="B15" s="1113" t="s">
        <v>2109</v>
      </c>
      <c r="C15" s="1824">
        <v>84.173000000000002</v>
      </c>
      <c r="D15" s="1825" t="s">
        <v>2111</v>
      </c>
      <c r="E15" s="1826">
        <v>8083</v>
      </c>
      <c r="F15" s="1826">
        <v>0</v>
      </c>
      <c r="G15" s="1826">
        <v>8083</v>
      </c>
      <c r="H15" s="1826"/>
      <c r="I15" s="1826">
        <v>0</v>
      </c>
      <c r="J15" s="1826"/>
      <c r="K15" s="1826"/>
      <c r="L15" s="1823">
        <f t="shared" si="0"/>
        <v>8083</v>
      </c>
      <c r="M15" s="1826"/>
    </row>
    <row r="16" spans="2:14" ht="20.100000000000001" customHeight="1" x14ac:dyDescent="0.2">
      <c r="B16" s="1113" t="s">
        <v>2112</v>
      </c>
      <c r="C16" s="1824">
        <v>84.027000000000001</v>
      </c>
      <c r="D16" s="1825" t="s">
        <v>2113</v>
      </c>
      <c r="E16" s="1826"/>
      <c r="F16" s="1826">
        <v>200988</v>
      </c>
      <c r="G16" s="1826"/>
      <c r="H16" s="1826"/>
      <c r="I16" s="1826">
        <v>202875</v>
      </c>
      <c r="J16" s="1826"/>
      <c r="K16" s="1826"/>
      <c r="L16" s="1823">
        <f t="shared" si="0"/>
        <v>202875</v>
      </c>
      <c r="M16" s="1826"/>
    </row>
    <row r="17" spans="2:14" ht="20.100000000000001" customHeight="1" x14ac:dyDescent="0.2">
      <c r="B17" s="1113" t="s">
        <v>2112</v>
      </c>
      <c r="C17" s="1824">
        <v>84.027000000000001</v>
      </c>
      <c r="D17" s="1825" t="s">
        <v>2114</v>
      </c>
      <c r="E17" s="1826">
        <v>191677</v>
      </c>
      <c r="F17" s="1826"/>
      <c r="G17" s="1826">
        <v>193749</v>
      </c>
      <c r="H17" s="1826"/>
      <c r="I17" s="1826">
        <v>0</v>
      </c>
      <c r="J17" s="1826"/>
      <c r="K17" s="1826"/>
      <c r="L17" s="1823">
        <f t="shared" si="0"/>
        <v>193749</v>
      </c>
      <c r="M17" s="1826"/>
    </row>
    <row r="18" spans="2:14" ht="20.100000000000001" customHeight="1" x14ac:dyDescent="0.2">
      <c r="B18" s="1113" t="s">
        <v>2115</v>
      </c>
      <c r="C18" s="1824"/>
      <c r="D18" s="1825"/>
      <c r="E18" s="1826">
        <v>199760</v>
      </c>
      <c r="F18" s="1826">
        <v>242579</v>
      </c>
      <c r="G18" s="1826">
        <v>235926</v>
      </c>
      <c r="H18" s="1826"/>
      <c r="I18" s="1826">
        <v>215937</v>
      </c>
      <c r="J18" s="1826"/>
      <c r="K18" s="1826"/>
      <c r="L18" s="1823">
        <f>+G18+I18+K18</f>
        <v>451863</v>
      </c>
      <c r="M18" s="1826"/>
    </row>
    <row r="19" spans="2:14" ht="20.100000000000001" customHeight="1" x14ac:dyDescent="0.2">
      <c r="B19" s="1113" t="s">
        <v>2116</v>
      </c>
      <c r="C19" s="1824"/>
      <c r="D19" s="1825"/>
      <c r="E19" s="1826">
        <v>406362</v>
      </c>
      <c r="F19" s="1826">
        <v>593526</v>
      </c>
      <c r="G19" s="1826">
        <v>635036</v>
      </c>
      <c r="H19" s="1826"/>
      <c r="I19" s="1826">
        <v>472781</v>
      </c>
      <c r="J19" s="1826"/>
      <c r="K19" s="1826"/>
      <c r="L19" s="1823">
        <f t="shared" si="0"/>
        <v>1107817</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2117</v>
      </c>
      <c r="C21" s="1824"/>
      <c r="D21" s="1825"/>
      <c r="E21" s="1826"/>
      <c r="F21" s="1826"/>
      <c r="G21" s="1826"/>
      <c r="H21" s="1826"/>
      <c r="I21" s="1826"/>
      <c r="J21" s="1826"/>
      <c r="K21" s="1826"/>
      <c r="L21" s="1823">
        <f t="shared" si="0"/>
        <v>0</v>
      </c>
      <c r="M21" s="1826"/>
    </row>
    <row r="22" spans="2:14" ht="20.100000000000001" customHeight="1" x14ac:dyDescent="0.2">
      <c r="B22" s="1113" t="s">
        <v>2118</v>
      </c>
      <c r="C22" s="1824"/>
      <c r="D22" s="1825"/>
      <c r="E22" s="1826"/>
      <c r="F22" s="1826"/>
      <c r="G22" s="1826"/>
      <c r="H22" s="1826"/>
      <c r="I22" s="1826"/>
      <c r="J22" s="1826"/>
      <c r="K22" s="1826"/>
      <c r="L22" s="1823">
        <f t="shared" si="0"/>
        <v>0</v>
      </c>
      <c r="M22" s="1826"/>
    </row>
    <row r="23" spans="2:14" ht="20.100000000000001" customHeight="1" x14ac:dyDescent="0.2">
      <c r="B23" s="1113" t="s">
        <v>2104</v>
      </c>
      <c r="C23" s="1824"/>
      <c r="D23" s="1825"/>
      <c r="E23" s="1826"/>
      <c r="F23" s="1826"/>
      <c r="G23" s="1826"/>
      <c r="H23" s="1826"/>
      <c r="I23" s="1826"/>
      <c r="J23" s="1826"/>
      <c r="K23" s="1826"/>
      <c r="L23" s="1823">
        <f t="shared" si="0"/>
        <v>0</v>
      </c>
      <c r="M23" s="1826"/>
    </row>
    <row r="24" spans="2:14" ht="20.100000000000001" customHeight="1" x14ac:dyDescent="0.2">
      <c r="B24" s="1113" t="s">
        <v>2119</v>
      </c>
      <c r="C24" s="1824">
        <v>10.555</v>
      </c>
      <c r="D24" s="1825" t="s">
        <v>2120</v>
      </c>
      <c r="E24" s="1826"/>
      <c r="F24" s="1826">
        <v>192403</v>
      </c>
      <c r="G24" s="1826"/>
      <c r="H24" s="1826"/>
      <c r="I24" s="1826">
        <v>192403</v>
      </c>
      <c r="J24" s="1826"/>
      <c r="K24" s="1826"/>
      <c r="L24" s="1823">
        <f t="shared" si="0"/>
        <v>192403</v>
      </c>
      <c r="M24" s="1826"/>
    </row>
    <row r="25" spans="2:14" ht="20.100000000000001" customHeight="1" x14ac:dyDescent="0.2">
      <c r="B25" s="1113" t="s">
        <v>2119</v>
      </c>
      <c r="C25" s="1824">
        <v>10.555</v>
      </c>
      <c r="D25" s="1825" t="s">
        <v>2121</v>
      </c>
      <c r="E25" s="1826">
        <v>280135</v>
      </c>
      <c r="F25" s="1826">
        <v>61685</v>
      </c>
      <c r="G25" s="1826">
        <v>280135</v>
      </c>
      <c r="H25" s="1826"/>
      <c r="I25" s="1826">
        <v>61685</v>
      </c>
      <c r="J25" s="1826"/>
      <c r="K25" s="1826"/>
      <c r="L25" s="1823">
        <f t="shared" si="0"/>
        <v>341820</v>
      </c>
      <c r="M25" s="1826"/>
    </row>
    <row r="26" spans="2:14" ht="20.100000000000001" customHeight="1" x14ac:dyDescent="0.2">
      <c r="B26" s="1113" t="s">
        <v>2122</v>
      </c>
      <c r="C26" s="1824">
        <v>10.553000000000001</v>
      </c>
      <c r="D26" s="1825" t="s">
        <v>2123</v>
      </c>
      <c r="E26" s="1826"/>
      <c r="F26" s="1826">
        <v>4406</v>
      </c>
      <c r="G26" s="1826"/>
      <c r="H26" s="1826"/>
      <c r="I26" s="1826">
        <v>4406</v>
      </c>
      <c r="J26" s="1826"/>
      <c r="K26" s="1826"/>
      <c r="L26" s="1823">
        <f t="shared" si="0"/>
        <v>4406</v>
      </c>
      <c r="M26" s="1826"/>
    </row>
    <row r="27" spans="2:14" ht="20.100000000000001" customHeight="1" x14ac:dyDescent="0.2">
      <c r="B27" s="1113" t="s">
        <v>2124</v>
      </c>
      <c r="C27" s="1824">
        <v>10.558999999999999</v>
      </c>
      <c r="D27" s="1825" t="s">
        <v>2125</v>
      </c>
      <c r="E27" s="1826"/>
      <c r="F27" s="1826">
        <v>80020</v>
      </c>
      <c r="G27" s="1826"/>
      <c r="H27" s="1826"/>
      <c r="I27" s="1826">
        <v>108122</v>
      </c>
      <c r="J27" s="1826"/>
      <c r="K27" s="1826"/>
      <c r="L27" s="1823">
        <f t="shared" si="0"/>
        <v>108122</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34700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1986</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1986</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2064</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H23" sqref="H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Franklin Park SD 84</v>
      </c>
      <c r="C1" s="2566"/>
      <c r="D1" s="2566"/>
      <c r="E1" s="2566"/>
      <c r="F1" s="2566"/>
      <c r="G1" s="2566"/>
      <c r="H1" s="2566"/>
      <c r="I1" s="2566"/>
      <c r="J1" s="2566"/>
      <c r="K1" s="2566"/>
      <c r="L1" s="2566"/>
      <c r="M1" s="2566"/>
    </row>
    <row r="2" spans="2:14" ht="15" x14ac:dyDescent="0.2">
      <c r="B2" s="2567">
        <f>'Single Audit Cover'!E7</f>
        <v>6016084002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2126</v>
      </c>
      <c r="C11" s="1824"/>
      <c r="D11" s="1825"/>
      <c r="E11" s="1823"/>
      <c r="F11" s="1823"/>
      <c r="G11" s="1823"/>
      <c r="H11" s="1823"/>
      <c r="I11" s="1823"/>
      <c r="J11" s="1823"/>
      <c r="K11" s="1823"/>
      <c r="L11" s="1823">
        <f>+G11+I11+K11</f>
        <v>0</v>
      </c>
      <c r="M11" s="1823"/>
    </row>
    <row r="12" spans="2:14" ht="20.100000000000001" customHeight="1" x14ac:dyDescent="0.2">
      <c r="B12" s="1113" t="s">
        <v>2127</v>
      </c>
      <c r="C12" s="1824"/>
      <c r="D12" s="1825"/>
      <c r="E12" s="1826"/>
      <c r="F12" s="1826"/>
      <c r="G12" s="1826"/>
      <c r="H12" s="1826"/>
      <c r="I12" s="1826"/>
      <c r="J12" s="1826"/>
      <c r="K12" s="1826"/>
      <c r="L12" s="1823">
        <f t="shared" ref="L12:L27" si="0">+G12+I12+K12</f>
        <v>0</v>
      </c>
      <c r="M12" s="1826"/>
    </row>
    <row r="13" spans="2:14" ht="20.100000000000001" customHeight="1" x14ac:dyDescent="0.2">
      <c r="B13" s="1113" t="s">
        <v>2104</v>
      </c>
      <c r="C13" s="1824"/>
      <c r="D13" s="1825"/>
      <c r="E13" s="1826"/>
      <c r="F13" s="1826"/>
      <c r="G13" s="1826"/>
      <c r="H13" s="1826"/>
      <c r="I13" s="1826"/>
      <c r="J13" s="1826"/>
      <c r="K13" s="1826"/>
      <c r="L13" s="1823">
        <f t="shared" si="0"/>
        <v>0</v>
      </c>
      <c r="M13" s="1826"/>
    </row>
    <row r="14" spans="2:14" ht="20.100000000000001" customHeight="1" x14ac:dyDescent="0.2">
      <c r="B14" s="1113" t="s">
        <v>2128</v>
      </c>
      <c r="C14" s="1824">
        <v>10.555</v>
      </c>
      <c r="D14" s="1825" t="s">
        <v>2120</v>
      </c>
      <c r="E14" s="1826"/>
      <c r="F14" s="1826">
        <v>12887</v>
      </c>
      <c r="G14" s="1826">
        <v>0</v>
      </c>
      <c r="H14" s="1826"/>
      <c r="I14" s="1826">
        <v>12887</v>
      </c>
      <c r="J14" s="1826"/>
      <c r="K14" s="1826"/>
      <c r="L14" s="1823">
        <f t="shared" si="0"/>
        <v>12887</v>
      </c>
      <c r="M14" s="1826"/>
    </row>
    <row r="15" spans="2:14" ht="20.100000000000001" customHeight="1" x14ac:dyDescent="0.2">
      <c r="B15" s="1113" t="s">
        <v>2129</v>
      </c>
      <c r="C15" s="1824">
        <v>10.555</v>
      </c>
      <c r="D15" s="1825" t="s">
        <v>2120</v>
      </c>
      <c r="E15" s="1826"/>
      <c r="F15" s="1826">
        <v>23934</v>
      </c>
      <c r="G15" s="1826">
        <v>0</v>
      </c>
      <c r="H15" s="1826"/>
      <c r="I15" s="1826">
        <v>23934</v>
      </c>
      <c r="J15" s="1826"/>
      <c r="K15" s="1826"/>
      <c r="L15" s="1823">
        <f t="shared" si="0"/>
        <v>23934</v>
      </c>
      <c r="M15" s="1826"/>
    </row>
    <row r="16" spans="2:14" ht="20.100000000000001" customHeight="1" x14ac:dyDescent="0.2">
      <c r="B16" s="1113" t="s">
        <v>2130</v>
      </c>
      <c r="C16" s="1824"/>
      <c r="D16" s="1825"/>
      <c r="E16" s="1826">
        <v>280135</v>
      </c>
      <c r="F16" s="1826">
        <v>375335</v>
      </c>
      <c r="G16" s="1826">
        <v>280135</v>
      </c>
      <c r="H16" s="1826">
        <v>0</v>
      </c>
      <c r="I16" s="1826">
        <v>403437</v>
      </c>
      <c r="J16" s="1826">
        <v>0</v>
      </c>
      <c r="K16" s="1826"/>
      <c r="L16" s="1823">
        <f t="shared" si="0"/>
        <v>683572</v>
      </c>
      <c r="M16" s="1826"/>
    </row>
    <row r="17" spans="2:14" ht="20.100000000000001" customHeight="1" x14ac:dyDescent="0.2">
      <c r="B17" s="1113" t="s">
        <v>2131</v>
      </c>
      <c r="C17" s="1824"/>
      <c r="D17" s="1825"/>
      <c r="E17" s="1826">
        <v>280135</v>
      </c>
      <c r="F17" s="1826">
        <v>375335</v>
      </c>
      <c r="G17" s="1826">
        <v>280135</v>
      </c>
      <c r="H17" s="1826">
        <v>0</v>
      </c>
      <c r="I17" s="1826">
        <v>403437</v>
      </c>
      <c r="J17" s="1826">
        <v>0</v>
      </c>
      <c r="K17" s="1826"/>
      <c r="L17" s="1823">
        <f t="shared" si="0"/>
        <v>683572</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2132</v>
      </c>
      <c r="C19" s="1824"/>
      <c r="D19" s="1825"/>
      <c r="E19" s="1826"/>
      <c r="F19" s="1826"/>
      <c r="G19" s="1826"/>
      <c r="H19" s="1826"/>
      <c r="I19" s="1826"/>
      <c r="J19" s="1826"/>
      <c r="K19" s="1826"/>
      <c r="L19" s="1823">
        <f t="shared" si="0"/>
        <v>0</v>
      </c>
      <c r="M19" s="1826"/>
    </row>
    <row r="20" spans="2:14" ht="20.100000000000001" customHeight="1" x14ac:dyDescent="0.2">
      <c r="B20" s="1113" t="s">
        <v>2133</v>
      </c>
      <c r="C20" s="1824"/>
      <c r="D20" s="1825"/>
      <c r="E20" s="1826"/>
      <c r="F20" s="1826"/>
      <c r="G20" s="1826"/>
      <c r="H20" s="1826"/>
      <c r="I20" s="1826"/>
      <c r="J20" s="1826"/>
      <c r="K20" s="1826"/>
      <c r="L20" s="1823">
        <f t="shared" si="0"/>
        <v>0</v>
      </c>
      <c r="M20" s="1826"/>
    </row>
    <row r="21" spans="2:14" ht="20.100000000000001" customHeight="1" x14ac:dyDescent="0.2">
      <c r="B21" s="1113" t="s">
        <v>2134</v>
      </c>
      <c r="C21" s="1824">
        <v>93.778000000000006</v>
      </c>
      <c r="D21" s="1825" t="s">
        <v>2135</v>
      </c>
      <c r="E21" s="1826"/>
      <c r="F21" s="1826">
        <v>20146</v>
      </c>
      <c r="G21" s="1826">
        <v>0</v>
      </c>
      <c r="H21" s="1826"/>
      <c r="I21" s="1826">
        <v>25920</v>
      </c>
      <c r="J21" s="1826"/>
      <c r="K21" s="1826"/>
      <c r="L21" s="1823">
        <f t="shared" si="0"/>
        <v>25920</v>
      </c>
      <c r="M21" s="1826"/>
    </row>
    <row r="22" spans="2:14" ht="20.100000000000001" customHeight="1" x14ac:dyDescent="0.2">
      <c r="B22" s="1113" t="s">
        <v>2134</v>
      </c>
      <c r="C22" s="1824">
        <v>93.778000000000006</v>
      </c>
      <c r="D22" s="1825" t="s">
        <v>2136</v>
      </c>
      <c r="E22" s="1826">
        <v>28186</v>
      </c>
      <c r="F22" s="1826">
        <v>6006</v>
      </c>
      <c r="G22" s="1826">
        <v>34192</v>
      </c>
      <c r="H22" s="1826"/>
      <c r="I22" s="1826">
        <v>0</v>
      </c>
      <c r="J22" s="1826"/>
      <c r="K22" s="1826"/>
      <c r="L22" s="1823">
        <f t="shared" si="0"/>
        <v>34192</v>
      </c>
      <c r="M22" s="1826"/>
    </row>
    <row r="23" spans="2:14" ht="20.100000000000001" customHeight="1" x14ac:dyDescent="0.2">
      <c r="B23" s="1113" t="s">
        <v>2137</v>
      </c>
      <c r="C23" s="1824"/>
      <c r="D23" s="1825"/>
      <c r="E23" s="1826">
        <v>28186</v>
      </c>
      <c r="F23" s="1826">
        <v>26152</v>
      </c>
      <c r="G23" s="1826">
        <v>34192</v>
      </c>
      <c r="H23" s="1826"/>
      <c r="I23" s="1826">
        <v>25920</v>
      </c>
      <c r="J23" s="1826"/>
      <c r="K23" s="1826"/>
      <c r="L23" s="1823">
        <f t="shared" si="0"/>
        <v>60112</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t="s">
        <v>2138</v>
      </c>
      <c r="C25" s="1824"/>
      <c r="D25" s="1825"/>
      <c r="E25" s="1826">
        <v>714683</v>
      </c>
      <c r="F25" s="1826">
        <v>995013</v>
      </c>
      <c r="G25" s="1826">
        <v>949363</v>
      </c>
      <c r="H25" s="1826"/>
      <c r="I25" s="1826">
        <v>902138</v>
      </c>
      <c r="J25" s="1826"/>
      <c r="K25" s="1826"/>
      <c r="L25" s="1823">
        <f t="shared" si="0"/>
        <v>1851501</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G22" sqref="G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Franklin Park SD 84</v>
      </c>
      <c r="C1" s="2566"/>
      <c r="D1" s="2566"/>
      <c r="E1" s="2566"/>
      <c r="F1" s="2566"/>
      <c r="G1" s="2566"/>
      <c r="H1" s="2566"/>
      <c r="I1" s="2566"/>
      <c r="J1" s="2566"/>
      <c r="K1" s="2566"/>
      <c r="L1" s="2566"/>
      <c r="M1" s="2566"/>
    </row>
    <row r="2" spans="2:14" ht="15" x14ac:dyDescent="0.2">
      <c r="B2" s="2567">
        <f>'Single Audit Cover'!E7</f>
        <v>6016084002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1708</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4"/>
      <c r="D11" s="1825"/>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2139</v>
      </c>
      <c r="C13" s="1824"/>
      <c r="D13" s="1825"/>
      <c r="E13" s="1826">
        <v>0</v>
      </c>
      <c r="F13" s="1826">
        <v>36821</v>
      </c>
      <c r="G13" s="1826">
        <v>0</v>
      </c>
      <c r="H13" s="1826">
        <v>0</v>
      </c>
      <c r="I13" s="1826">
        <v>36821</v>
      </c>
      <c r="J13" s="1826">
        <v>0</v>
      </c>
      <c r="K13" s="1826">
        <v>0</v>
      </c>
      <c r="L13" s="1823">
        <f t="shared" si="0"/>
        <v>36821</v>
      </c>
      <c r="M13" s="1826"/>
    </row>
    <row r="14" spans="2:14" ht="20.100000000000001" customHeight="1" x14ac:dyDescent="0.2">
      <c r="B14" s="1113" t="s">
        <v>2140</v>
      </c>
      <c r="C14" s="1824"/>
      <c r="D14" s="1825"/>
      <c r="E14" s="1826">
        <v>0</v>
      </c>
      <c r="F14" s="1826">
        <v>0</v>
      </c>
      <c r="G14" s="1826">
        <v>0</v>
      </c>
      <c r="H14" s="1826">
        <v>0</v>
      </c>
      <c r="I14" s="1826">
        <v>0</v>
      </c>
      <c r="J14" s="1826">
        <v>0</v>
      </c>
      <c r="K14" s="1826">
        <v>0</v>
      </c>
      <c r="L14" s="1823">
        <f t="shared" si="0"/>
        <v>0</v>
      </c>
      <c r="M14" s="1826"/>
    </row>
    <row r="15" spans="2:14" ht="20.100000000000001" customHeight="1" x14ac:dyDescent="0.2">
      <c r="B15" s="1113" t="s">
        <v>2141</v>
      </c>
      <c r="C15" s="1824"/>
      <c r="D15" s="1825"/>
      <c r="E15" s="1826">
        <v>0</v>
      </c>
      <c r="F15" s="1826">
        <v>0</v>
      </c>
      <c r="G15" s="1826">
        <v>0</v>
      </c>
      <c r="H15" s="1826">
        <v>0</v>
      </c>
      <c r="I15" s="1826">
        <v>0</v>
      </c>
      <c r="J15" s="1826">
        <v>0</v>
      </c>
      <c r="K15" s="1826">
        <v>0</v>
      </c>
      <c r="L15" s="1823">
        <f t="shared" si="0"/>
        <v>0</v>
      </c>
      <c r="M15" s="1826"/>
    </row>
    <row r="16" spans="2:14" ht="20.100000000000001" customHeight="1" x14ac:dyDescent="0.2">
      <c r="B16" s="1113" t="s">
        <v>2142</v>
      </c>
      <c r="C16" s="1824"/>
      <c r="D16" s="1825"/>
      <c r="E16" s="1826">
        <v>0</v>
      </c>
      <c r="F16" s="1826">
        <v>0</v>
      </c>
      <c r="G16" s="1826">
        <v>0</v>
      </c>
      <c r="H16" s="1826">
        <v>0</v>
      </c>
      <c r="I16" s="1826">
        <v>0</v>
      </c>
      <c r="J16" s="1826">
        <v>0</v>
      </c>
      <c r="K16" s="1826">
        <v>0</v>
      </c>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topLeftCell="A28" zoomScale="120" zoomScaleNormal="120" workbookViewId="0">
      <selection activeCell="A15" sqref="A1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Franklin Park SD 84</v>
      </c>
      <c r="B1" s="2579"/>
      <c r="C1" s="2579"/>
      <c r="D1" s="2579"/>
      <c r="E1" s="2579"/>
      <c r="F1" s="2579"/>
    </row>
    <row r="2" spans="1:7" ht="13.5" customHeight="1" x14ac:dyDescent="0.2">
      <c r="A2" s="2567">
        <f>'Single Audit Cover'!E7</f>
        <v>6016084002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2076</v>
      </c>
      <c r="B7" s="2578"/>
      <c r="C7" s="2578"/>
      <c r="D7" s="2578"/>
      <c r="E7" s="2578"/>
      <c r="F7" s="2578"/>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2146</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t="s">
        <v>2078</v>
      </c>
      <c r="C17" s="1061" t="s">
        <v>2077</v>
      </c>
      <c r="D17" s="2571" t="s">
        <v>2079</v>
      </c>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2080</v>
      </c>
      <c r="B32" s="2572"/>
      <c r="C32" s="2572"/>
      <c r="D32" s="2572"/>
      <c r="E32" s="2572"/>
      <c r="F32" s="2572"/>
    </row>
    <row r="33" spans="1:6" ht="13.5" customHeight="1" x14ac:dyDescent="0.2">
      <c r="A33" s="306" t="s">
        <v>1417</v>
      </c>
      <c r="B33" s="306"/>
      <c r="C33" s="1064">
        <v>23934</v>
      </c>
      <c r="D33" s="1526"/>
      <c r="E33" s="1062"/>
    </row>
    <row r="34" spans="1:6" ht="13.5" customHeight="1" x14ac:dyDescent="0.2">
      <c r="A34" s="306" t="s">
        <v>1808</v>
      </c>
      <c r="B34" s="306"/>
      <c r="C34" s="1065">
        <v>12887</v>
      </c>
      <c r="D34" s="1526" t="s">
        <v>1572</v>
      </c>
      <c r="E34" s="2573">
        <f>+C33+C34</f>
        <v>36821</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topLeftCell="A28" zoomScale="110" zoomScaleNormal="110" workbookViewId="0">
      <selection activeCell="K45" sqref="K4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Franklin Park SD 84</v>
      </c>
      <c r="C1" s="2594"/>
      <c r="D1" s="2594"/>
      <c r="E1" s="2594"/>
      <c r="F1" s="2594"/>
      <c r="G1" s="2594"/>
      <c r="H1" s="2594"/>
      <c r="I1" s="2594"/>
      <c r="J1" s="1178"/>
    </row>
    <row r="2" spans="2:10" s="295" customFormat="1" ht="12.75" customHeight="1" x14ac:dyDescent="0.2">
      <c r="B2" s="2595">
        <f>'Single Audit Cover'!E7</f>
        <v>6016084002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t="s">
        <v>1154</v>
      </c>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t="s">
        <v>2081</v>
      </c>
      <c r="E29" s="2600"/>
      <c r="F29" s="2600"/>
      <c r="G29" s="2600"/>
      <c r="H29" s="2600"/>
      <c r="I29" s="2600"/>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1" t="s">
        <v>1725</v>
      </c>
      <c r="D37" s="2602"/>
      <c r="E37" s="2602"/>
      <c r="F37" s="2603"/>
      <c r="G37" s="2601" t="s">
        <v>1575</v>
      </c>
      <c r="H37" s="2602"/>
      <c r="I37" s="2603"/>
    </row>
    <row r="38" spans="2:9" ht="16.5" customHeight="1" x14ac:dyDescent="0.2">
      <c r="B38" s="1200" t="s">
        <v>2082</v>
      </c>
      <c r="C38" s="2589" t="s">
        <v>2083</v>
      </c>
      <c r="D38" s="2590"/>
      <c r="E38" s="2590"/>
      <c r="F38" s="2591"/>
      <c r="G38" s="2604">
        <v>403437</v>
      </c>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403437</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902138</v>
      </c>
      <c r="E45" s="2587"/>
    </row>
    <row r="46" spans="2:9" ht="5.25" customHeight="1" x14ac:dyDescent="0.2">
      <c r="B46" s="1201"/>
      <c r="D46" s="1202"/>
      <c r="E46" s="1203"/>
    </row>
    <row r="47" spans="2:9" ht="12.75" customHeight="1" x14ac:dyDescent="0.2">
      <c r="B47" s="1076" t="s">
        <v>1577</v>
      </c>
      <c r="C47" s="1076"/>
      <c r="D47" s="1204">
        <f>+G43/D45</f>
        <v>0.44720098255477542</v>
      </c>
      <c r="E47" s="1205"/>
      <c r="F47" s="1206"/>
      <c r="I47" s="1207"/>
    </row>
    <row r="48" spans="2:9" ht="9.9499999999999993" customHeight="1" x14ac:dyDescent="0.2"/>
    <row r="49" spans="1:9" x14ac:dyDescent="0.2">
      <c r="B49" s="1138" t="s">
        <v>1262</v>
      </c>
      <c r="C49" s="1058"/>
      <c r="D49" s="1058"/>
      <c r="E49" s="2588">
        <v>750000</v>
      </c>
      <c r="F49" s="2588"/>
      <c r="G49" s="2588"/>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24" header="0.26"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O17" sqref="O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Franklin Park SD 84</v>
      </c>
      <c r="C1" s="2593"/>
      <c r="D1" s="2593"/>
      <c r="E1" s="2593"/>
      <c r="F1" s="2593"/>
      <c r="G1" s="2593"/>
      <c r="H1" s="2593"/>
      <c r="I1" s="2593"/>
      <c r="J1" s="2593"/>
      <c r="K1" s="2593"/>
      <c r="L1" s="1144"/>
      <c r="M1" s="1144"/>
    </row>
    <row r="2" spans="1:13" ht="12" customHeight="1" x14ac:dyDescent="0.2">
      <c r="B2" s="2595">
        <f>'Single Audit Cover'!E7</f>
        <v>6016084002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9" t="str">
        <f>'AFR20'!$E$2&amp;"-"</f>
        <v>2020-</v>
      </c>
      <c r="D10" s="1155" t="s">
        <v>2084</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t="s">
        <v>2085</v>
      </c>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Q20" sqref="Q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Franklin Park SD 84</v>
      </c>
      <c r="C1" s="2616"/>
      <c r="D1" s="2616"/>
      <c r="E1" s="2616"/>
      <c r="F1" s="2616"/>
      <c r="G1" s="2616"/>
      <c r="H1" s="2616"/>
      <c r="I1" s="2616"/>
      <c r="J1" s="2616"/>
      <c r="K1" s="2616"/>
      <c r="L1" s="1221"/>
    </row>
    <row r="2" spans="1:12" ht="12.75" customHeight="1" x14ac:dyDescent="0.2">
      <c r="B2" s="2617">
        <f>'Single Audit Cover'!E7</f>
        <v>6016084002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9" t="str">
        <f>'AFR20'!$E$2&amp;"-"</f>
        <v>2020-</v>
      </c>
      <c r="D8" s="1223" t="s">
        <v>2084</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t="s">
        <v>2085</v>
      </c>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t="s">
        <v>2085</v>
      </c>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13" sqref="C1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Franklin Park SD 84</v>
      </c>
      <c r="C1" s="2593"/>
      <c r="D1" s="2593"/>
      <c r="E1" s="1240"/>
    </row>
    <row r="2" spans="2:5" s="1058" customFormat="1" ht="12.75" customHeight="1" x14ac:dyDescent="0.2">
      <c r="B2" s="2595">
        <f>'Single Audit Cover'!E7</f>
        <v>6016084002</v>
      </c>
      <c r="C2" s="2595"/>
      <c r="D2" s="2595"/>
      <c r="E2" s="1241"/>
    </row>
    <row r="3" spans="2:5" ht="12.75" customHeight="1" x14ac:dyDescent="0.2">
      <c r="B3" s="2609" t="s">
        <v>1740</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t="s">
        <v>2085</v>
      </c>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8" sqref="D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379876374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3.4616000000000001E-2</v>
      </c>
      <c r="E10" s="333" t="s">
        <v>998</v>
      </c>
      <c r="F10" s="332">
        <v>4.6439999999999997E-3</v>
      </c>
      <c r="G10" s="333" t="s">
        <v>998</v>
      </c>
      <c r="H10" s="332">
        <v>0</v>
      </c>
      <c r="I10" s="333" t="s">
        <v>999</v>
      </c>
      <c r="J10" s="1424">
        <f>ROUND(D10+F10+H10,5)</f>
        <v>3.9260000000000003E-2</v>
      </c>
      <c r="K10" s="217"/>
      <c r="L10" s="332">
        <v>1.3200000000000001E-4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22926023</v>
      </c>
      <c r="E16" s="1547"/>
      <c r="F16" s="1546">
        <f>SUM('Acct Summary 7-8'!C17,'Acct Summary 7-8'!D17,'Acct Summary 7-8'!F17)</f>
        <v>20654726</v>
      </c>
      <c r="G16" s="1547"/>
      <c r="H16" s="1546">
        <f>SUM(D16-F16)</f>
        <v>2271297</v>
      </c>
      <c r="I16" s="1548"/>
      <c r="J16" s="1546">
        <f>SUM('Acct Summary 7-8'!C81,'Acct Summary 7-8'!D81,'Acct Summary 7-8'!F81,'Acct Summary 7-8'!I81)</f>
        <v>33721728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26211469.806000002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12321586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Franklin Park SD 84</v>
      </c>
      <c r="E7" s="368"/>
      <c r="G7" s="247"/>
      <c r="H7" s="364"/>
      <c r="I7" s="364"/>
      <c r="J7" s="364"/>
      <c r="K7" s="364"/>
      <c r="L7" s="307"/>
      <c r="M7" s="307"/>
      <c r="N7" s="307"/>
      <c r="O7" s="307"/>
      <c r="P7" s="307"/>
    </row>
    <row r="8" spans="1:18" ht="12.75" x14ac:dyDescent="0.2">
      <c r="A8" s="307"/>
      <c r="B8" s="307"/>
      <c r="C8" s="366" t="s">
        <v>1115</v>
      </c>
      <c r="D8" s="369">
        <f>COVER!A13</f>
        <v>6016084002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33721728</v>
      </c>
      <c r="I12" s="380"/>
      <c r="J12" s="380"/>
      <c r="K12" s="1559">
        <f>TRUNC((H12/H13*100000),5)/100000</f>
        <v>1.4708930545000001</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22926023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20654726</v>
      </c>
      <c r="I17" s="380"/>
      <c r="J17" s="389"/>
      <c r="K17" s="1559">
        <f>TRUNC((H17/H18*100000),5)/100000</f>
        <v>0.90092930640000002</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22926023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33721728</v>
      </c>
      <c r="I24" s="394"/>
      <c r="J24" s="394"/>
      <c r="K24" s="1555">
        <f>TRUNC(((H24/H25*100000)/100000),2)</f>
        <v>587.75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57374.238890000001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12676854.476749999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12321586</v>
      </c>
      <c r="I32" s="392"/>
      <c r="J32" s="392"/>
      <c r="K32" s="1555">
        <f>TRUNC(100-((((H32/H33*100))*100)/100),2)</f>
        <v>52.99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26211469.806000002</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3" activePane="bottomLeft" state="frozen"/>
      <selection pane="bottomLeft" activeCell="A44" sqref="A4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22174225</v>
      </c>
      <c r="D4" s="1573">
        <v>2270565</v>
      </c>
      <c r="E4" s="1573">
        <v>319902</v>
      </c>
      <c r="F4" s="1573">
        <v>2627150</v>
      </c>
      <c r="G4" s="1573">
        <v>1068070</v>
      </c>
      <c r="H4" s="1573">
        <v>0</v>
      </c>
      <c r="I4" s="1573">
        <v>6649788</v>
      </c>
      <c r="J4" s="1574">
        <v>384178</v>
      </c>
      <c r="K4" s="1573">
        <v>437682</v>
      </c>
      <c r="L4" s="1573">
        <v>46827</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22174225</v>
      </c>
      <c r="D13" s="1587">
        <f t="shared" ref="D13:L13" si="0">SUM(D4:D12)</f>
        <v>2270565</v>
      </c>
      <c r="E13" s="1587">
        <f t="shared" si="0"/>
        <v>319902</v>
      </c>
      <c r="F13" s="1587">
        <f t="shared" si="0"/>
        <v>2627150</v>
      </c>
      <c r="G13" s="1587">
        <f t="shared" si="0"/>
        <v>1068070</v>
      </c>
      <c r="H13" s="1587">
        <f t="shared" si="0"/>
        <v>0</v>
      </c>
      <c r="I13" s="1587">
        <f t="shared" si="0"/>
        <v>6649788</v>
      </c>
      <c r="J13" s="1587">
        <f t="shared" si="0"/>
        <v>384178</v>
      </c>
      <c r="K13" s="1587">
        <f t="shared" si="0"/>
        <v>437682</v>
      </c>
      <c r="L13" s="1587">
        <f t="shared" si="0"/>
        <v>46827</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425000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17625002</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366530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1234740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843846</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319902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12001684</v>
      </c>
    </row>
    <row r="23" spans="1:14" ht="13.5" customHeight="1" thickBot="1" x14ac:dyDescent="0.25">
      <c r="A23" s="1426" t="s">
        <v>638</v>
      </c>
      <c r="B23" s="1429"/>
      <c r="C23" s="1575"/>
      <c r="D23" s="1575"/>
      <c r="E23" s="1575"/>
      <c r="F23" s="1575"/>
      <c r="G23" s="1575"/>
      <c r="H23" s="1575"/>
      <c r="I23" s="1575"/>
      <c r="J23" s="1575"/>
      <c r="K23" s="1575"/>
      <c r="L23" s="1575"/>
      <c r="M23" s="1594">
        <f>SUM(M15:M22)</f>
        <v>20495118</v>
      </c>
      <c r="N23" s="1594">
        <f>SUM(N21:N22)</f>
        <v>12321586</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46827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46827</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12321586</v>
      </c>
    </row>
    <row r="37" spans="1:14" ht="13.5" thickBot="1" x14ac:dyDescent="0.25">
      <c r="A37" s="1426" t="s">
        <v>648</v>
      </c>
      <c r="B37" s="1429"/>
      <c r="C37" s="1582"/>
      <c r="D37" s="1582"/>
      <c r="E37" s="1582"/>
      <c r="F37" s="1582"/>
      <c r="G37" s="1582"/>
      <c r="H37" s="1582"/>
      <c r="I37" s="1582"/>
      <c r="J37" s="1582"/>
      <c r="K37" s="1582"/>
      <c r="L37" s="1585"/>
      <c r="M37" s="1575"/>
      <c r="N37" s="1594">
        <f>SUM(N36:N36)</f>
        <v>12321586</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22174225</v>
      </c>
      <c r="D39" s="1573">
        <v>2270565</v>
      </c>
      <c r="E39" s="1573">
        <v>319902</v>
      </c>
      <c r="F39" s="1573">
        <v>2627150</v>
      </c>
      <c r="G39" s="1573">
        <v>1068070</v>
      </c>
      <c r="H39" s="1573">
        <v>0</v>
      </c>
      <c r="I39" s="1573">
        <v>6649788</v>
      </c>
      <c r="J39" s="1574">
        <v>384178</v>
      </c>
      <c r="K39" s="1573">
        <v>437682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20495118</v>
      </c>
      <c r="N40" s="1604"/>
    </row>
    <row r="41" spans="1:14" ht="13.5" customHeight="1" thickBot="1" x14ac:dyDescent="0.25">
      <c r="A41" s="1426" t="s">
        <v>650</v>
      </c>
      <c r="B41" s="1405"/>
      <c r="C41" s="1594">
        <f>(SUM(C34,C37,C38,C39))</f>
        <v>22174225</v>
      </c>
      <c r="D41" s="1594">
        <f t="shared" ref="D41:L41" si="2">SUM(D34,D37,D38:D39)</f>
        <v>2270565</v>
      </c>
      <c r="E41" s="1594">
        <f t="shared" si="2"/>
        <v>319902</v>
      </c>
      <c r="F41" s="1594">
        <f t="shared" si="2"/>
        <v>2627150</v>
      </c>
      <c r="G41" s="1594">
        <f t="shared" si="2"/>
        <v>1068070</v>
      </c>
      <c r="H41" s="1594">
        <f t="shared" si="2"/>
        <v>0</v>
      </c>
      <c r="I41" s="1594">
        <f t="shared" si="2"/>
        <v>6649788</v>
      </c>
      <c r="J41" s="1594">
        <f t="shared" si="2"/>
        <v>384178</v>
      </c>
      <c r="K41" s="1594">
        <f t="shared" si="2"/>
        <v>437682</v>
      </c>
      <c r="L41" s="1594">
        <f t="shared" si="2"/>
        <v>46827</v>
      </c>
      <c r="M41" s="1594">
        <f>SUM(M40)</f>
        <v>20495118</v>
      </c>
      <c r="N41" s="1594">
        <f>SUM(N37)</f>
        <v>12321586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85" sqref="C8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15211778</v>
      </c>
      <c r="D4" s="1606">
        <f>'Revenues 9-14'!D109</f>
        <v>1880335</v>
      </c>
      <c r="E4" s="1606">
        <f>'Revenues 9-14'!E109</f>
        <v>1087978</v>
      </c>
      <c r="F4" s="1606">
        <f>'Revenues 9-14'!F109</f>
        <v>54448</v>
      </c>
      <c r="G4" s="1606">
        <f>'Revenues 9-14'!G109</f>
        <v>673439</v>
      </c>
      <c r="H4" s="1606">
        <f>'Revenues 9-14'!H109</f>
        <v>0</v>
      </c>
      <c r="I4" s="1606">
        <f>'Revenues 9-14'!I109</f>
        <v>185089</v>
      </c>
      <c r="J4" s="1606">
        <f>'Revenues 9-14'!J109</f>
        <v>190832</v>
      </c>
      <c r="K4" s="1606">
        <f>'Revenues 9-14'!K109</f>
        <v>288891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4134862</v>
      </c>
      <c r="D6" s="1607">
        <f>'Revenues 9-14'!D170</f>
        <v>50000</v>
      </c>
      <c r="E6" s="1607">
        <f>'Revenues 9-14'!E170</f>
        <v>0</v>
      </c>
      <c r="F6" s="1607">
        <f>'Revenues 9-14'!F170</f>
        <v>382905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1026606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20373246</v>
      </c>
      <c r="D8" s="1594">
        <f t="shared" ref="D8:K8" si="0">SUM(D4:D7)</f>
        <v>1930335</v>
      </c>
      <c r="E8" s="1594">
        <f t="shared" si="0"/>
        <v>1087978</v>
      </c>
      <c r="F8" s="1594">
        <f t="shared" si="0"/>
        <v>437353</v>
      </c>
      <c r="G8" s="1594">
        <f t="shared" si="0"/>
        <v>673439</v>
      </c>
      <c r="H8" s="1594">
        <f t="shared" si="0"/>
        <v>0</v>
      </c>
      <c r="I8" s="1594">
        <f t="shared" si="0"/>
        <v>185089</v>
      </c>
      <c r="J8" s="1594">
        <f t="shared" si="0"/>
        <v>190832</v>
      </c>
      <c r="K8" s="1594">
        <f t="shared" si="0"/>
        <v>288891</v>
      </c>
      <c r="L8" s="325"/>
    </row>
    <row r="9" spans="1:13" ht="15.75" thickTop="1" x14ac:dyDescent="0.2">
      <c r="A9" s="449" t="s">
        <v>1634</v>
      </c>
      <c r="B9" s="450">
        <v>3998</v>
      </c>
      <c r="C9" s="1586">
        <v>7006298</v>
      </c>
      <c r="D9" s="1613"/>
      <c r="E9" s="1586"/>
      <c r="F9" s="1586"/>
      <c r="G9" s="1614"/>
      <c r="H9" s="1586"/>
      <c r="I9" s="1609" t="s">
        <v>1159</v>
      </c>
      <c r="J9" s="1583"/>
      <c r="K9" s="1586"/>
      <c r="L9" s="325"/>
    </row>
    <row r="10" spans="1:13" s="452" customFormat="1" ht="13.5" thickBot="1" x14ac:dyDescent="0.25">
      <c r="A10" s="1426" t="s">
        <v>1163</v>
      </c>
      <c r="B10" s="1407"/>
      <c r="C10" s="1594">
        <f>SUM(C8:C9)</f>
        <v>27379544</v>
      </c>
      <c r="D10" s="1594">
        <f t="shared" ref="D10:K10" si="1">SUM(D8:D9)</f>
        <v>1930335</v>
      </c>
      <c r="E10" s="1594">
        <f t="shared" si="1"/>
        <v>1087978</v>
      </c>
      <c r="F10" s="1594">
        <f t="shared" si="1"/>
        <v>437353</v>
      </c>
      <c r="G10" s="1594">
        <f t="shared" si="1"/>
        <v>673439</v>
      </c>
      <c r="H10" s="1594">
        <f t="shared" si="1"/>
        <v>0</v>
      </c>
      <c r="I10" s="1594">
        <f t="shared" si="1"/>
        <v>185089</v>
      </c>
      <c r="J10" s="1594">
        <f t="shared" si="1"/>
        <v>190832</v>
      </c>
      <c r="K10" s="1594">
        <f t="shared" si="1"/>
        <v>288891</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10568132</v>
      </c>
      <c r="D12" s="1616" t="s">
        <v>1159</v>
      </c>
      <c r="E12" s="1575" t="s">
        <v>1159</v>
      </c>
      <c r="F12" s="1575" t="s">
        <v>1159</v>
      </c>
      <c r="G12" s="1606">
        <f>'Expenditures 15-22'!K229</f>
        <v>161180</v>
      </c>
      <c r="H12" s="1617"/>
      <c r="I12" s="1575" t="s">
        <v>1159</v>
      </c>
      <c r="J12" s="1575" t="s">
        <v>1159</v>
      </c>
      <c r="K12" s="1617" t="s">
        <v>1159</v>
      </c>
      <c r="L12" s="325"/>
    </row>
    <row r="13" spans="1:13" ht="15.75" customHeight="1" x14ac:dyDescent="0.2">
      <c r="A13" s="1314" t="s">
        <v>454</v>
      </c>
      <c r="B13" s="1316">
        <v>2000</v>
      </c>
      <c r="C13" s="1607">
        <f>'Expenditures 15-22'!K74</f>
        <v>4309254</v>
      </c>
      <c r="D13" s="1607">
        <f>'Expenditures 15-22'!K129</f>
        <v>4386998</v>
      </c>
      <c r="E13" s="1576" t="s">
        <v>1159</v>
      </c>
      <c r="F13" s="1607">
        <f>'Expenditures 15-22'!K184</f>
        <v>559543</v>
      </c>
      <c r="G13" s="1607">
        <f>'Expenditures 15-22'!K279</f>
        <v>365668</v>
      </c>
      <c r="H13" s="1607">
        <f>'Expenditures 15-22'!K303</f>
        <v>0</v>
      </c>
      <c r="I13" s="1575" t="s">
        <v>1159</v>
      </c>
      <c r="J13" s="1607">
        <f>'Expenditures 15-22'!K330</f>
        <v>95984</v>
      </c>
      <c r="K13" s="1618">
        <f>'Expenditures 15-22'!K352</f>
        <v>0</v>
      </c>
      <c r="L13" s="325"/>
    </row>
    <row r="14" spans="1:13" ht="15.75" customHeight="1" x14ac:dyDescent="0.2">
      <c r="A14" s="1314" t="s">
        <v>446</v>
      </c>
      <c r="B14" s="1316">
        <v>3000</v>
      </c>
      <c r="C14" s="1607">
        <f>'Expenditures 15-22'!K75</f>
        <v>11646</v>
      </c>
      <c r="D14" s="1607">
        <f>'Expenditures 15-22'!K130</f>
        <v>0</v>
      </c>
      <c r="E14" s="1616" t="s">
        <v>1159</v>
      </c>
      <c r="F14" s="1607">
        <f>'Expenditures 15-22'!K185</f>
        <v>0</v>
      </c>
      <c r="G14" s="1607">
        <f>'Expenditures 15-22'!K280</f>
        <v>1345</v>
      </c>
      <c r="H14" s="1612"/>
      <c r="I14" s="1575" t="s">
        <v>1159</v>
      </c>
      <c r="J14" s="1575" t="s">
        <v>1159</v>
      </c>
      <c r="K14" s="1612" t="s">
        <v>1159</v>
      </c>
      <c r="L14" s="325"/>
    </row>
    <row r="15" spans="1:13" ht="15.75" customHeight="1" x14ac:dyDescent="0.2">
      <c r="A15" s="1314" t="s">
        <v>107</v>
      </c>
      <c r="B15" s="1316">
        <v>4000</v>
      </c>
      <c r="C15" s="1607">
        <f>'Expenditures 15-22'!K102</f>
        <v>819153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1051444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15708185</v>
      </c>
      <c r="D17" s="1594">
        <f t="shared" si="2"/>
        <v>4386998</v>
      </c>
      <c r="E17" s="1594">
        <f t="shared" si="2"/>
        <v>1051444</v>
      </c>
      <c r="F17" s="1594">
        <f t="shared" si="2"/>
        <v>559543</v>
      </c>
      <c r="G17" s="1594">
        <f t="shared" si="2"/>
        <v>528193</v>
      </c>
      <c r="H17" s="1594">
        <f t="shared" si="2"/>
        <v>0</v>
      </c>
      <c r="I17" s="1575"/>
      <c r="J17" s="1594">
        <f>SUM(J12:J16)</f>
        <v>95984</v>
      </c>
      <c r="K17" s="1594">
        <f>SUM(K12:K16)</f>
        <v>0</v>
      </c>
      <c r="L17" s="325"/>
    </row>
    <row r="18" spans="1:12" ht="15" customHeight="1" thickTop="1" x14ac:dyDescent="0.2">
      <c r="A18" s="1430" t="s">
        <v>1635</v>
      </c>
      <c r="B18" s="1431">
        <v>4180</v>
      </c>
      <c r="C18" s="1606">
        <f t="shared" ref="C18:H18" si="3">C9</f>
        <v>7006298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22714483</v>
      </c>
      <c r="D19" s="1594">
        <f t="shared" si="4"/>
        <v>4386998</v>
      </c>
      <c r="E19" s="1594">
        <f t="shared" si="4"/>
        <v>1051444</v>
      </c>
      <c r="F19" s="1594">
        <f t="shared" si="4"/>
        <v>559543</v>
      </c>
      <c r="G19" s="1594">
        <f t="shared" si="4"/>
        <v>528193</v>
      </c>
      <c r="H19" s="1594">
        <f t="shared" si="4"/>
        <v>0</v>
      </c>
      <c r="I19" s="1575"/>
      <c r="J19" s="1594">
        <f>SUM(J17:J18)</f>
        <v>95984</v>
      </c>
      <c r="K19" s="1594">
        <f>SUM(K17:K18)</f>
        <v>0</v>
      </c>
      <c r="L19" s="325"/>
    </row>
    <row r="20" spans="1:12" ht="16.5" thickTop="1" thickBot="1" x14ac:dyDescent="0.25">
      <c r="A20" s="2231" t="s">
        <v>1636</v>
      </c>
      <c r="B20" s="2232"/>
      <c r="C20" s="1622">
        <f>C8-C17</f>
        <v>4665061</v>
      </c>
      <c r="D20" s="1622">
        <f t="shared" ref="D20:K20" si="5">D8-D17</f>
        <v>-2456663</v>
      </c>
      <c r="E20" s="1622">
        <f t="shared" si="5"/>
        <v>36534</v>
      </c>
      <c r="F20" s="1622">
        <f t="shared" si="5"/>
        <v>-122190</v>
      </c>
      <c r="G20" s="1622">
        <f t="shared" si="5"/>
        <v>145246</v>
      </c>
      <c r="H20" s="1622">
        <f t="shared" si="5"/>
        <v>0</v>
      </c>
      <c r="I20" s="1622">
        <f t="shared" si="5"/>
        <v>185089</v>
      </c>
      <c r="J20" s="1622">
        <f t="shared" si="5"/>
        <v>94848</v>
      </c>
      <c r="K20" s="1622">
        <f t="shared" si="5"/>
        <v>288891</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4665061</v>
      </c>
      <c r="D78" s="1629">
        <f t="shared" si="9"/>
        <v>-2456663</v>
      </c>
      <c r="E78" s="1629">
        <f t="shared" si="9"/>
        <v>36534</v>
      </c>
      <c r="F78" s="1629">
        <f t="shared" si="9"/>
        <v>-122190</v>
      </c>
      <c r="G78" s="1629">
        <f t="shared" si="9"/>
        <v>145246</v>
      </c>
      <c r="H78" s="1629">
        <f t="shared" si="9"/>
        <v>0</v>
      </c>
      <c r="I78" s="1629">
        <f t="shared" si="9"/>
        <v>185089</v>
      </c>
      <c r="J78" s="1629">
        <f t="shared" si="9"/>
        <v>94848</v>
      </c>
      <c r="K78" s="1629">
        <f t="shared" si="9"/>
        <v>288891</v>
      </c>
      <c r="L78" s="457"/>
    </row>
    <row r="79" spans="1:12" ht="13.5" thickTop="1" x14ac:dyDescent="0.2">
      <c r="A79" s="1844" t="str">
        <f>"Fund Balances - July 1, "&amp;'AFR20'!E2-1</f>
        <v>Fund Balances - July 1, 2019</v>
      </c>
      <c r="B79" s="458"/>
      <c r="C79" s="1583">
        <v>17509164</v>
      </c>
      <c r="D79" s="1630">
        <v>4727228</v>
      </c>
      <c r="E79" s="1630">
        <v>283368</v>
      </c>
      <c r="F79" s="1630">
        <v>2749340</v>
      </c>
      <c r="G79" s="1630">
        <v>922824</v>
      </c>
      <c r="H79" s="1630">
        <v>0</v>
      </c>
      <c r="I79" s="1630">
        <v>6464699</v>
      </c>
      <c r="J79" s="1630">
        <v>289330</v>
      </c>
      <c r="K79" s="1630">
        <v>148791</v>
      </c>
      <c r="L79" s="325"/>
    </row>
    <row r="80" spans="1:12" x14ac:dyDescent="0.2">
      <c r="A80" s="2233" t="s">
        <v>1769</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22174225</v>
      </c>
      <c r="D81" s="1594">
        <f>SUM(D78:D80)</f>
        <v>2270565</v>
      </c>
      <c r="E81" s="1594">
        <f t="shared" ref="E81:K81" si="10">SUM(E78:E80)</f>
        <v>319902</v>
      </c>
      <c r="F81" s="1594">
        <f t="shared" si="10"/>
        <v>2627150</v>
      </c>
      <c r="G81" s="1594">
        <f t="shared" si="10"/>
        <v>1068070</v>
      </c>
      <c r="H81" s="1594">
        <f t="shared" si="10"/>
        <v>0</v>
      </c>
      <c r="I81" s="1594">
        <f t="shared" si="10"/>
        <v>6649788</v>
      </c>
      <c r="J81" s="1594">
        <f t="shared" si="10"/>
        <v>384178</v>
      </c>
      <c r="K81" s="1594">
        <f t="shared" si="10"/>
        <v>437682</v>
      </c>
      <c r="L81" s="325"/>
    </row>
    <row r="82" spans="1:12" ht="0.75" customHeight="1" thickTop="1" thickBot="1" x14ac:dyDescent="0.25">
      <c r="A82" s="459" t="s">
        <v>340</v>
      </c>
      <c r="B82" s="460"/>
      <c r="C82" s="461">
        <f>(C81-C79)</f>
        <v>4665061</v>
      </c>
      <c r="D82" s="461">
        <f t="shared" ref="D82:K82" si="11">(D81-D79)</f>
        <v>-2456663</v>
      </c>
      <c r="E82" s="461">
        <f t="shared" si="11"/>
        <v>36534</v>
      </c>
      <c r="F82" s="461">
        <f t="shared" si="11"/>
        <v>-122190</v>
      </c>
      <c r="G82" s="461">
        <f t="shared" si="11"/>
        <v>145246</v>
      </c>
      <c r="H82" s="461">
        <f t="shared" si="11"/>
        <v>0</v>
      </c>
      <c r="I82" s="461">
        <f t="shared" si="11"/>
        <v>185089</v>
      </c>
      <c r="J82" s="461">
        <f t="shared" si="11"/>
        <v>94848</v>
      </c>
      <c r="K82" s="461">
        <f t="shared" si="11"/>
        <v>288891</v>
      </c>
    </row>
    <row r="83" spans="1:12" ht="14.25" hidden="1" thickTop="1" thickBot="1" x14ac:dyDescent="0.25">
      <c r="A83" s="462" t="s">
        <v>341</v>
      </c>
      <c r="B83" s="428"/>
      <c r="C83" s="463">
        <f>C82/C81</f>
        <v>0.21038214413356046</v>
      </c>
      <c r="D83" s="463">
        <f t="shared" ref="D83:K83" si="12">D82/D81</f>
        <v>-1.081961097788436</v>
      </c>
      <c r="E83" s="463">
        <f t="shared" si="12"/>
        <v>0.11420372489074779</v>
      </c>
      <c r="F83" s="463">
        <f t="shared" si="12"/>
        <v>-4.6510477133014864E-2</v>
      </c>
      <c r="G83" s="463">
        <f t="shared" si="12"/>
        <v>0.13598921419008117</v>
      </c>
      <c r="H83" s="463" t="e">
        <f t="shared" si="12"/>
        <v>#DIV/0!</v>
      </c>
      <c r="I83" s="463">
        <f t="shared" si="12"/>
        <v>2.7833819664626901E-2</v>
      </c>
      <c r="J83" s="463">
        <f t="shared" si="12"/>
        <v>0.24688555825684969</v>
      </c>
      <c r="K83" s="463">
        <f t="shared" si="12"/>
        <v>0.66004770586864436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4" activePane="bottomLeft" state="frozen"/>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1776</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13200116</v>
      </c>
      <c r="D5" s="1586">
        <v>1632572</v>
      </c>
      <c r="E5" s="1573">
        <v>1080878</v>
      </c>
      <c r="F5" s="1631">
        <v>-3068</v>
      </c>
      <c r="G5" s="1573"/>
      <c r="H5" s="1573"/>
      <c r="I5" s="1573">
        <v>47223</v>
      </c>
      <c r="J5" s="1574">
        <v>164938</v>
      </c>
      <c r="K5" s="1573">
        <v>282576</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1187204</v>
      </c>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14387320</v>
      </c>
      <c r="D12" s="1633">
        <f t="shared" si="0"/>
        <v>1632572</v>
      </c>
      <c r="E12" s="1633">
        <f t="shared" si="0"/>
        <v>1080878</v>
      </c>
      <c r="F12" s="1633">
        <f t="shared" si="0"/>
        <v>-3068</v>
      </c>
      <c r="G12" s="1633">
        <f t="shared" si="0"/>
        <v>0</v>
      </c>
      <c r="H12" s="1633">
        <f t="shared" si="0"/>
        <v>0</v>
      </c>
      <c r="I12" s="1633">
        <f t="shared" si="0"/>
        <v>47223</v>
      </c>
      <c r="J12" s="1633">
        <f t="shared" si="0"/>
        <v>164938</v>
      </c>
      <c r="K12" s="1594">
        <f t="shared" si="0"/>
        <v>282576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117654</v>
      </c>
      <c r="D16" s="1573">
        <v>100000</v>
      </c>
      <c r="E16" s="1573"/>
      <c r="F16" s="1573"/>
      <c r="G16" s="1573">
        <v>650000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117654</v>
      </c>
      <c r="D18" s="1635">
        <f t="shared" ref="D18:K18" si="1">SUM(D14:D17)</f>
        <v>100000</v>
      </c>
      <c r="E18" s="1635">
        <f t="shared" si="1"/>
        <v>0</v>
      </c>
      <c r="F18" s="1635">
        <f t="shared" si="1"/>
        <v>0</v>
      </c>
      <c r="G18" s="1635">
        <f t="shared" si="1"/>
        <v>650000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1025</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v>43827</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44852</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447295</v>
      </c>
      <c r="D65" s="1573">
        <v>64081</v>
      </c>
      <c r="E65" s="1573">
        <v>6326</v>
      </c>
      <c r="F65" s="1574">
        <v>57516</v>
      </c>
      <c r="G65" s="1573">
        <v>23439</v>
      </c>
      <c r="H65" s="1573"/>
      <c r="I65" s="1573">
        <v>137866</v>
      </c>
      <c r="J65" s="1574">
        <v>6324</v>
      </c>
      <c r="K65" s="1573">
        <v>6315</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447295</v>
      </c>
      <c r="D67" s="1594">
        <f t="shared" ref="D67:K67" si="2">SUM(D65:D66)</f>
        <v>64081</v>
      </c>
      <c r="E67" s="1594">
        <f t="shared" si="2"/>
        <v>6326</v>
      </c>
      <c r="F67" s="1594">
        <f t="shared" si="2"/>
        <v>57516</v>
      </c>
      <c r="G67" s="1594">
        <f t="shared" si="2"/>
        <v>23439</v>
      </c>
      <c r="H67" s="1594">
        <f t="shared" si="2"/>
        <v>0</v>
      </c>
      <c r="I67" s="1594">
        <f t="shared" si="2"/>
        <v>137866</v>
      </c>
      <c r="J67" s="1594">
        <f t="shared" si="2"/>
        <v>6324</v>
      </c>
      <c r="K67" s="1594">
        <f t="shared" si="2"/>
        <v>6315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96186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96186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9016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9016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83682</v>
      </c>
      <c r="E95" s="1617"/>
      <c r="F95" s="1617"/>
      <c r="G95" s="1617"/>
      <c r="H95" s="1617"/>
      <c r="I95" s="1617"/>
      <c r="J95" s="1617"/>
      <c r="K95" s="1617"/>
    </row>
    <row r="96" spans="1:11" ht="12.75" customHeight="1" x14ac:dyDescent="0.2">
      <c r="A96" s="427" t="s">
        <v>388</v>
      </c>
      <c r="B96" s="429">
        <v>1920</v>
      </c>
      <c r="C96" s="1632">
        <v>7680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35038</v>
      </c>
      <c r="D99" s="1573"/>
      <c r="E99" s="1573">
        <v>774</v>
      </c>
      <c r="F99" s="1573"/>
      <c r="G99" s="1573"/>
      <c r="H99" s="1573"/>
      <c r="I99" s="1575"/>
      <c r="J99" s="1574">
        <v>19570</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63740</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2997</v>
      </c>
      <c r="D107" s="1573"/>
      <c r="E107" s="1573"/>
      <c r="F107" s="1573"/>
      <c r="G107" s="1573"/>
      <c r="H107" s="1573"/>
      <c r="I107" s="1573"/>
      <c r="J107" s="1574"/>
      <c r="K107" s="1573"/>
    </row>
    <row r="108" spans="1:12" ht="12.75" customHeight="1" thickBot="1" x14ac:dyDescent="0.25">
      <c r="A108" s="1406" t="s">
        <v>484</v>
      </c>
      <c r="B108" s="1408"/>
      <c r="C108" s="1633">
        <f>SUM(C95:C107)</f>
        <v>109455</v>
      </c>
      <c r="D108" s="1633">
        <f t="shared" ref="D108:K108" si="3">SUM(D95:D107)</f>
        <v>83682</v>
      </c>
      <c r="E108" s="1633">
        <f t="shared" si="3"/>
        <v>774</v>
      </c>
      <c r="F108" s="1633">
        <f t="shared" si="3"/>
        <v>0</v>
      </c>
      <c r="G108" s="1633">
        <f t="shared" si="3"/>
        <v>0</v>
      </c>
      <c r="H108" s="1633">
        <f t="shared" si="3"/>
        <v>0</v>
      </c>
      <c r="I108" s="1633">
        <f t="shared" si="3"/>
        <v>0</v>
      </c>
      <c r="J108" s="1633">
        <f t="shared" si="3"/>
        <v>19570</v>
      </c>
      <c r="K108" s="1594">
        <f t="shared" si="3"/>
        <v>0</v>
      </c>
    </row>
    <row r="109" spans="1:12" ht="14.25" thickTop="1" thickBot="1" x14ac:dyDescent="0.25">
      <c r="A109" s="1409" t="s">
        <v>246</v>
      </c>
      <c r="B109" s="1410" t="s">
        <v>566</v>
      </c>
      <c r="C109" s="1641">
        <f t="shared" ref="C109:K109" si="4">SUM(C12,C18,C40,C63,C67,C75,C82,C93,C108,)</f>
        <v>15211778</v>
      </c>
      <c r="D109" s="1641">
        <f t="shared" si="4"/>
        <v>1880335</v>
      </c>
      <c r="E109" s="1641">
        <f t="shared" si="4"/>
        <v>1087978</v>
      </c>
      <c r="F109" s="1641">
        <f t="shared" si="4"/>
        <v>54448</v>
      </c>
      <c r="G109" s="1641">
        <f t="shared" si="4"/>
        <v>673439</v>
      </c>
      <c r="H109" s="1641">
        <f t="shared" si="4"/>
        <v>0</v>
      </c>
      <c r="I109" s="1641">
        <f t="shared" si="4"/>
        <v>185089</v>
      </c>
      <c r="J109" s="1641">
        <f t="shared" si="4"/>
        <v>190832</v>
      </c>
      <c r="K109" s="1629">
        <f t="shared" si="4"/>
        <v>288891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3650969</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3650969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173786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173786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3385</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10133</v>
      </c>
      <c r="G152" s="1574"/>
      <c r="H152" s="1575"/>
      <c r="I152" s="1575"/>
      <c r="J152" s="1575"/>
      <c r="K152" s="1575"/>
    </row>
    <row r="153" spans="1:11" ht="12.75" customHeight="1" x14ac:dyDescent="0.2">
      <c r="A153" s="427" t="s">
        <v>1048</v>
      </c>
      <c r="B153" s="478">
        <v>3510</v>
      </c>
      <c r="C153" s="1632"/>
      <c r="D153" s="1573"/>
      <c r="E153" s="1640"/>
      <c r="F153" s="1573">
        <v>372772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382905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267001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39721</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483893</v>
      </c>
      <c r="D169" s="1658">
        <f t="shared" si="6"/>
        <v>50000</v>
      </c>
      <c r="E169" s="1658">
        <f t="shared" si="6"/>
        <v>0</v>
      </c>
      <c r="F169" s="1658">
        <f t="shared" si="6"/>
        <v>382905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4134862</v>
      </c>
      <c r="D170" s="1641">
        <f t="shared" si="7"/>
        <v>50000</v>
      </c>
      <c r="E170" s="1641">
        <f t="shared" si="7"/>
        <v>0</v>
      </c>
      <c r="F170" s="1641">
        <f t="shared" si="7"/>
        <v>382905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1777</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254088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4406</v>
      </c>
      <c r="D193" s="1575"/>
      <c r="E193" s="1640"/>
      <c r="F193" s="1575"/>
      <c r="G193" s="1664"/>
      <c r="H193" s="1575"/>
      <c r="I193" s="1575"/>
      <c r="J193" s="1575"/>
      <c r="K193" s="1575"/>
    </row>
    <row r="194" spans="1:11" ht="12.75" customHeight="1" x14ac:dyDescent="0.2">
      <c r="A194" s="427" t="s">
        <v>1434</v>
      </c>
      <c r="B194" s="429">
        <v>4225</v>
      </c>
      <c r="C194" s="1632">
        <v>80020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338514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232242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6173</v>
      </c>
      <c r="D203" s="1573"/>
      <c r="E203" s="1575"/>
      <c r="F203" s="1573"/>
      <c r="G203" s="1573"/>
      <c r="H203" s="1575"/>
      <c r="I203" s="1575"/>
      <c r="J203" s="1575"/>
      <c r="K203" s="1575"/>
    </row>
    <row r="204" spans="1:11" ht="12.75" customHeight="1" thickBot="1" x14ac:dyDescent="0.25">
      <c r="A204" s="1406" t="s">
        <v>397</v>
      </c>
      <c r="B204" s="1407"/>
      <c r="C204" s="1633">
        <f>SUM(C200:C203)</f>
        <v>238415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32068</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32068</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7497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200988</v>
      </c>
      <c r="D213" s="1573"/>
      <c r="E213" s="1575"/>
      <c r="F213" s="1573"/>
      <c r="G213" s="1573"/>
      <c r="H213" s="1575"/>
      <c r="I213" s="1575"/>
      <c r="J213" s="1575"/>
      <c r="K213" s="1575"/>
    </row>
    <row r="214" spans="1:11" ht="12.75" customHeight="1" x14ac:dyDescent="0.2">
      <c r="A214" s="427" t="s">
        <v>1045</v>
      </c>
      <c r="B214" s="429">
        <v>4625</v>
      </c>
      <c r="C214" s="1632">
        <v>34094</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242579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37155</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43309</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26152</v>
      </c>
      <c r="D263" s="1651"/>
      <c r="E263" s="1575"/>
      <c r="F263" s="1651"/>
      <c r="G263" s="1651"/>
      <c r="H263" s="1575"/>
      <c r="I263" s="1575"/>
      <c r="J263" s="1575"/>
      <c r="K263" s="1575"/>
    </row>
    <row r="264" spans="1:11" ht="12.75" customHeight="1" thickTop="1" thickBot="1" x14ac:dyDescent="0.25">
      <c r="A264" s="427" t="s">
        <v>374</v>
      </c>
      <c r="B264" s="429">
        <v>4992</v>
      </c>
      <c r="C264" s="1650">
        <v>68414</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1026606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1026606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20373246</v>
      </c>
      <c r="D268" s="1641">
        <f t="shared" si="12"/>
        <v>1930335</v>
      </c>
      <c r="E268" s="1641">
        <f t="shared" si="12"/>
        <v>1087978</v>
      </c>
      <c r="F268" s="1641">
        <f t="shared" si="12"/>
        <v>437353</v>
      </c>
      <c r="G268" s="1641">
        <f t="shared" si="12"/>
        <v>673439</v>
      </c>
      <c r="H268" s="1641">
        <f t="shared" si="12"/>
        <v>0</v>
      </c>
      <c r="I268" s="1641">
        <f t="shared" si="12"/>
        <v>185089</v>
      </c>
      <c r="J268" s="1641">
        <f t="shared" si="12"/>
        <v>190832</v>
      </c>
      <c r="K268" s="1629">
        <f t="shared" si="12"/>
        <v>288891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8" activePane="bottomLeft" state="frozen"/>
      <selection pane="bottomLeft" activeCell="H78" sqref="H7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5375182</v>
      </c>
      <c r="D5" s="1573">
        <v>1425474</v>
      </c>
      <c r="E5" s="1573">
        <v>143053</v>
      </c>
      <c r="F5" s="1573">
        <v>365314</v>
      </c>
      <c r="G5" s="1573">
        <v>84617</v>
      </c>
      <c r="H5" s="1573"/>
      <c r="I5" s="1574"/>
      <c r="J5" s="1574"/>
      <c r="K5" s="1672">
        <f>SUM(C5:J5)</f>
        <v>7393640</v>
      </c>
      <c r="L5" s="1573">
        <v>8686800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1132474</v>
      </c>
      <c r="D8" s="1573">
        <v>297519</v>
      </c>
      <c r="E8" s="1573">
        <v>28973</v>
      </c>
      <c r="F8" s="1573">
        <v>4151</v>
      </c>
      <c r="G8" s="1573"/>
      <c r="H8" s="1573"/>
      <c r="I8" s="1574"/>
      <c r="J8" s="1574"/>
      <c r="K8" s="1672">
        <f t="shared" si="0"/>
        <v>1463117</v>
      </c>
      <c r="L8" s="1573">
        <v>1677300</v>
      </c>
    </row>
    <row r="9" spans="1:14" x14ac:dyDescent="0.2">
      <c r="A9" s="1274" t="s">
        <v>716</v>
      </c>
      <c r="B9" s="503" t="s">
        <v>962</v>
      </c>
      <c r="C9" s="1574">
        <v>179840</v>
      </c>
      <c r="D9" s="1574">
        <v>40757</v>
      </c>
      <c r="E9" s="1574">
        <v>70083</v>
      </c>
      <c r="F9" s="1574">
        <v>1735</v>
      </c>
      <c r="G9" s="1574"/>
      <c r="H9" s="1574"/>
      <c r="I9" s="1574"/>
      <c r="J9" s="1574"/>
      <c r="K9" s="1672">
        <f t="shared" si="0"/>
        <v>292415</v>
      </c>
      <c r="L9" s="1573">
        <v>316000</v>
      </c>
    </row>
    <row r="10" spans="1:14" x14ac:dyDescent="0.2">
      <c r="A10" s="1274" t="s">
        <v>717</v>
      </c>
      <c r="B10" s="503">
        <v>1250</v>
      </c>
      <c r="C10" s="1573">
        <v>214005</v>
      </c>
      <c r="D10" s="1573">
        <v>3210</v>
      </c>
      <c r="E10" s="1573"/>
      <c r="F10" s="1573">
        <v>428</v>
      </c>
      <c r="G10" s="1573"/>
      <c r="H10" s="1573"/>
      <c r="I10" s="1574"/>
      <c r="J10" s="1574"/>
      <c r="K10" s="1672">
        <f t="shared" si="0"/>
        <v>217643</v>
      </c>
      <c r="L10" s="1573">
        <v>229000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347884</v>
      </c>
      <c r="D14" s="1573">
        <v>4510</v>
      </c>
      <c r="E14" s="1573">
        <v>10886</v>
      </c>
      <c r="F14" s="1573">
        <v>258</v>
      </c>
      <c r="G14" s="1573">
        <v>840</v>
      </c>
      <c r="H14" s="1573"/>
      <c r="I14" s="1574"/>
      <c r="J14" s="1574"/>
      <c r="K14" s="1672">
        <f t="shared" si="0"/>
        <v>364378</v>
      </c>
      <c r="L14" s="1573">
        <v>407500</v>
      </c>
    </row>
    <row r="15" spans="1:14" x14ac:dyDescent="0.2">
      <c r="A15" s="1274" t="s">
        <v>958</v>
      </c>
      <c r="B15" s="503">
        <v>1600</v>
      </c>
      <c r="C15" s="1573">
        <v>18664</v>
      </c>
      <c r="D15" s="1573">
        <v>251</v>
      </c>
      <c r="E15" s="1573"/>
      <c r="F15" s="1573">
        <v>961</v>
      </c>
      <c r="G15" s="1573"/>
      <c r="H15" s="1573"/>
      <c r="I15" s="1574"/>
      <c r="J15" s="1574"/>
      <c r="K15" s="1672">
        <f t="shared" si="0"/>
        <v>19876</v>
      </c>
      <c r="L15" s="1573">
        <v>30500</v>
      </c>
    </row>
    <row r="16" spans="1:14" x14ac:dyDescent="0.2">
      <c r="A16" s="1274" t="s">
        <v>980</v>
      </c>
      <c r="B16" s="503" t="s">
        <v>421</v>
      </c>
      <c r="C16" s="1573">
        <v>93008</v>
      </c>
      <c r="D16" s="1573">
        <v>1433</v>
      </c>
      <c r="E16" s="1573">
        <v>2545</v>
      </c>
      <c r="F16" s="1573">
        <v>1467</v>
      </c>
      <c r="G16" s="1573"/>
      <c r="H16" s="1573"/>
      <c r="I16" s="1574"/>
      <c r="J16" s="1574"/>
      <c r="K16" s="1672">
        <f t="shared" si="0"/>
        <v>98453</v>
      </c>
      <c r="L16" s="1573">
        <v>119500</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338236</v>
      </c>
      <c r="D18" s="1573">
        <v>5112</v>
      </c>
      <c r="E18" s="1573"/>
      <c r="F18" s="1573"/>
      <c r="G18" s="1573"/>
      <c r="H18" s="1573"/>
      <c r="I18" s="1574"/>
      <c r="J18" s="1574"/>
      <c r="K18" s="1672">
        <f t="shared" si="0"/>
        <v>343348</v>
      </c>
      <c r="L18" s="1573">
        <v>377100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375262</v>
      </c>
      <c r="I22" s="1673"/>
      <c r="J22" s="1582"/>
      <c r="K22" s="1672">
        <f t="shared" si="0"/>
        <v>375262</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7699293</v>
      </c>
      <c r="D33" s="1674">
        <f t="shared" ref="D33:L33" si="1">SUM(D5:D32)</f>
        <v>1778266</v>
      </c>
      <c r="E33" s="1674">
        <f t="shared" si="1"/>
        <v>255540</v>
      </c>
      <c r="F33" s="1674">
        <f t="shared" si="1"/>
        <v>374314</v>
      </c>
      <c r="G33" s="1674">
        <f t="shared" si="1"/>
        <v>85457</v>
      </c>
      <c r="H33" s="1674">
        <f t="shared" si="1"/>
        <v>375262</v>
      </c>
      <c r="I33" s="1674">
        <f t="shared" si="1"/>
        <v>0</v>
      </c>
      <c r="J33" s="1674">
        <f t="shared" si="1"/>
        <v>0</v>
      </c>
      <c r="K33" s="1674">
        <f t="shared" si="1"/>
        <v>10568132</v>
      </c>
      <c r="L33" s="1674">
        <f t="shared" si="1"/>
        <v>11843700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251252</v>
      </c>
      <c r="D36" s="1586">
        <v>83249</v>
      </c>
      <c r="E36" s="1586">
        <v>1174</v>
      </c>
      <c r="F36" s="1586">
        <v>921</v>
      </c>
      <c r="G36" s="1586"/>
      <c r="H36" s="1586"/>
      <c r="I36" s="1574"/>
      <c r="J36" s="1574"/>
      <c r="K36" s="1672">
        <f t="shared" ref="K36:K41" si="2">SUM(C36:J36)</f>
        <v>336596</v>
      </c>
      <c r="L36" s="1573">
        <v>353650</v>
      </c>
    </row>
    <row r="37" spans="1:14" x14ac:dyDescent="0.2">
      <c r="A37" s="1274" t="s">
        <v>1081</v>
      </c>
      <c r="B37" s="503">
        <v>2120</v>
      </c>
      <c r="C37" s="1573"/>
      <c r="D37" s="1573"/>
      <c r="E37" s="1573"/>
      <c r="F37" s="1573"/>
      <c r="G37" s="1573"/>
      <c r="H37" s="1573"/>
      <c r="I37" s="1574"/>
      <c r="J37" s="1574"/>
      <c r="K37" s="1672">
        <f t="shared" si="2"/>
        <v>0</v>
      </c>
      <c r="L37" s="1573">
        <v>2500</v>
      </c>
    </row>
    <row r="38" spans="1:14" x14ac:dyDescent="0.2">
      <c r="A38" s="1274" t="s">
        <v>196</v>
      </c>
      <c r="B38" s="503">
        <v>2130</v>
      </c>
      <c r="C38" s="1573">
        <v>72555</v>
      </c>
      <c r="D38" s="1573">
        <v>30010</v>
      </c>
      <c r="E38" s="1573">
        <v>35442</v>
      </c>
      <c r="F38" s="1573">
        <v>8433</v>
      </c>
      <c r="G38" s="1573"/>
      <c r="H38" s="1573"/>
      <c r="I38" s="1574"/>
      <c r="J38" s="1574"/>
      <c r="K38" s="1672">
        <f t="shared" si="2"/>
        <v>146440</v>
      </c>
      <c r="L38" s="1573">
        <v>251000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157034</v>
      </c>
      <c r="D40" s="1573">
        <v>28241</v>
      </c>
      <c r="E40" s="1573">
        <v>24807</v>
      </c>
      <c r="F40" s="1573">
        <v>468</v>
      </c>
      <c r="G40" s="1573"/>
      <c r="H40" s="1573"/>
      <c r="I40" s="1574"/>
      <c r="J40" s="1574"/>
      <c r="K40" s="1672">
        <f t="shared" si="2"/>
        <v>210550</v>
      </c>
      <c r="L40" s="1573">
        <v>237650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480841</v>
      </c>
      <c r="D42" s="1674">
        <f t="shared" ref="D42:L42" si="3">SUM(D36:D41)</f>
        <v>141500</v>
      </c>
      <c r="E42" s="1674">
        <f t="shared" si="3"/>
        <v>61423</v>
      </c>
      <c r="F42" s="1674">
        <f t="shared" si="3"/>
        <v>9822</v>
      </c>
      <c r="G42" s="1674">
        <f t="shared" si="3"/>
        <v>0</v>
      </c>
      <c r="H42" s="1674">
        <f t="shared" si="3"/>
        <v>0</v>
      </c>
      <c r="I42" s="1674">
        <f t="shared" si="3"/>
        <v>0</v>
      </c>
      <c r="J42" s="1674">
        <f t="shared" si="3"/>
        <v>0</v>
      </c>
      <c r="K42" s="1674">
        <f t="shared" si="3"/>
        <v>693586</v>
      </c>
      <c r="L42" s="1674">
        <f t="shared" si="3"/>
        <v>844800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211327</v>
      </c>
      <c r="D44" s="1586">
        <v>74293</v>
      </c>
      <c r="E44" s="1586">
        <v>306946</v>
      </c>
      <c r="F44" s="1586">
        <v>12557</v>
      </c>
      <c r="G44" s="1586">
        <v>89641</v>
      </c>
      <c r="H44" s="1586">
        <v>288</v>
      </c>
      <c r="I44" s="1574"/>
      <c r="J44" s="1574"/>
      <c r="K44" s="1678">
        <f>SUM(C44:J44)</f>
        <v>695052</v>
      </c>
      <c r="L44" s="1586">
        <v>804350</v>
      </c>
    </row>
    <row r="45" spans="1:14" x14ac:dyDescent="0.2">
      <c r="A45" s="1274" t="s">
        <v>810</v>
      </c>
      <c r="B45" s="503">
        <v>2220</v>
      </c>
      <c r="C45" s="1573">
        <v>89544</v>
      </c>
      <c r="D45" s="1573"/>
      <c r="E45" s="1573"/>
      <c r="F45" s="1573">
        <v>19279</v>
      </c>
      <c r="G45" s="1573"/>
      <c r="H45" s="1573"/>
      <c r="I45" s="1574"/>
      <c r="J45" s="1574"/>
      <c r="K45" s="1678">
        <f>SUM(C45:J45)</f>
        <v>108823</v>
      </c>
      <c r="L45" s="1573">
        <v>119700</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300871</v>
      </c>
      <c r="D47" s="1674">
        <f t="shared" ref="D47:K47" si="4">SUM(D44:D46)</f>
        <v>74293</v>
      </c>
      <c r="E47" s="1674">
        <f t="shared" si="4"/>
        <v>306946</v>
      </c>
      <c r="F47" s="1674">
        <f t="shared" si="4"/>
        <v>31836</v>
      </c>
      <c r="G47" s="1674">
        <f t="shared" si="4"/>
        <v>89641</v>
      </c>
      <c r="H47" s="1674">
        <f t="shared" si="4"/>
        <v>288</v>
      </c>
      <c r="I47" s="1674">
        <f t="shared" si="4"/>
        <v>0</v>
      </c>
      <c r="J47" s="1674">
        <f t="shared" si="4"/>
        <v>0</v>
      </c>
      <c r="K47" s="1674">
        <f t="shared" si="4"/>
        <v>803875</v>
      </c>
      <c r="L47" s="1674">
        <f>SUM(L44:L46)</f>
        <v>924050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151196</v>
      </c>
      <c r="F49" s="1586">
        <v>10957</v>
      </c>
      <c r="G49" s="1586"/>
      <c r="H49" s="1586">
        <v>8221</v>
      </c>
      <c r="I49" s="1574"/>
      <c r="J49" s="1574"/>
      <c r="K49" s="1678">
        <f>SUM(C49:J49)</f>
        <v>170374</v>
      </c>
      <c r="L49" s="1586">
        <v>248000</v>
      </c>
    </row>
    <row r="50" spans="1:14" x14ac:dyDescent="0.2">
      <c r="A50" s="1274" t="s">
        <v>813</v>
      </c>
      <c r="B50" s="503">
        <v>2320</v>
      </c>
      <c r="C50" s="1573">
        <v>228796</v>
      </c>
      <c r="D50" s="1573">
        <v>54831</v>
      </c>
      <c r="E50" s="1573">
        <v>6625</v>
      </c>
      <c r="F50" s="1573">
        <v>2121</v>
      </c>
      <c r="G50" s="1573"/>
      <c r="H50" s="1573">
        <v>1058</v>
      </c>
      <c r="I50" s="1574"/>
      <c r="J50" s="1574"/>
      <c r="K50" s="1678">
        <f>SUM(C50:J50)</f>
        <v>293431</v>
      </c>
      <c r="L50" s="1573">
        <v>308000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228796</v>
      </c>
      <c r="D53" s="1674">
        <f t="shared" ref="D53:L53" si="5">SUM(D49:D52)</f>
        <v>54831</v>
      </c>
      <c r="E53" s="1674">
        <f t="shared" si="5"/>
        <v>157821</v>
      </c>
      <c r="F53" s="1674">
        <f t="shared" si="5"/>
        <v>13078</v>
      </c>
      <c r="G53" s="1674">
        <f t="shared" si="5"/>
        <v>0</v>
      </c>
      <c r="H53" s="1674">
        <f t="shared" si="5"/>
        <v>9279</v>
      </c>
      <c r="I53" s="1674">
        <f t="shared" si="5"/>
        <v>0</v>
      </c>
      <c r="J53" s="1674">
        <f t="shared" si="5"/>
        <v>0</v>
      </c>
      <c r="K53" s="1674">
        <f t="shared" si="5"/>
        <v>463805</v>
      </c>
      <c r="L53" s="1674">
        <f t="shared" si="5"/>
        <v>556000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913446</v>
      </c>
      <c r="D55" s="1586">
        <v>255921</v>
      </c>
      <c r="E55" s="1586">
        <v>4762</v>
      </c>
      <c r="F55" s="1586">
        <v>360</v>
      </c>
      <c r="G55" s="1586"/>
      <c r="H55" s="1586">
        <v>976</v>
      </c>
      <c r="I55" s="1574"/>
      <c r="J55" s="1574"/>
      <c r="K55" s="1678">
        <f>SUM(C55:J55)</f>
        <v>1175465</v>
      </c>
      <c r="L55" s="1586">
        <v>1237600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913446</v>
      </c>
      <c r="D57" s="1679">
        <f t="shared" ref="D57:K57" si="6">SUM(D55:D56)</f>
        <v>255921</v>
      </c>
      <c r="E57" s="1679">
        <f t="shared" si="6"/>
        <v>4762</v>
      </c>
      <c r="F57" s="1679">
        <f t="shared" si="6"/>
        <v>360</v>
      </c>
      <c r="G57" s="1679">
        <f t="shared" si="6"/>
        <v>0</v>
      </c>
      <c r="H57" s="1679">
        <f t="shared" si="6"/>
        <v>976</v>
      </c>
      <c r="I57" s="1679">
        <f t="shared" si="6"/>
        <v>0</v>
      </c>
      <c r="J57" s="1679">
        <f t="shared" si="6"/>
        <v>0</v>
      </c>
      <c r="K57" s="1679">
        <f t="shared" si="6"/>
        <v>1175465</v>
      </c>
      <c r="L57" s="1674">
        <f>SUM(L55:L56)</f>
        <v>1237600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189474</v>
      </c>
      <c r="D60" s="1573">
        <v>40746</v>
      </c>
      <c r="E60" s="1573">
        <v>6248</v>
      </c>
      <c r="F60" s="1573">
        <v>1113</v>
      </c>
      <c r="G60" s="1573"/>
      <c r="H60" s="1573">
        <v>5374</v>
      </c>
      <c r="I60" s="1574"/>
      <c r="J60" s="1574"/>
      <c r="K60" s="1678">
        <f t="shared" si="7"/>
        <v>242955</v>
      </c>
      <c r="L60" s="1573">
        <v>253500</v>
      </c>
      <c r="M60" s="501"/>
      <c r="N60" s="501"/>
    </row>
    <row r="61" spans="1:14" s="321" customFormat="1" x14ac:dyDescent="0.2">
      <c r="A61" s="1274" t="s">
        <v>195</v>
      </c>
      <c r="B61" s="503">
        <v>2540</v>
      </c>
      <c r="C61" s="1573"/>
      <c r="D61" s="1573"/>
      <c r="E61" s="1573">
        <v>205611</v>
      </c>
      <c r="F61" s="1573">
        <v>249465</v>
      </c>
      <c r="G61" s="1573"/>
      <c r="H61" s="1573"/>
      <c r="I61" s="1574"/>
      <c r="J61" s="1574"/>
      <c r="K61" s="1678">
        <f t="shared" si="7"/>
        <v>455076</v>
      </c>
      <c r="L61" s="1573">
        <v>391000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22810</v>
      </c>
      <c r="D63" s="1573">
        <v>3330</v>
      </c>
      <c r="E63" s="1573">
        <v>383860</v>
      </c>
      <c r="F63" s="1573">
        <v>6719</v>
      </c>
      <c r="G63" s="1573"/>
      <c r="H63" s="1573"/>
      <c r="I63" s="1574"/>
      <c r="J63" s="1574"/>
      <c r="K63" s="1678">
        <f t="shared" si="7"/>
        <v>416719</v>
      </c>
      <c r="L63" s="1573">
        <v>467500</v>
      </c>
    </row>
    <row r="64" spans="1:14" s="501" customFormat="1" x14ac:dyDescent="0.2">
      <c r="A64" s="1279" t="s">
        <v>101</v>
      </c>
      <c r="B64" s="513">
        <v>2570</v>
      </c>
      <c r="C64" s="1586"/>
      <c r="D64" s="1586"/>
      <c r="E64" s="1586">
        <v>8412</v>
      </c>
      <c r="F64" s="1586"/>
      <c r="G64" s="1586">
        <v>10373</v>
      </c>
      <c r="H64" s="1586"/>
      <c r="I64" s="1574"/>
      <c r="J64" s="1574"/>
      <c r="K64" s="1678">
        <f t="shared" si="7"/>
        <v>18785</v>
      </c>
      <c r="L64" s="1586">
        <v>23000</v>
      </c>
    </row>
    <row r="65" spans="1:14" s="321" customFormat="1" ht="12.75" customHeight="1" thickBot="1" x14ac:dyDescent="0.25">
      <c r="A65" s="1380" t="s">
        <v>714</v>
      </c>
      <c r="B65" s="1381" t="s">
        <v>35</v>
      </c>
      <c r="C65" s="1674">
        <f>SUM(C59:C64)</f>
        <v>212284</v>
      </c>
      <c r="D65" s="1674">
        <f t="shared" ref="D65:L65" si="8">SUM(D59:D64)</f>
        <v>44076</v>
      </c>
      <c r="E65" s="1674">
        <f t="shared" si="8"/>
        <v>604131</v>
      </c>
      <c r="F65" s="1674">
        <f t="shared" si="8"/>
        <v>257297</v>
      </c>
      <c r="G65" s="1674">
        <f t="shared" si="8"/>
        <v>10373</v>
      </c>
      <c r="H65" s="1674">
        <f t="shared" si="8"/>
        <v>5374</v>
      </c>
      <c r="I65" s="1674">
        <f t="shared" si="8"/>
        <v>0</v>
      </c>
      <c r="J65" s="1674">
        <f t="shared" si="8"/>
        <v>0</v>
      </c>
      <c r="K65" s="1674">
        <f t="shared" si="8"/>
        <v>1133535</v>
      </c>
      <c r="L65" s="1674">
        <f t="shared" si="8"/>
        <v>1135000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v>38988</v>
      </c>
      <c r="F68" s="1573"/>
      <c r="G68" s="1573"/>
      <c r="H68" s="1573"/>
      <c r="I68" s="1574"/>
      <c r="J68" s="1574"/>
      <c r="K68" s="1678">
        <f>SUM(C68:J68)</f>
        <v>38988</v>
      </c>
      <c r="L68" s="1573">
        <v>40000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38988</v>
      </c>
      <c r="F72" s="1674">
        <f t="shared" si="9"/>
        <v>0</v>
      </c>
      <c r="G72" s="1674">
        <f t="shared" si="9"/>
        <v>0</v>
      </c>
      <c r="H72" s="1674">
        <f t="shared" si="9"/>
        <v>0</v>
      </c>
      <c r="I72" s="1674">
        <f t="shared" si="9"/>
        <v>0</v>
      </c>
      <c r="J72" s="1674">
        <f t="shared" si="9"/>
        <v>0</v>
      </c>
      <c r="K72" s="1674">
        <f t="shared" si="9"/>
        <v>38988</v>
      </c>
      <c r="L72" s="1674">
        <f>SUM(L67:L71)</f>
        <v>40000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1000</v>
      </c>
      <c r="M73" s="501"/>
      <c r="N73" s="501"/>
    </row>
    <row r="74" spans="1:14" ht="12.75" customHeight="1" thickTop="1" thickBot="1" x14ac:dyDescent="0.25">
      <c r="A74" s="1380" t="s">
        <v>806</v>
      </c>
      <c r="B74" s="1384">
        <v>2000</v>
      </c>
      <c r="C74" s="1681">
        <f>SUM(C42,C47,C53,C57,C65,C72,C73)</f>
        <v>2136238</v>
      </c>
      <c r="D74" s="1681">
        <f t="shared" ref="D74:K74" si="10">SUM(D42,D47,D53,D57,D65,D72,D73)</f>
        <v>570621</v>
      </c>
      <c r="E74" s="1681">
        <f t="shared" si="10"/>
        <v>1174071</v>
      </c>
      <c r="F74" s="1681">
        <f t="shared" si="10"/>
        <v>312393</v>
      </c>
      <c r="G74" s="1681">
        <f t="shared" si="10"/>
        <v>100014</v>
      </c>
      <c r="H74" s="1681">
        <f t="shared" si="10"/>
        <v>15917</v>
      </c>
      <c r="I74" s="1681">
        <f t="shared" si="10"/>
        <v>0</v>
      </c>
      <c r="J74" s="1681">
        <f t="shared" si="10"/>
        <v>0</v>
      </c>
      <c r="K74" s="1681">
        <f t="shared" si="10"/>
        <v>4309254</v>
      </c>
      <c r="L74" s="1681">
        <f>SUM(L42,L47,L53,L57,L65,L72,L73)</f>
        <v>4738450</v>
      </c>
    </row>
    <row r="75" spans="1:14" s="254" customFormat="1" ht="15.75" customHeight="1" thickTop="1" thickBot="1" x14ac:dyDescent="0.25">
      <c r="A75" s="1348" t="s">
        <v>47</v>
      </c>
      <c r="B75" s="1349" t="s">
        <v>571</v>
      </c>
      <c r="C75" s="1649">
        <v>10561</v>
      </c>
      <c r="D75" s="1649"/>
      <c r="E75" s="1649">
        <v>192</v>
      </c>
      <c r="F75" s="1649">
        <v>893</v>
      </c>
      <c r="G75" s="1649"/>
      <c r="H75" s="1649"/>
      <c r="I75" s="1627"/>
      <c r="J75" s="1627"/>
      <c r="K75" s="1674">
        <f>SUM(C75:J75)</f>
        <v>11646</v>
      </c>
      <c r="L75" s="1651">
        <v>21100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238307</v>
      </c>
      <c r="I79" s="1582"/>
      <c r="J79" s="1582"/>
      <c r="K79" s="1672">
        <f t="shared" si="11"/>
        <v>238307</v>
      </c>
      <c r="L79" s="1573">
        <v>1340000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238307</v>
      </c>
      <c r="I84" s="1582"/>
      <c r="J84" s="1582"/>
      <c r="K84" s="1674">
        <f>SUM(K78:K83)</f>
        <v>238307</v>
      </c>
      <c r="L84" s="1674">
        <f>SUM(L78:L83)</f>
        <v>1340000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580846</v>
      </c>
      <c r="I86" s="1582"/>
      <c r="J86" s="1582"/>
      <c r="K86" s="1681">
        <f t="shared" ref="K86:K98" si="12">H86</f>
        <v>580846</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580846</v>
      </c>
      <c r="I92" s="1582"/>
      <c r="J92" s="1582"/>
      <c r="K92" s="1681">
        <f t="shared" si="12"/>
        <v>580846</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819153</v>
      </c>
      <c r="I102" s="1582"/>
      <c r="J102" s="1582"/>
      <c r="K102" s="1681">
        <f>SUM(K84,K92,K100,K101)</f>
        <v>819153</v>
      </c>
      <c r="L102" s="1681">
        <f>SUM(L84,L92,L100,L101)</f>
        <v>1340000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9846092</v>
      </c>
      <c r="D114" s="1674">
        <f t="shared" ref="D114:K114" si="13">SUM(D33,D74,D75,D102,D112,D113)</f>
        <v>2348887</v>
      </c>
      <c r="E114" s="1674">
        <f t="shared" si="13"/>
        <v>1429803</v>
      </c>
      <c r="F114" s="1674">
        <f t="shared" si="13"/>
        <v>687600</v>
      </c>
      <c r="G114" s="1674">
        <f t="shared" si="13"/>
        <v>185471</v>
      </c>
      <c r="H114" s="1674">
        <f>SUM(H33,H74,H75,H102,H112,H113)</f>
        <v>1210332</v>
      </c>
      <c r="I114" s="1674">
        <f t="shared" si="13"/>
        <v>0</v>
      </c>
      <c r="J114" s="1674">
        <f t="shared" si="13"/>
        <v>0</v>
      </c>
      <c r="K114" s="1674">
        <f t="shared" si="13"/>
        <v>15708185</v>
      </c>
      <c r="L114" s="1674">
        <f>SUM(L33,L74,L75,L102,L112,L113)</f>
        <v>17943250</v>
      </c>
    </row>
    <row r="115" spans="1:14" ht="13.5" thickTop="1" x14ac:dyDescent="0.2">
      <c r="A115" s="2286" t="s">
        <v>989</v>
      </c>
      <c r="B115" s="2287"/>
      <c r="C115" s="1675"/>
      <c r="D115" s="1675"/>
      <c r="E115" s="1675"/>
      <c r="F115" s="1675"/>
      <c r="G115" s="1675"/>
      <c r="H115" s="1675"/>
      <c r="I115" s="1675"/>
      <c r="J115" s="1675"/>
      <c r="K115" s="1689">
        <f>'Revenues 9-14'!C268-'Expenditures 15-22'!K114</f>
        <v>4665061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918955</v>
      </c>
      <c r="D124" s="1573">
        <v>206094</v>
      </c>
      <c r="E124" s="1573">
        <v>278769</v>
      </c>
      <c r="F124" s="1573">
        <v>90819</v>
      </c>
      <c r="G124" s="1573">
        <v>2892361</v>
      </c>
      <c r="H124" s="1573"/>
      <c r="I124" s="1574"/>
      <c r="J124" s="1574"/>
      <c r="K124" s="1674">
        <f>SUM(C124:J124)</f>
        <v>4386998</v>
      </c>
      <c r="L124" s="1573">
        <v>5640250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918955</v>
      </c>
      <c r="D127" s="1674">
        <f t="shared" ref="D127:L127" si="14">SUM(D122:D126)</f>
        <v>206094</v>
      </c>
      <c r="E127" s="1674">
        <f t="shared" si="14"/>
        <v>278769</v>
      </c>
      <c r="F127" s="1674">
        <f t="shared" si="14"/>
        <v>90819</v>
      </c>
      <c r="G127" s="1674">
        <f t="shared" si="14"/>
        <v>2892361</v>
      </c>
      <c r="H127" s="1674">
        <f t="shared" si="14"/>
        <v>0</v>
      </c>
      <c r="I127" s="1674">
        <f t="shared" si="14"/>
        <v>0</v>
      </c>
      <c r="J127" s="1674">
        <f t="shared" si="14"/>
        <v>0</v>
      </c>
      <c r="K127" s="1674">
        <f t="shared" si="14"/>
        <v>4386998</v>
      </c>
      <c r="L127" s="1674">
        <f t="shared" si="14"/>
        <v>5640250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918955</v>
      </c>
      <c r="D129" s="1681">
        <f t="shared" ref="D129:L129" si="15">SUM(D120,D127,D128)</f>
        <v>206094</v>
      </c>
      <c r="E129" s="1681">
        <f t="shared" si="15"/>
        <v>278769</v>
      </c>
      <c r="F129" s="1681">
        <f t="shared" si="15"/>
        <v>90819</v>
      </c>
      <c r="G129" s="1681">
        <f t="shared" si="15"/>
        <v>2892361</v>
      </c>
      <c r="H129" s="1681">
        <f t="shared" si="15"/>
        <v>0</v>
      </c>
      <c r="I129" s="1681">
        <f t="shared" si="15"/>
        <v>0</v>
      </c>
      <c r="J129" s="1681">
        <f t="shared" si="15"/>
        <v>0</v>
      </c>
      <c r="K129" s="1681">
        <f t="shared" si="15"/>
        <v>4386998</v>
      </c>
      <c r="L129" s="1681">
        <f t="shared" si="15"/>
        <v>5640250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918955</v>
      </c>
      <c r="D151" s="1674">
        <f t="shared" ref="D151:K151" si="16">SUM(D129,D130,D139,D149,D150)</f>
        <v>206094</v>
      </c>
      <c r="E151" s="1674">
        <f t="shared" si="16"/>
        <v>278769</v>
      </c>
      <c r="F151" s="1674">
        <f t="shared" si="16"/>
        <v>90819</v>
      </c>
      <c r="G151" s="1674">
        <f t="shared" si="16"/>
        <v>2892361</v>
      </c>
      <c r="H151" s="1674">
        <f t="shared" si="16"/>
        <v>0</v>
      </c>
      <c r="I151" s="1674">
        <f t="shared" si="16"/>
        <v>0</v>
      </c>
      <c r="J151" s="1674">
        <f t="shared" si="16"/>
        <v>0</v>
      </c>
      <c r="K151" s="1674">
        <f t="shared" si="16"/>
        <v>4386998</v>
      </c>
      <c r="L151" s="1674">
        <f>SUM(L129,L130,L139,L149,L150)</f>
        <v>5640250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-2456663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882095</v>
      </c>
      <c r="I169" s="1673"/>
      <c r="J169" s="1673"/>
      <c r="K169" s="1672">
        <f>SUM(C169:H169)</f>
        <v>882095</v>
      </c>
      <c r="L169" s="1695">
        <v>400000</v>
      </c>
    </row>
    <row r="170" spans="1:14" ht="33.75" customHeight="1" x14ac:dyDescent="0.2">
      <c r="A170" s="543" t="s">
        <v>1651</v>
      </c>
      <c r="B170" s="545" t="s">
        <v>31</v>
      </c>
      <c r="C170" s="1673"/>
      <c r="D170" s="1673"/>
      <c r="E170" s="1673"/>
      <c r="F170" s="1673"/>
      <c r="G170" s="1673"/>
      <c r="H170" s="1646">
        <v>169349</v>
      </c>
      <c r="I170" s="1673"/>
      <c r="J170" s="1673"/>
      <c r="K170" s="1672">
        <f>SUM(C170:J170)</f>
        <v>169349</v>
      </c>
      <c r="L170" s="1646">
        <v>715000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1051444</v>
      </c>
      <c r="I172" s="1684"/>
      <c r="J172" s="1673"/>
      <c r="K172" s="1681">
        <f>SUM(K168,K169,K170,K171)</f>
        <v>1051444</v>
      </c>
      <c r="L172" s="1681">
        <f>SUM(L168,L169,L170,L171)</f>
        <v>1115000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1051444</v>
      </c>
      <c r="I174" s="1684"/>
      <c r="J174" s="1673"/>
      <c r="K174" s="1681">
        <f>SUM(K160,K172,K173)</f>
        <v>1051444</v>
      </c>
      <c r="L174" s="1681">
        <f>SUM(L160,L172,L173)</f>
        <v>1115000</v>
      </c>
    </row>
    <row r="175" spans="1:14" ht="13.5" thickTop="1" x14ac:dyDescent="0.2">
      <c r="A175" s="2286" t="s">
        <v>989</v>
      </c>
      <c r="B175" s="2287"/>
      <c r="C175" s="1673"/>
      <c r="D175" s="1673"/>
      <c r="E175" s="1673"/>
      <c r="F175" s="1673"/>
      <c r="G175" s="1673"/>
      <c r="H175" s="1675"/>
      <c r="I175" s="1673"/>
      <c r="J175" s="1673"/>
      <c r="K175" s="1689">
        <f>'Revenues 9-14'!E268-'Expenditures 15-22'!K174</f>
        <v>36534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191225</v>
      </c>
      <c r="D182" s="1573">
        <v>23702</v>
      </c>
      <c r="E182" s="1573">
        <v>264891</v>
      </c>
      <c r="F182" s="1573">
        <v>22540</v>
      </c>
      <c r="G182" s="1573">
        <v>57185</v>
      </c>
      <c r="H182" s="1573"/>
      <c r="I182" s="1574"/>
      <c r="J182" s="1574"/>
      <c r="K182" s="1672">
        <f>SUM(C182:J182)</f>
        <v>559543</v>
      </c>
      <c r="L182" s="1573">
        <v>1007000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191225</v>
      </c>
      <c r="D184" s="1681">
        <f t="shared" ref="D184:J184" si="17">SUM(D180,D182,D183)</f>
        <v>23702</v>
      </c>
      <c r="E184" s="1681">
        <f t="shared" si="17"/>
        <v>264891</v>
      </c>
      <c r="F184" s="1681">
        <f t="shared" si="17"/>
        <v>22540</v>
      </c>
      <c r="G184" s="1681">
        <f t="shared" si="17"/>
        <v>57185</v>
      </c>
      <c r="H184" s="1681">
        <f t="shared" si="17"/>
        <v>0</v>
      </c>
      <c r="I184" s="1681">
        <f t="shared" si="17"/>
        <v>0</v>
      </c>
      <c r="J184" s="1681">
        <f t="shared" si="17"/>
        <v>0</v>
      </c>
      <c r="K184" s="1681">
        <f>SUM(K180,K182,K183)</f>
        <v>559543</v>
      </c>
      <c r="L184" s="1681">
        <f>SUM(L180, L182:L183)</f>
        <v>1007000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191225</v>
      </c>
      <c r="D210" s="1674">
        <f>SUM(D184,D185)</f>
        <v>23702</v>
      </c>
      <c r="E210" s="1674">
        <f>SUM(E184,E185,E196)</f>
        <v>264891</v>
      </c>
      <c r="F210" s="1674">
        <f>SUM(F184,F185)</f>
        <v>22540</v>
      </c>
      <c r="G210" s="1674">
        <f>SUM(G184,G185)</f>
        <v>57185</v>
      </c>
      <c r="H210" s="1674">
        <f>SUM(H184,H185,H196,H208,H209)</f>
        <v>0</v>
      </c>
      <c r="I210" s="1674">
        <f>SUM(I184,I185)</f>
        <v>0</v>
      </c>
      <c r="J210" s="1674">
        <f>SUM(J184,J185)</f>
        <v>0</v>
      </c>
      <c r="K210" s="1672">
        <f>SUM(K184,K185,K196,K208,K209)</f>
        <v>559543</v>
      </c>
      <c r="L210" s="1674">
        <f>SUM(L184,L185,L196,L208,L209)</f>
        <v>1007000</v>
      </c>
    </row>
    <row r="211" spans="1:14" ht="13.5" thickTop="1" x14ac:dyDescent="0.2">
      <c r="A211" s="2286" t="s">
        <v>989</v>
      </c>
      <c r="B211" s="2287"/>
      <c r="C211" s="1675"/>
      <c r="D211" s="1675"/>
      <c r="E211" s="1675"/>
      <c r="F211" s="1675"/>
      <c r="G211" s="1675"/>
      <c r="H211" s="1675"/>
      <c r="I211" s="1673"/>
      <c r="J211" s="1673"/>
      <c r="K211" s="1689">
        <f>'Revenues 9-14'!F268-'Expenditures 15-22'!K210</f>
        <v>-122190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84276</v>
      </c>
      <c r="E215" s="1673"/>
      <c r="F215" s="1673"/>
      <c r="G215" s="1673"/>
      <c r="H215" s="1673"/>
      <c r="I215" s="1673"/>
      <c r="J215" s="1673"/>
      <c r="K215" s="1672">
        <f>D215</f>
        <v>84276</v>
      </c>
      <c r="L215" s="1573">
        <v>96500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49923</v>
      </c>
      <c r="E217" s="1673"/>
      <c r="F217" s="1673"/>
      <c r="G217" s="1673"/>
      <c r="H217" s="1673"/>
      <c r="I217" s="1673"/>
      <c r="J217" s="1673"/>
      <c r="K217" s="1672">
        <f t="shared" si="19"/>
        <v>49923</v>
      </c>
      <c r="L217" s="1573">
        <v>50500</v>
      </c>
    </row>
    <row r="218" spans="1:14" x14ac:dyDescent="0.2">
      <c r="A218" s="1274" t="s">
        <v>276</v>
      </c>
      <c r="B218" s="503" t="s">
        <v>962</v>
      </c>
      <c r="C218" s="1673"/>
      <c r="D218" s="1574">
        <v>3989</v>
      </c>
      <c r="E218" s="1673"/>
      <c r="F218" s="1673"/>
      <c r="G218" s="1673"/>
      <c r="H218" s="1673"/>
      <c r="I218" s="1673"/>
      <c r="J218" s="1673"/>
      <c r="K218" s="1672">
        <f t="shared" si="19"/>
        <v>3989</v>
      </c>
      <c r="L218" s="1573">
        <v>13000</v>
      </c>
    </row>
    <row r="219" spans="1:14" x14ac:dyDescent="0.2">
      <c r="A219" s="1274" t="s">
        <v>277</v>
      </c>
      <c r="B219" s="503">
        <v>1250</v>
      </c>
      <c r="C219" s="1673"/>
      <c r="D219" s="1573">
        <v>2966</v>
      </c>
      <c r="E219" s="1673"/>
      <c r="F219" s="1673"/>
      <c r="G219" s="1673"/>
      <c r="H219" s="1673"/>
      <c r="I219" s="1673"/>
      <c r="J219" s="1673"/>
      <c r="K219" s="1672">
        <f t="shared" si="19"/>
        <v>2966</v>
      </c>
      <c r="L219" s="1573">
        <v>2500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13411</v>
      </c>
      <c r="E223" s="1673"/>
      <c r="F223" s="1673"/>
      <c r="G223" s="1673"/>
      <c r="H223" s="1673"/>
      <c r="I223" s="1673"/>
      <c r="J223" s="1673"/>
      <c r="K223" s="1672">
        <f t="shared" si="19"/>
        <v>13411</v>
      </c>
      <c r="L223" s="1573">
        <v>13000</v>
      </c>
    </row>
    <row r="224" spans="1:14" x14ac:dyDescent="0.2">
      <c r="A224" s="1274" t="s">
        <v>958</v>
      </c>
      <c r="B224" s="503">
        <v>1600</v>
      </c>
      <c r="C224" s="1673"/>
      <c r="D224" s="1573">
        <v>552</v>
      </c>
      <c r="E224" s="1673"/>
      <c r="F224" s="1673"/>
      <c r="G224" s="1673"/>
      <c r="H224" s="1673"/>
      <c r="I224" s="1673"/>
      <c r="J224" s="1673"/>
      <c r="K224" s="1672">
        <f t="shared" si="19"/>
        <v>552</v>
      </c>
      <c r="L224" s="1573">
        <v>2500</v>
      </c>
    </row>
    <row r="225" spans="1:12" x14ac:dyDescent="0.2">
      <c r="A225" s="1274" t="s">
        <v>980</v>
      </c>
      <c r="B225" s="503">
        <v>1650</v>
      </c>
      <c r="C225" s="1673"/>
      <c r="D225" s="1573">
        <v>1290</v>
      </c>
      <c r="E225" s="1673"/>
      <c r="F225" s="1673"/>
      <c r="G225" s="1673"/>
      <c r="H225" s="1673"/>
      <c r="I225" s="1673"/>
      <c r="J225" s="1673"/>
      <c r="K225" s="1672">
        <f t="shared" si="19"/>
        <v>1290</v>
      </c>
      <c r="L225" s="1573">
        <v>2000</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4773</v>
      </c>
      <c r="E227" s="1673"/>
      <c r="F227" s="1673"/>
      <c r="G227" s="1673"/>
      <c r="H227" s="1673"/>
      <c r="I227" s="1673"/>
      <c r="J227" s="1673"/>
      <c r="K227" s="1672">
        <f t="shared" si="19"/>
        <v>4773</v>
      </c>
      <c r="L227" s="1573">
        <v>6000</v>
      </c>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161180</v>
      </c>
      <c r="E229" s="1673"/>
      <c r="F229" s="1673"/>
      <c r="G229" s="1673"/>
      <c r="H229" s="1673"/>
      <c r="I229" s="1673"/>
      <c r="J229" s="1673"/>
      <c r="K229" s="1674">
        <f>SUM(K215:K228)</f>
        <v>161180</v>
      </c>
      <c r="L229" s="1674">
        <f>SUM(L215:L228)</f>
        <v>186000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3437</v>
      </c>
      <c r="E232" s="1673"/>
      <c r="F232" s="1673"/>
      <c r="G232" s="1673"/>
      <c r="H232" s="1673"/>
      <c r="I232" s="1673"/>
      <c r="J232" s="1673"/>
      <c r="K232" s="1672">
        <f t="shared" ref="K232:K237" si="20">D232</f>
        <v>3437</v>
      </c>
      <c r="L232" s="1573">
        <v>4000</v>
      </c>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13562</v>
      </c>
      <c r="E234" s="1673"/>
      <c r="F234" s="1673"/>
      <c r="G234" s="1673"/>
      <c r="H234" s="1673"/>
      <c r="I234" s="1673"/>
      <c r="J234" s="1673"/>
      <c r="K234" s="1672">
        <f t="shared" si="20"/>
        <v>13562</v>
      </c>
      <c r="L234" s="1573">
        <v>12000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2223</v>
      </c>
      <c r="E236" s="1673"/>
      <c r="F236" s="1673"/>
      <c r="G236" s="1673"/>
      <c r="H236" s="1673"/>
      <c r="I236" s="1673"/>
      <c r="J236" s="1673"/>
      <c r="K236" s="1672">
        <f t="shared" si="20"/>
        <v>2223</v>
      </c>
      <c r="L236" s="1573">
        <v>3000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19222</v>
      </c>
      <c r="E238" s="1673"/>
      <c r="F238" s="1673"/>
      <c r="G238" s="1673"/>
      <c r="H238" s="1673"/>
      <c r="I238" s="1673"/>
      <c r="J238" s="1673"/>
      <c r="K238" s="1674">
        <f>SUM(K232:K237)</f>
        <v>19222</v>
      </c>
      <c r="L238" s="1674">
        <f>SUM(L232:L237)</f>
        <v>19000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23354</v>
      </c>
      <c r="E240" s="1673"/>
      <c r="F240" s="1673"/>
      <c r="G240" s="1673"/>
      <c r="H240" s="1673"/>
      <c r="I240" s="1673"/>
      <c r="J240" s="1673"/>
      <c r="K240" s="1678">
        <f>D240</f>
        <v>23354</v>
      </c>
      <c r="L240" s="1586">
        <v>27150</v>
      </c>
    </row>
    <row r="241" spans="1:12" x14ac:dyDescent="0.2">
      <c r="A241" s="1274" t="s">
        <v>810</v>
      </c>
      <c r="B241" s="503">
        <v>2220</v>
      </c>
      <c r="C241" s="1673"/>
      <c r="D241" s="1573">
        <v>17348</v>
      </c>
      <c r="E241" s="1673"/>
      <c r="F241" s="1673"/>
      <c r="G241" s="1673"/>
      <c r="H241" s="1673"/>
      <c r="I241" s="1673"/>
      <c r="J241" s="1673"/>
      <c r="K241" s="1678">
        <f>D241</f>
        <v>17348</v>
      </c>
      <c r="L241" s="1573">
        <v>20500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40702</v>
      </c>
      <c r="E243" s="1673"/>
      <c r="F243" s="1673"/>
      <c r="G243" s="1673"/>
      <c r="H243" s="1673"/>
      <c r="I243" s="1673"/>
      <c r="J243" s="1673"/>
      <c r="K243" s="1674">
        <f>SUM(K240:K242)</f>
        <v>40702</v>
      </c>
      <c r="L243" s="1674">
        <f>SUM(L240:L242)</f>
        <v>47650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250</v>
      </c>
    </row>
    <row r="246" spans="1:12" x14ac:dyDescent="0.2">
      <c r="A246" s="1274" t="s">
        <v>813</v>
      </c>
      <c r="B246" s="503">
        <v>2320</v>
      </c>
      <c r="C246" s="1673"/>
      <c r="D246" s="1573">
        <v>9394</v>
      </c>
      <c r="E246" s="1673"/>
      <c r="F246" s="1673"/>
      <c r="G246" s="1673"/>
      <c r="H246" s="1673"/>
      <c r="I246" s="1673"/>
      <c r="J246" s="1673"/>
      <c r="K246" s="1678">
        <f t="shared" ref="K246:K256" si="21">D246</f>
        <v>9394</v>
      </c>
      <c r="L246" s="1573">
        <v>16500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9394</v>
      </c>
      <c r="E257" s="1673"/>
      <c r="F257" s="1673"/>
      <c r="G257" s="1673"/>
      <c r="H257" s="1673"/>
      <c r="I257" s="1673"/>
      <c r="J257" s="1673"/>
      <c r="K257" s="1674">
        <f>SUM(K245:K256)</f>
        <v>9394</v>
      </c>
      <c r="L257" s="1674">
        <f>SUM(L245:L256)</f>
        <v>16750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49250</v>
      </c>
      <c r="E259" s="1673"/>
      <c r="F259" s="1673"/>
      <c r="G259" s="1673"/>
      <c r="H259" s="1673"/>
      <c r="I259" s="1673"/>
      <c r="J259" s="1673"/>
      <c r="K259" s="1678">
        <f>D259</f>
        <v>49250</v>
      </c>
      <c r="L259" s="1586">
        <v>52000</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49250</v>
      </c>
      <c r="E261" s="1673"/>
      <c r="F261" s="1673"/>
      <c r="G261" s="1673"/>
      <c r="H261" s="1673"/>
      <c r="I261" s="1673"/>
      <c r="J261" s="1673"/>
      <c r="K261" s="1674">
        <f>SUM(K259:K260)</f>
        <v>49250</v>
      </c>
      <c r="L261" s="1674">
        <f>SUM(L259:L260)</f>
        <v>52000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36107</v>
      </c>
      <c r="E264" s="1673"/>
      <c r="F264" s="1673"/>
      <c r="G264" s="1673"/>
      <c r="H264" s="1673"/>
      <c r="I264" s="1673"/>
      <c r="J264" s="1673"/>
      <c r="K264" s="1678">
        <f t="shared" ref="K264:K269" si="22">D264</f>
        <v>36107</v>
      </c>
      <c r="L264" s="1573">
        <v>36000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173400</v>
      </c>
      <c r="E266" s="1673"/>
      <c r="F266" s="1673"/>
      <c r="G266" s="1673"/>
      <c r="H266" s="1673"/>
      <c r="I266" s="1673"/>
      <c r="J266" s="1673"/>
      <c r="K266" s="1678">
        <f t="shared" si="22"/>
        <v>173400</v>
      </c>
      <c r="L266" s="1573">
        <v>170500</v>
      </c>
    </row>
    <row r="267" spans="1:14" x14ac:dyDescent="0.2">
      <c r="A267" s="1274" t="s">
        <v>947</v>
      </c>
      <c r="B267" s="503">
        <v>2550</v>
      </c>
      <c r="C267" s="1673"/>
      <c r="D267" s="1573">
        <v>33242</v>
      </c>
      <c r="E267" s="1673"/>
      <c r="F267" s="1673"/>
      <c r="G267" s="1673"/>
      <c r="H267" s="1673"/>
      <c r="I267" s="1673"/>
      <c r="J267" s="1673"/>
      <c r="K267" s="1678">
        <f t="shared" si="22"/>
        <v>33242</v>
      </c>
      <c r="L267" s="1573">
        <v>59500</v>
      </c>
    </row>
    <row r="268" spans="1:14" x14ac:dyDescent="0.2">
      <c r="A268" s="1274" t="s">
        <v>100</v>
      </c>
      <c r="B268" s="503">
        <v>2560</v>
      </c>
      <c r="C268" s="1673"/>
      <c r="D268" s="1573">
        <v>4351</v>
      </c>
      <c r="E268" s="1673"/>
      <c r="F268" s="1673"/>
      <c r="G268" s="1673"/>
      <c r="H268" s="1673"/>
      <c r="I268" s="1673"/>
      <c r="J268" s="1673"/>
      <c r="K268" s="1678">
        <f t="shared" si="22"/>
        <v>4351</v>
      </c>
      <c r="L268" s="1573">
        <v>10500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247100</v>
      </c>
      <c r="E270" s="1673"/>
      <c r="F270" s="1673"/>
      <c r="G270" s="1673"/>
      <c r="H270" s="1673"/>
      <c r="I270" s="1673"/>
      <c r="J270" s="1673"/>
      <c r="K270" s="1674">
        <f>SUM(K263:K269)</f>
        <v>247100</v>
      </c>
      <c r="L270" s="1674">
        <f>SUM(L263:L269)</f>
        <v>276500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365668</v>
      </c>
      <c r="E279" s="1673"/>
      <c r="F279" s="1673"/>
      <c r="G279" s="1673"/>
      <c r="H279" s="1673"/>
      <c r="I279" s="1673"/>
      <c r="J279" s="1673"/>
      <c r="K279" s="1681">
        <f>SUM(K238,K243,K257,K261,K270,K277,K278)</f>
        <v>365668</v>
      </c>
      <c r="L279" s="1681">
        <f>SUM(L238,L243,L257,L261,L270,L277,L278)</f>
        <v>411900</v>
      </c>
    </row>
    <row r="280" spans="1:12" ht="15.75" customHeight="1" thickTop="1" thickBot="1" x14ac:dyDescent="0.25">
      <c r="A280" s="1362" t="s">
        <v>870</v>
      </c>
      <c r="B280" s="1351">
        <v>3000</v>
      </c>
      <c r="C280" s="1673"/>
      <c r="D280" s="1651">
        <v>1345</v>
      </c>
      <c r="E280" s="1673"/>
      <c r="F280" s="1673"/>
      <c r="G280" s="1673"/>
      <c r="H280" s="1673"/>
      <c r="I280" s="1673"/>
      <c r="J280" s="1673"/>
      <c r="K280" s="1687">
        <f>D280</f>
        <v>1345</v>
      </c>
      <c r="L280" s="1651">
        <v>3000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528193</v>
      </c>
      <c r="E295" s="1673"/>
      <c r="F295" s="1673"/>
      <c r="G295" s="1673"/>
      <c r="H295" s="1674">
        <f>H293</f>
        <v>0</v>
      </c>
      <c r="I295" s="1673"/>
      <c r="J295" s="1673"/>
      <c r="K295" s="1674">
        <f>SUM(K229,K279,K280,K285,K293,K294)</f>
        <v>528193</v>
      </c>
      <c r="L295" s="1674">
        <f>SUM(L229,L279,L280,L285,L293,L294)</f>
        <v>600900</v>
      </c>
    </row>
    <row r="296" spans="1:14" ht="13.5" thickTop="1" x14ac:dyDescent="0.2">
      <c r="A296" s="2286" t="s">
        <v>989</v>
      </c>
      <c r="B296" s="2287"/>
      <c r="C296" s="1673"/>
      <c r="D296" s="1675"/>
      <c r="E296" s="1673"/>
      <c r="F296" s="1673"/>
      <c r="G296" s="1673"/>
      <c r="H296" s="1707"/>
      <c r="I296" s="1673"/>
      <c r="J296" s="1673"/>
      <c r="K296" s="1689">
        <f>'Revenues 9-14'!G268-'Expenditures 15-22'!K295</f>
        <v>145246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2500</v>
      </c>
      <c r="M319" s="539"/>
      <c r="N319" s="539"/>
    </row>
    <row r="320" spans="1:14" s="548" customFormat="1" x14ac:dyDescent="0.2">
      <c r="A320" s="1293" t="s">
        <v>1779</v>
      </c>
      <c r="B320" s="568" t="s">
        <v>280</v>
      </c>
      <c r="C320" s="1574"/>
      <c r="D320" s="1574"/>
      <c r="E320" s="1574">
        <v>58854</v>
      </c>
      <c r="F320" s="1574"/>
      <c r="G320" s="1574"/>
      <c r="H320" s="1574"/>
      <c r="I320" s="1574"/>
      <c r="J320" s="1574"/>
      <c r="K320" s="1672">
        <f t="shared" ref="K320:K327" si="24">SUM(C320:J320)</f>
        <v>58854</v>
      </c>
      <c r="L320" s="1574">
        <v>60000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10000</v>
      </c>
      <c r="M321" s="539"/>
      <c r="N321" s="539"/>
    </row>
    <row r="322" spans="1:14" s="548" customFormat="1" x14ac:dyDescent="0.2">
      <c r="A322" s="1289" t="s">
        <v>236</v>
      </c>
      <c r="B322" s="567" t="s">
        <v>282</v>
      </c>
      <c r="C322" s="1574"/>
      <c r="D322" s="1574"/>
      <c r="E322" s="1574">
        <v>37130</v>
      </c>
      <c r="F322" s="1574"/>
      <c r="G322" s="1574"/>
      <c r="H322" s="1574"/>
      <c r="I322" s="1574"/>
      <c r="J322" s="1574"/>
      <c r="K322" s="1672">
        <f t="shared" si="24"/>
        <v>37130</v>
      </c>
      <c r="L322" s="1574">
        <v>36000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2050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95984</v>
      </c>
      <c r="F330" s="1674">
        <f t="shared" si="25"/>
        <v>0</v>
      </c>
      <c r="G330" s="1674">
        <f t="shared" si="25"/>
        <v>0</v>
      </c>
      <c r="H330" s="1674">
        <f t="shared" si="25"/>
        <v>0</v>
      </c>
      <c r="I330" s="1674">
        <f t="shared" si="25"/>
        <v>0</v>
      </c>
      <c r="J330" s="1674">
        <f t="shared" si="25"/>
        <v>0</v>
      </c>
      <c r="K330" s="1674">
        <f>SUM(K319:K329)</f>
        <v>95984</v>
      </c>
      <c r="L330" s="1674">
        <f>SUM(L319:L329)</f>
        <v>110550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95984</v>
      </c>
      <c r="F342" s="1674">
        <f>SUM(F330)</f>
        <v>0</v>
      </c>
      <c r="G342" s="1674">
        <f>SUM(G330)</f>
        <v>0</v>
      </c>
      <c r="H342" s="1674">
        <f>SUM(H330,H334,H340)</f>
        <v>0</v>
      </c>
      <c r="I342" s="1674">
        <f>SUM(I330)</f>
        <v>0</v>
      </c>
      <c r="J342" s="1674">
        <f>SUM(J330)</f>
        <v>0</v>
      </c>
      <c r="K342" s="1674">
        <f>SUM(K330,K334,K340)</f>
        <v>95984</v>
      </c>
      <c r="L342" s="1681">
        <f>SUM(L330,L334,L340,L341)</f>
        <v>110550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94848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40000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40000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40000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40000</v>
      </c>
    </row>
    <row r="368" spans="1:14" ht="13.5" thickTop="1" x14ac:dyDescent="0.2">
      <c r="A368" s="2286" t="s">
        <v>989</v>
      </c>
      <c r="B368" s="2287"/>
      <c r="C368" s="1694"/>
      <c r="D368" s="1694"/>
      <c r="E368" s="1677"/>
      <c r="F368" s="1677"/>
      <c r="G368" s="1677"/>
      <c r="H368" s="1677"/>
      <c r="I368" s="1677"/>
      <c r="J368" s="1676"/>
      <c r="K368" s="1672">
        <f>'Revenues 9-14'!K268-'Expenditures 15-22'!K367</f>
        <v>288891</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sharepoint/v3"/>
    <ds:schemaRef ds:uri="4d435f69-8686-490b-bd6d-b153bf22ab50"/>
    <ds:schemaRef ds:uri="6ce3111e-7420-4802-b50a-75d4e9a0b980"/>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purl.org/dc/terms/"/>
    <ds:schemaRef ds:uri="http://schemas.openxmlformats.org/package/2006/metadata/core-properties"/>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2020-10-15T16:37:58Z</cp:lastPrinted>
  <dcterms:created xsi:type="dcterms:W3CDTF">2003-10-29T19:06:34Z</dcterms:created>
  <dcterms:modified xsi:type="dcterms:W3CDTF">2020-11-19T20:16:13Z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