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FF1454D-DC2A-4DBB-982A-2DF034C1C43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187" l="1"/>
  <c r="L26" i="187"/>
  <c r="L25" i="187"/>
  <c r="L24" i="187"/>
  <c r="L23" i="187"/>
  <c r="L22" i="187"/>
  <c r="L21" i="187"/>
  <c r="L20" i="187"/>
  <c r="L19" i="187"/>
  <c r="L18" i="187"/>
  <c r="L17" i="187"/>
  <c r="L16" i="187"/>
  <c r="L15" i="187"/>
  <c r="L14" i="187"/>
  <c r="L13" i="187"/>
  <c r="L12" i="187"/>
  <c r="L11" i="187"/>
  <c r="I9" i="187"/>
  <c r="G9" i="187"/>
  <c r="F9" i="187"/>
  <c r="E9" i="187"/>
  <c r="J8" i="187"/>
  <c r="H8" i="187"/>
  <c r="L27" i="186"/>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F22" i="183" s="1"/>
  <c r="E21" i="183"/>
  <c r="F21" i="183" s="1"/>
  <c r="E20" i="183"/>
  <c r="F20" i="183" s="1"/>
  <c r="E19" i="183"/>
  <c r="F19" i="183" s="1"/>
  <c r="E18" i="183"/>
  <c r="F18" i="183" s="1"/>
  <c r="F17" i="183"/>
  <c r="E17" i="183"/>
  <c r="B7885" i="106" l="1"/>
  <c r="D7885" i="106" s="1"/>
  <c r="B7884" i="106"/>
  <c r="B7883" i="106"/>
  <c r="D7883" i="106" s="1"/>
  <c r="B7882" i="106"/>
  <c r="D7884"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7198" i="106" l="1"/>
  <c r="D7198" i="106" s="1"/>
  <c r="E65" i="184"/>
  <c r="N65" i="184" s="1"/>
  <c r="B7180" i="106"/>
  <c r="D7180" i="106" s="1"/>
  <c r="E63" i="184"/>
  <c r="N63" i="184" s="1"/>
  <c r="B7162" i="106"/>
  <c r="D7162" i="106" s="1"/>
  <c r="E61" i="184"/>
  <c r="N61" i="184" s="1"/>
  <c r="B7126" i="106"/>
  <c r="D7126" i="106" s="1"/>
  <c r="E57" i="184"/>
  <c r="N57" i="184" s="1"/>
  <c r="D31" i="108"/>
  <c r="E16" i="184"/>
  <c r="H16" i="184" s="1"/>
  <c r="H342" i="29"/>
  <c r="B7189" i="106"/>
  <c r="D7189" i="106" s="1"/>
  <c r="E64" i="184"/>
  <c r="N64" i="184" s="1"/>
  <c r="B7171" i="106"/>
  <c r="D7171" i="106" s="1"/>
  <c r="E62" i="184"/>
  <c r="N62" i="184" s="1"/>
  <c r="H15" i="184"/>
  <c r="G33" i="108"/>
  <c r="E17" i="184"/>
  <c r="H17" i="184" s="1"/>
  <c r="D69" i="36"/>
  <c r="B7705" i="106"/>
  <c r="D7705" i="106" s="1"/>
  <c r="E67" i="184"/>
  <c r="N67" i="184" s="1"/>
  <c r="B7696" i="106"/>
  <c r="D7696" i="106" s="1"/>
  <c r="E66" i="184"/>
  <c r="N66" i="184" s="1"/>
  <c r="B7153" i="106"/>
  <c r="D7153" i="106" s="1"/>
  <c r="E60" i="184"/>
  <c r="N60" i="184" s="1"/>
  <c r="B7135" i="106"/>
  <c r="D7135" i="106" s="1"/>
  <c r="E58" i="184"/>
  <c r="B6289" i="106"/>
  <c r="D6289" i="106" s="1"/>
  <c r="H12" i="184"/>
  <c r="E19" i="184"/>
  <c r="F34" i="34"/>
  <c r="B7826" i="106" s="1"/>
  <c r="D7826" i="106"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H19" i="184"/>
  <c r="L20" i="184" s="1"/>
  <c r="E367" i="29"/>
  <c r="B3635" i="106"/>
  <c r="K342" i="29"/>
  <c r="F13" i="34" s="1"/>
  <c r="N58" i="184"/>
  <c r="N68" i="184" s="1"/>
  <c r="E68" i="184"/>
  <c r="B5527" i="106"/>
  <c r="D5527" i="106" s="1"/>
  <c r="D44" i="36"/>
  <c r="F41" i="108"/>
  <c r="G43" i="108" s="1"/>
  <c r="L114" i="29"/>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0" i="4" l="1"/>
  <c r="B6225" i="106" s="1"/>
  <c r="D6225" i="106" s="1"/>
  <c r="K17" i="4"/>
  <c r="B3575" i="106" s="1"/>
  <c r="D3575" i="106" s="1"/>
  <c r="F77" i="34"/>
  <c r="J20" i="4"/>
  <c r="J78" i="4" s="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20"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<sst xmlns="http://schemas.openxmlformats.org/spreadsheetml/2006/main" count="5388" uniqueCount="2151">
  <si>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</si>
  <si>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</si>
  <si>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</si>
  <si>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</si>
  <si>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</si>
  <si>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</si>
  <si>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</si>
  <si>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</si>
  <si>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</si>
  <si>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</si>
  <si>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</si>
  <si>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</si>
  <si>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</si>
  <si>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</si>
  <si>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</si>
  <si>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</si>
  <si>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</si>
  <si>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</si>
  <si>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</si>
  <si>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</si>
  <si>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</si>
  <si>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</si>
  <si>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</si>
  <si>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</si>
  <si>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</si>
  <si>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</si>
  <si>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</si>
  <si>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</si>
  <si>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</si>
  <si>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</si>
  <si>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</si>
  <si>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</si>
  <si>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</si>
  <si>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</si>
  <si>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</si>
  <si>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</si>
  <si>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</si>
  <si>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</si>
  <si>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</si>
  <si>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</si>
  <si>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</si>
  <si>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</si>
  <si>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</si>
  <si>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</si>
  <si>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</si>
  <si>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</si>
  <si>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</si>
  <si>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</si>
  <si>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</si>
  <si>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</si>
  <si>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</si>
  <si>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</si>
  <si>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</si>
  <si>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</si>
  <si>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</si>
  <si>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</si>
  <si>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</si>
  <si>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</si>
  <si>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</si>
  <si>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</si>
  <si>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</si>
  <si>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</si>
  <si>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</si>
  <si>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</si>
  <si>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</si>
  <si>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</si>
  <si>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</si>
  <si>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</si>
  <si>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</si>
  <si>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</si>
  <si>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</si>
  <si>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</si>
  <si>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</si>
  <si>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</si>
  <si>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</si>
  <si>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</si>
  <si>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</si>
  <si>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</si>
  <si>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</si>
  <si>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</si>
  <si>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</si>
  <si>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</si>
  <si>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</si>
  <si>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</si>
  <si>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</si>
  <si>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</si>
  <si>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</si>
  <si>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</si>
  <si>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</si>
  <si>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</si>
  <si>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</si>
  <si>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</si>
  <si>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</si>
  <si>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</si>
  <si>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</si>
  <si>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</si>
  <si>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</si>
  <si>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</si>
  <si>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</si>
  <si>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</si>
  <si>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</si>
  <si>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</si>
  <si>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</si>
  <si>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</si>
  <si>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</si>
  <si>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</si>
  <si>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</si>
  <si>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</si>
  <si>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</si>
  <si>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</si>
  <si>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</si>
  <si>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</si>
  <si>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</si>
  <si>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</si>
  <si>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</si>
  <si>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</si>
  <si>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</si>
  <si>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</si>
  <si>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</si>
  <si>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</si>
  <si>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</si>
  <si>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</si>
  <si>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</si>
  <si>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</si>
  <si>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</si>
  <si>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</si>
  <si>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</si>
  <si>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</si>
  <si>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</si>
  <si>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</si>
  <si>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</si>
  <si>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</si>
  <si>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</si>
  <si>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</si>
  <si>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</si>
  <si>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</si>
  <si>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</si>
  <si>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</si>
  <si>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</si>
  <si>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</si>
  <si>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</si>
  <si>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</si>
  <si>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</si>
  <si>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</si>
  <si>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</si>
  <si>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</si>
  <si>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</si>
  <si>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</si>
  <si>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</si>
  <si>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</si>
  <si>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</si>
  <si>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</si>
  <si>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</si>
  <si>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</si>
  <si>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</si>
  <si>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</si>
  <si>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</si>
  <si>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</si>
  <si>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</si>
  <si>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</si>
  <si>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</si>
  <si>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</si>
  <si>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</si>
  <si>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</si>
  <si>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</si>
  <si>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</si>
  <si>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</si>
  <si>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</si>
  <si>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</si>
  <si>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</si>
  <si>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</si>
  <si>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</si>
  <si>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</si>
  <si>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</si>
  <si>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</si>
  <si>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</si>
  <si>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</si>
  <si>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</si>
  <si>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</si>
  <si>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</si>
  <si>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</si>
  <si>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</si>
  <si>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</si>
  <si>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</si>
  <si>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</si>
  <si>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</si>
  <si>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</si>
  <si>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</si>
  <si>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</si>
  <si>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</si>
  <si>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</si>
  <si>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</si>
  <si>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</si>
  <si>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</si>
  <si>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</si>
  <si>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</si>
  <si>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</si>
  <si>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</si>
  <si>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</si>
  <si>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</si>
  <si>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</si>
  <si>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</si>
  <si>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</si>
  <si>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</si>
  <si>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</si>
  <si>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</si>
  <si>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</si>
  <si>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</si>
  <si>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</si>
  <si>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</si>
  <si>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</si>
  <si>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</si>
  <si>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</si>
  <si>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</si>
  <si>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</si>
  <si>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</si>
  <si>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</si>
  <si>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</si>
  <si>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</si>
  <si>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</si>
  <si>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</si>
  <si>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</si>
  <si>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</si>
  <si>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</si>
  <si>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</si>
  <si>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</si>
  <si>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</si>
  <si>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</si>
  <si>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</si>
  <si>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</si>
  <si>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</si>
  <si>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</si>
  <si>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</si>
  <si>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</si>
  <si>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</si>
  <si>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</si>
  <si>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</si>
  <si>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</si>
  <si>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</si>
  <si>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</si>
  <si>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</si>
  <si>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</si>
  <si>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</si>
  <si>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</si>
  <si>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</si>
  <si>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</si>
  <si>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</si>
  <si>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</si>
  <si>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</si>
  <si>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</si>
  <si>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</si>
  <si>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</si>
  <si>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</si>
  <si>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</si>
  <si>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</si>
  <si>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</si>
  <si>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</si>
  <si>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</si>
  <si>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</si>
  <si>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</si>
  <si>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</si>
  <si>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</si>
  <si>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</si>
  <si>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</si>
  <si>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</si>
  <si>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</si>
  <si>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</si>
  <si>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</si>
  <si>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</si>
  <si>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</si>
  <si>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</si>
  <si>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</si>
  <si>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</si>
  <si>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</si>
  <si>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</si>
  <si>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</si>
  <si>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</si>
  <si>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</si>
  <si>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</si>
  <si>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</si>
  <si>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</si>
  <si>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</si>
  <si>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</si>
  <si>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</si>
  <si>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</si>
  <si>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</si>
  <si>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</si>
  <si>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</si>
  <si>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</si>
  <si>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</si>
  <si>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</si>
  <si>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</si>
  <si>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</si>
  <si>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</si>
  <si>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</si>
  <si>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</si>
  <si>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</si>
  <si>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</si>
  <si>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</si>
  <si>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</si>
  <si>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</si>
  <si>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</si>
  <si>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</si>
  <si>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</si>
  <si>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</si>
  <si>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</si>
  <si>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</si>
  <si>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</si>
  <si>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</si>
  <si>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</si>
  <si>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</si>
  <si>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</si>
  <si>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</si>
  <si>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</si>
  <si>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</si>
  <si>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</si>
  <si>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</si>
  <si>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</si>
  <si>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</si>
  <si>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</si>
  <si>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</si>
  <si>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</si>
  <si>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</si>
  <si>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</si>
  <si>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</si>
  <si>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</si>
  <si>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</si>
  <si>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</si>
  <si>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</si>
  <si>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</si>
  <si>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</si>
  <si>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</si>
  <si>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</si>
  <si>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</si>
  <si>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</si>
  <si>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</si>
  <si>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</si>
  <si>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</si>
  <si>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</si>
  <si>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</si>
  <si>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</si>
  <si>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</si>
  <si>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</si>
  <si>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</si>
  <si>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</si>
  <si>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</si>
  <si>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</si>
  <si>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</si>
  <si>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</si>
  <si>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</si>
  <si>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</si>
  <si>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</si>
  <si>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</si>
  <si>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</si>
  <si>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</si>
  <si>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</si>
  <si>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</si>
  <si>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</si>
  <si>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</si>
  <si>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</si>
  <si>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</si>
  <si>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</si>
  <si>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</si>
  <si>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</si>
  <si>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</si>
  <si>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</si>
  <si>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</si>
  <si>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</si>
  <si>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</si>
  <si>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</si>
  <si>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</si>
  <si>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</si>
  <si>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</si>
  <si>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</si>
  <si>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</si>
  <si>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</si>
  <si>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</si>
  <si>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</si>
  <si>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</si>
  <si>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</si>
  <si>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</si>
  <si>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</si>
  <si>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</si>
  <si>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</si>
  <si>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</si>
  <si>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</si>
  <si>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</si>
  <si>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</si>
  <si>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</si>
  <si>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</si>
  <si>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</si>
  <si>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</si>
  <si>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</si>
  <si>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</si>
  <si>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</si>
  <si>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</si>
  <si>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</si>
  <si>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</si>
  <si>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</si>
  <si>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</si>
  <si>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</si>
  <si>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</si>
  <si>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</si>
  <si>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</si>
  <si>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</si>
  <si>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</si>
  <si>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</si>
  <si>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</si>
  <si>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</si>
  <si>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</si>
  <si>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</si>
  <si>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</si>
  <si>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</si>
  <si>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</si>
  <si>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</si>
  <si>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</si>
  <si>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</si>
  <si>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</si>
  <si>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</si>
  <si>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</si>
  <si>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</si>
  <si>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</si>
  <si>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</si>
  <si>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</si>
  <si>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</si>
  <si>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</si>
  <si>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</si>
  <si>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</si>
  <si>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</si>
  <si>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</si>
  <si>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</si>
  <si>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</si>
  <si>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</si>
  <si>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</si>
  <si>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</si>
  <si>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</si>
  <si>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</si>
  <si>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</si>
  <si>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</si>
  <si>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</si>
  <si>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</si>
  <si>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</si>
  <si>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</si>
  <si>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</si>
  <si>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</si>
  <si>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</si>
  <si>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</si>
  <si>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</si>
  <si>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</si>
  <si>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</si>
  <si>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</si>
  <si>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</si>
  <si>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</si>
  <si>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</si>
  <si>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</si>
  <si>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</si>
  <si>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</si>
  <si>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</si>
  <si>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</si>
  <si>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</si>
  <si>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</si>
  <si>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</si>
  <si>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</si>
  <si>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</si>
  <si>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</si>
  <si>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</si>
  <si>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</si>
  <si>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</si>
  <si>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</si>
  <si>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</si>
  <si>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</si>
  <si>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</si>
  <si>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</si>
  <si>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</si>
  <si>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</si>
  <si>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</si>
  <si>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</si>
  <si>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</si>
  <si>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</si>
  <si>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</si>
  <si>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</si>
  <si>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</si>
  <si>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</si>
  <si>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</si>
  <si>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</si>
  <si>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</si>
  <si>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</si>
  <si>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</si>
  <si>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</si>
  <si>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</si>
  <si>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</si>
  <si>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</si>
  <si>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</si>
  <si>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</si>
  <si>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</si>
  <si>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</si>
  <si>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</si>
  <si>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</si>
  <si>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</si>
  <si>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</si>
  <si>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</si>
  <si>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</si>
  <si>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</si>
  <si>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</si>
  <si>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</si>
  <si>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</si>
  <si>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</si>
  <si>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</si>
  <si>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</si>
  <si>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</si>
  <si>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</si>
  <si>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</si>
  <si>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</si>
  <si>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</si>
  <si>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</si>
  <si>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</si>
  <si>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</si>
  <si>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</si>
  <si>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</si>
  <si>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</si>
  <si>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</si>
  <si>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</si>
  <si>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</si>
  <si>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</si>
  <si>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</si>
  <si>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</si>
  <si>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</si>
  <si>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</si>
  <si>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</si>
  <si>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</si>
  <si>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</si>
  <si>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</si>
  <si>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</si>
  <si>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</si>
  <si>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</si>
  <si>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</si>
  <si>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</si>
  <si>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</si>
  <si>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</si>
  <si>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</si>
  <si>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</si>
  <si>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</si>
  <si>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</si>
  <si>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</si>
  <si>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</si>
  <si>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</si>
  <si>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</si>
  <si>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</si>
  <si>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</si>
  <si>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</si>
  <si>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</si>
  <si>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</si>
  <si>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</si>
  <si>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</si>
  <si>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</si>
  <si>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</si>
  <si>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</si>
  <si>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</si>
  <si>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</si>
  <si>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</si>
  <si>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</si>
  <si>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</si>
  <si>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</si>
  <si>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</si>
  <si>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</si>
  <si>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</si>
  <si>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</si>
  <si>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</si>
  <si>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</si>
  <si>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</si>
  <si>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</si>
  <si>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</si>
  <si>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</si>
  <si>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</si>
  <si>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</si>
  <si>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</si>
  <si>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</si>
  <si>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</si>
  <si>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</si>
  <si>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</si>
  <si>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</si>
  <si>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</si>
  <si>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</si>
  <si>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</si>
  <si>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</si>
  <si>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</si>
  <si>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</si>
  <si>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</si>
  <si>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</si>
  <si>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</si>
  <si>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</si>
  <si>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</si>
  <si>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</si>
  <si>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</si>
  <si>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</si>
  <si>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</si>
  <si>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</si>
  <si>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</si>
  <si>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</si>
  <si>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</si>
  <si>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</si>
  <si>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</si>
  <si>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</si>
  <si>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</si>
  <si>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</si>
  <si>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</si>
  <si>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</si>
  <si>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</si>
  <si>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</si>
  <si>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</si>
  <si>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</si>
  <si>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</si>
  <si>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</si>
  <si>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</si>
  <si>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</si>
  <si>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</si>
  <si>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</si>
  <si>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</si>
  <si>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</si>
  <si>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</si>
  <si>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</si>
  <si>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</si>
  <si>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</si>
  <si>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</si>
  <si>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</si>
  <si>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</si>
  <si>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</si>
  <si>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</si>
  <si>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</si>
  <si>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</si>
  <si>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</si>
  <si>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</si>
  <si>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</si>
  <si>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</si>
  <si>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</si>
  <si>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</si>
  <si>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</si>
  <si>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</si>
  <si>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</si>
  <si>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</si>
  <si>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</si>
  <si>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</si>
  <si>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</si>
  <si>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</si>
  <si>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</si>
  <si>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</si>
  <si>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</si>
  <si>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</si>
  <si>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</si>
  <si>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</si>
  <si>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</si>
  <si>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</si>
  <si>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</si>
  <si>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</si>
  <si>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</si>
  <si>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</si>
  <si>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</si>
  <si>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</si>
  <si>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</si>
  <si>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</si>
  <si>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</si>
  <si>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</si>
  <si>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</si>
  <si>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</si>
  <si>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</si>
  <si>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</si>
  <si>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</si>
  <si>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</si>
  <si>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</si>
  <si>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</si>
  <si>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</si>
  <si>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</si>
  <si>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</si>
  <si>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</si>
  <si>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</si>
  <si>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</si>
  <si>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</si>
  <si>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</si>
  <si>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</si>
  <si>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</si>
  <si>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</si>
  <si>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</si>
  <si>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</si>
  <si>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</si>
  <si>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</si>
  <si>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</si>
  <si>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</si>
  <si>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</si>
  <si>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</si>
  <si>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</si>
  <si>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</si>
  <si>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</si>
  <si>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</si>
  <si>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</si>
  <si>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</si>
  <si>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</si>
  <si>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</si>
  <si>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</si>
  <si>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</si>
  <si>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</si>
  <si>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</si>
  <si>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</si>
  <si>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</si>
  <si>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</si>
  <si>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</si>
  <si>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</si>
  <si>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</si>
  <si>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</si>
  <si>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</si>
  <si>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</si>
  <si>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</si>
  <si>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</si>
  <si>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</si>
  <si>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</si>
  <si>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</si>
  <si>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</si>
  <si>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</si>
  <si>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</si>
  <si>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</si>
  <si>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</si>
  <si>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</si>
  <si>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</si>
  <si>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</si>
  <si>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</si>
  <si>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</si>
  <si>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</si>
  <si>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</si>
  <si>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</si>
  <si>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</si>
  <si>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</si>
  <si>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</si>
  <si>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</si>
  <si>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</si>
  <si>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</si>
  <si>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</si>
  <si>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</si>
  <si>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</si>
  <si>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</si>
  <si>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</si>
  <si>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</si>
  <si>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</si>
  <si>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</si>
  <si>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</si>
  <si>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</si>
  <si>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</si>
  <si>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</si>
  <si>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</si>
  <si>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</si>
  <si>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</si>
  <si>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</si>
  <si>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</si>
  <si>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</si>
  <si>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</si>
  <si>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</si>
  <si>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</si>
  <si>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</si>
  <si>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</si>
  <si>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</si>
  <si>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</si>
  <si>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</si>
  <si>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</si>
  <si>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</si>
  <si>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</si>
  <si>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</si>
  <si>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</si>
  <si>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</si>
  <si>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</si>
  <si>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</si>
  <si>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</si>
  <si>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</si>
  <si>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</si>
  <si>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</si>
  <si>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</si>
  <si>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</si>
  <si>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</si>
  <si>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</si>
  <si>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</si>
  <si>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</si>
  <si>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</si>
  <si>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</si>
  <si>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</si>
  <si>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</si>
  <si>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</si>
  <si>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</si>
  <si>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</si>
  <si>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</si>
  <si>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</si>
  <si>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</si>
  <si>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</si>
  <si>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</si>
  <si>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</si>
  <si>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</si>
  <si>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</si>
  <si>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</si>
  <si>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</si>
  <si>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</si>
  <si>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</si>
  <si>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</si>
  <si>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</si>
  <si>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</si>
  <si>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</si>
  <si>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</si>
  <si>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</si>
  <si>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</si>
  <si>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</si>
  <si>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</si>
  <si>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</si>
  <si>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</si>
  <si>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</si>
  <si>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</si>
  <si>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</si>
  <si>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</si>
  <si>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</si>
  <si>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</si>
  <si>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</si>
  <si>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</si>
  <si>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</si>
  <si>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</si>
  <si>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</si>
  <si>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</si>
  <si>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</si>
  <si>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</si>
  <si>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</si>
  <si>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</si>
  <si>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</si>
  <si>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</si>
  <si>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</si>
  <si>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</si>
  <si>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</si>
  <si>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</si>
  <si>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</si>
  <si>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</si>
  <si>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</si>
  <si>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</si>
  <si>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</si>
  <si>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</si>
  <si>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</si>
  <si>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</si>
  <si>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</si>
  <si>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</si>
  <si>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</si>
  <si>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</si>
  <si>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</si>
  <si>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</si>
  <si>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</si>
  <si>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</si>
  <si>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</si>
  <si>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</si>
  <si>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</si>
  <si>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</si>
  <si>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</si>
  <si>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</si>
  <si>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</si>
  <si>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</si>
  <si>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</si>
  <si>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</si>
  <si>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</si>
  <si>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</si>
  <si>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</si>
  <si>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</si>
  <si>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</si>
  <si>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</si>
  <si>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</si>
  <si>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</si>
  <si>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</si>
  <si>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</si>
  <si>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</si>
  <si>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</si>
  <si>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</si>
  <si>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</si>
  <si>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</si>
  <si>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</si>
  <si>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</si>
  <si>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</si>
  <si>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</si>
  <si>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</si>
  <si>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</si>
  <si>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</si>
  <si>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</si>
  <si>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</si>
  <si>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</si>
  <si>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</si>
  <si>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</si>
  <si>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</si>
  <si>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</si>
  <si>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</si>
  <si>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</si>
  <si>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</si>
  <si>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</si>
  <si>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</si>
  <si>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</si>
  <si>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</si>
  <si>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</si>
  <si>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</si>
  <si>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</si>
  <si>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</si>
  <si>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</si>
  <si>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</si>
  <si>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</si>
  <si>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</si>
  <si>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</si>
  <si>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</si>
  <si>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</si>
  <si>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</si>
  <si>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</si>
  <si>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</si>
  <si>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</si>
  <si>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</si>
  <si>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</si>
  <si>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</si>
  <si>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</si>
  <si>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</si>
  <si>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</si>
  <si>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</si>
  <si>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</si>
  <si>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</si>
  <si>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</si>
  <si>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</si>
  <si>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</si>
  <si>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</si>
  <si>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</si>
  <si>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</si>
  <si>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</si>
  <si>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</si>
  <si>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</si>
  <si>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</si>
  <si>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</si>
  <si>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</si>
  <si>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</si>
  <si>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</si>
  <si>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</si>
  <si>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</si>
  <si>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</si>
  <si>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</si>
  <si>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</si>
  <si>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</si>
  <si>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</si>
  <si>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</si>
  <si>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</si>
  <si>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</si>
  <si>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</si>
  <si>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</si>
  <si>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</si>
  <si>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</si>
  <si>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</si>
  <si>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</si>
  <si>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</si>
  <si>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</si>
  <si>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</si>
  <si>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</si>
  <si>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</si>
  <si>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</si>
  <si>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</si>
  <si>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</si>
  <si>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</si>
  <si>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</si>
  <si>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</si>
  <si>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</si>
  <si>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</si>
  <si>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</si>
  <si>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</si>
  <si>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</si>
  <si>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</si>
  <si>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</si>
  <si>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</si>
  <si>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</si>
  <si>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</si>
  <si>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</si>
  <si>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</si>
  <si>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</si>
  <si>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</si>
  <si>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</si>
  <si>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</si>
  <si>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</si>
  <si>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</si>
  <si>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</si>
  <si>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</si>
  <si>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</si>
  <si>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</si>
  <si>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</si>
  <si>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</si>
  <si>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</si>
  <si>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</si>
  <si>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</si>
  <si>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</si>
  <si>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</si>
  <si>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</si>
  <si>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</si>
  <si>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</si>
  <si>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</si>
  <si>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</si>
  <si>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</si>
  <si>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</si>
  <si>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</si>
  <si>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</si>
  <si>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</si>
  <si>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</si>
  <si>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</si>
  <si>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</si>
  <si>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</si>
  <si>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</si>
  <si>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</si>
  <si>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</si>
  <si>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</si>
  <si>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</si>
  <si>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</si>
  <si>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</si>
  <si>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</si>
  <si>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</si>
  <si>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</si>
  <si>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</si>
  <si>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</si>
  <si>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</si>
  <si>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</si>
  <si>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</si>
  <si>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</si>
  <si>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</si>
  <si>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</si>
  <si>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</si>
  <si>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</si>
  <si>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</si>
  <si>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</si>
  <si>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</si>
  <si>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</si>
  <si>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</si>
  <si>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</si>
  <si>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</si>
  <si>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</si>
  <si>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</si>
  <si>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</si>
  <si>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</si>
  <si>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</si>
  <si>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</si>
  <si>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</si>
  <si>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</si>
  <si>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</si>
  <si>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</si>
  <si>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</si>
  <si>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</si>
  <si>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</si>
  <si>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</si>
  <si>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</si>
  <si>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</si>
  <si>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</si>
  <si>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</si>
  <si>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</si>
  <si>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</si>
  <si>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</si>
  <si>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</si>
  <si>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</si>
  <si>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</si>
  <si>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</si>
  <si>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</si>
  <si>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</si>
  <si>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</si>
  <si>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</si>
  <si>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</si>
  <si>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</si>
  <si>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</si>
  <si>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</si>
  <si>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</si>
  <si>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</si>
  <si>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</si>
  <si>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</si>
  <si>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</si>
  <si>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</si>
  <si>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</si>
  <si>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</si>
  <si>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</si>
  <si>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</si>
  <si>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</si>
  <si>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</si>
  <si>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</si>
  <si>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</si>
  <si>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</si>
  <si>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</si>
  <si>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</si>
  <si>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</si>
  <si>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</si>
  <si>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</si>
  <si>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</si>
  <si>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</si>
  <si>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</si>
  <si>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</si>
  <si>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</si>
  <si>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</si>
  <si>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</si>
  <si>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</si>
  <si>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</si>
  <si>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</si>
  <si>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</si>
  <si>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</si>
  <si>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</si>
  <si>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</si>
  <si>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</si>
  <si>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</si>
  <si>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</si>
  <si>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</si>
  <si>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</si>
  <si>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</si>
  <si>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</si>
  <si>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</si>
  <si>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</si>
  <si>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</si>
  <si>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</si>
  <si>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</si>
  <si>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</si>
  <si>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</si>
  <si>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</si>
  <si>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</si>
  <si>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</si>
  <si>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</si>
  <si>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</si>
  <si>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</si>
  <si>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</si>
  <si>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</si>
  <si>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</si>
  <si>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</si>
  <si>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</si>
  <si>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</si>
  <si>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</si>
  <si>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</si>
  <si>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</si>
  <si>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</si>
  <si>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</si>
  <si>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</si>
  <si>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</si>
  <si>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</si>
  <si>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</si>
  <si>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</si>
  <si>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</si>
  <si>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</si>
  <si>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</si>
  <si>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</si>
  <si>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</si>
  <si>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</si>
  <si>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</si>
  <si>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</si>
  <si>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</si>
  <si>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</si>
  <si>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</si>
  <si>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</si>
  <si>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</si>
  <si>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</si>
  <si>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</si>
  <si>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</si>
  <si>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</si>
  <si>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</si>
  <si>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</si>
  <si>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</si>
  <si>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</si>
  <si>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</si>
  <si>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</si>
  <si>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</si>
  <si>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</si>
  <si>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</si>
  <si>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</si>
  <si>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</si>
  <si>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</si>
  <si>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</si>
  <si>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</si>
  <si>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</si>
  <si>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</si>
  <si>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</si>
  <si>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</si>
  <si>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</si>
  <si>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</si>
  <si>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</si>
  <si>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</si>
  <si>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</si>
  <si>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</si>
  <si>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</si>
  <si>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</si>
  <si>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</si>
  <si>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</si>
  <si>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</si>
  <si>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</si>
  <si>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</si>
  <si>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</si>
  <si>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</si>
  <si>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</si>
  <si>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</si>
  <si>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</si>
  <si>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</si>
  <si>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</si>
  <si>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</si>
  <si>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</si>
  <si>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</si>
  <si>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</si>
  <si>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</si>
  <si>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</si>
  <si>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</si>
  <si>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</si>
  <si>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</si>
  <si>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</si>
  <si>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</si>
  <si>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</si>
  <si>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</si>
  <si>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</si>
  <si>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</si>
  <si>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</si>
  <si>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</si>
  <si>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</si>
  <si>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</si>
  <si>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</si>
  <si>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</si>
  <si>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</si>
  <si>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</si>
  <si>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</si>
  <si>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</si>
  <si>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</si>
  <si>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</si>
  <si>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</si>
  <si>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</si>
  <si>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</si>
  <si>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</si>
  <si>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</si>
  <si>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</si>
  <si>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</si>
  <si>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</si>
  <si>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</si>
  <si>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</si>
  <si>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</si>
  <si>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</si>
  <si>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</si>
  <si>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</si>
  <si>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</si>
  <si>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</si>
  <si>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</si>
  <si>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</si>
  <si>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</si>
  <si>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</si>
  <si>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</si>
  <si>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</si>
  <si>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</si>
  <si>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</si>
  <si>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</si>
  <si>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</si>
  <si>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</si>
  <si>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</si>
  <si>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</si>
  <si>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</si>
  <si>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</si>
  <si>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</si>
  <si>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</si>
  <si>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</si>
  <si>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</si>
  <si>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</si>
  <si>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</si>
  <si>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</si>
  <si>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</si>
  <si>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</si>
  <si>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</si>
  <si>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</si>
  <si>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</si>
  <si>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</si>
  <si>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</si>
  <si>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</si>
  <si>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</si>
  <si>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</si>
  <si>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</si>
  <si>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</si>
  <si>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</si>
  <si>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</si>
  <si>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</si>
  <si>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</si>
  <si>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</si>
  <si>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</si>
  <si>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</si>
  <si>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</si>
  <si>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</si>
  <si>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</si>
  <si>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</si>
  <si>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</si>
  <si>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</si>
  <si>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</si>
  <si>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</si>
  <si>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</si>
  <si>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</si>
  <si>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</si>
  <si>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</si>
  <si>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</si>
  <si>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</si>
  <si>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</si>
  <si>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</si>
  <si>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</si>
  <si>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</si>
  <si>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</si>
  <si>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</si>
  <si>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</si>
  <si>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</si>
  <si>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</si>
  <si>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</si>
  <si>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</si>
  <si>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</si>
  <si>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</si>
  <si>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</si>
  <si>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</si>
  <si>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</si>
  <si>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</si>
  <si>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</si>
  <si>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</si>
  <si>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</si>
  <si>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</si>
  <si>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</si>
  <si>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</si>
  <si>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</si>
  <si>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</si>
  <si>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</si>
  <si>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</si>
  <si>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</si>
  <si>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</si>
  <si>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</si>
  <si>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</si>
  <si>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</si>
  <si>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</si>
  <si>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</si>
  <si>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</si>
  <si>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</si>
  <si>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</si>
  <si>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</si>
  <si>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</si>
  <si>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</si>
  <si>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</si>
  <si>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</si>
  <si>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</si>
  <si>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</si>
  <si>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</si>
  <si>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</si>
  <si>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</si>
  <si>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</si>
  <si>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</si>
  <si>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</si>
  <si>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</si>
  <si>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</si>
  <si>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</si>
  <si>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</si>
  <si>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</si>
  <si>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</si>
  <si>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</si>
  <si>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</si>
  <si>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</si>
  <si>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</si>
  <si>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</si>
  <si>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</si>
  <si>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</si>
  <si>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</si>
  <si>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</si>
  <si>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</si>
  <si>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</si>
  <si>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</si>
  <si>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</si>
  <si>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</si>
  <si>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</si>
  <si>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</si>
  <si>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</si>
  <si>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</si>
  <si>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</si>
  <si>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</si>
  <si>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</si>
  <si>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</si>
  <si>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</si>
  <si>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</si>
  <si>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</si>
  <si>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</si>
  <si>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</si>
  <si>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</si>
  <si>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</si>
  <si>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</si>
  <si>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</si>
  <si>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</si>
  <si>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</si>
  <si>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</si>
  <si>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</si>
  <si>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</si>
  <si>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</si>
  <si>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</si>
  <si>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</si>
  <si>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</si>
  <si>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</si>
  <si>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</si>
  <si>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</si>
  <si>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</si>
  <si>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</si>
  <si>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</si>
  <si>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</si>
  <si>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</si>
  <si>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</si>
  <si>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</si>
  <si>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</si>
  <si>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</si>
  <si>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</si>
  <si>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</si>
  <si>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</si>
  <si>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</si>
  <si>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</si>
  <si>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</si>
  <si>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</si>
  <si>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</si>
  <si>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</si>
  <si>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</si>
  <si>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</si>
  <si>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</si>
  <si>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</si>
  <si>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</si>
  <si>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</si>
  <si>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</si>
  <si>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</si>
  <si>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</si>
  <si>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</si>
  <si>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</si>
  <si>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</si>
  <si>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</si>
  <si>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</si>
  <si>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</si>
  <si>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</si>
  <si>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</si>
  <si>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</si>
  <si>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</si>
  <si>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</si>
  <si>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</si>
  <si>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</si>
  <si>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</si>
  <si>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</si>
  <si>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</si>
  <si>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</si>
  <si>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</si>
  <si>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</si>
  <si>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</si>
  <si>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</si>
  <si>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</si>
  <si>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</si>
  <si>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</si>
  <si>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</si>
  <si>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</si>
  <si>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</si>
  <si>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</si>
  <si>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</si>
  <si>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</si>
  <si>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</si>
  <si>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</si>
  <si>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</si>
  <si>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</si>
  <si>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</si>
  <si>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</si>
  <si>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</si>
  <si>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</si>
  <si>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</si>
  <si>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</si>
  <si>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</si>
  <si>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</si>
  <si>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</si>
  <si>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</si>
  <si>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</si>
  <si>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</si>
  <si>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</si>
  <si>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</si>
  <si>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</si>
  <si>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</si>
  <si>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</si>
  <si>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</si>
  <si>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</si>
  <si>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</si>
  <si>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</si>
  <si>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</si>
  <si>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</si>
  <si>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</si>
  <si>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</si>
  <si>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</si>
  <si>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</si>
  <si>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</si>
  <si>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</si>
  <si>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</si>
  <si>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</si>
  <si>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</si>
  <si>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</si>
  <si>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</si>
  <si>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</si>
  <si>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</si>
  <si>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</si>
  <si>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</si>
  <si>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</si>
  <si>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</si>
  <si>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</si>
  <si>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</si>
  <si>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</si>
  <si>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</si>
  <si>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</si>
  <si>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</si>
  <si>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</si>
  <si>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</si>
  <si>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</si>
  <si>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</si>
  <si>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</si>
  <si>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</si>
  <si>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</si>
  <si>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</si>
  <si>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</si>
  <si>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</si>
  <si>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</si>
  <si>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</si>
  <si>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</si>
  <si>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</si>
  <si>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</si>
  <si>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</si>
  <si>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</si>
  <si>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</si>
  <si>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</si>
  <si>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</si>
  <si>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</si>
  <si>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</si>
  <si>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</si>
  <si>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</si>
  <si>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</si>
  <si>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</si>
  <si>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</si>
  <si>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</si>
  <si>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</si>
  <si>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</si>
  <si>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</si>
  <si>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</si>
  <si>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</si>
  <si>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</si>
  <si>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</si>
  <si>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</si>
  <si>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</si>
  <si>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</si>
  <si>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</si>
  <si>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</si>
  <si>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</si>
  <si>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</si>
  <si>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</si>
  <si>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</si>
  <si>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</si>
  <si>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</si>
  <si>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</si>
  <si>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</si>
  <si>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</si>
  <si>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</si>
  <si>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</si>
  <si>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</si>
  <si>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</si>
  <si>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</si>
  <si>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</si>
  <si>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</si>
  <si>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</si>
  <si>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</si>
  <si>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</si>
  <si>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</si>
  <si>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</si>
  <si>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</si>
  <si>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</si>
  <si>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</si>
  <si>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</si>
  <si>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</si>
  <si>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</si>
  <si>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</si>
  <si>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</si>
  <si>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</si>
  <si>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</si>
  <si>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</si>
  <si>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</si>
  <si>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</si>
  <si>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</si>
  <si>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</si>
  <si>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</si>
  <si>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</si>
  <si>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</si>
  <si>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</si>
  <si>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</si>
  <si>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</si>
  <si>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</si>
  <si>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</si>
  <si>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</si>
  <si>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</si>
  <si>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</si>
  <si>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</si>
  <si>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</si>
  <si>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</si>
  <si>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</si>
  <si>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</si>
  <si>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</si>
  <si>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</si>
  <si>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</si>
  <si>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</si>
  <si>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</si>
  <si>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</si>
  <si>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</si>
  <si>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</si>
  <si>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</si>
  <si>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</si>
  <si>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</si>
  <si>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</si>
  <si>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</si>
  <si>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</si>
  <si>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</si>
  <si>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</si>
  <si>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</si>
  <si>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</si>
  <si>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</si>
  <si>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</si>
  <si>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</si>
  <si>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</si>
  <si>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</si>
  <si>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</si>
  <si>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</si>
  <si>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</si>
  <si>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</si>
  <si>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</si>
  <si>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</si>
  <si>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</si>
  <si>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</si>
  <si>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</si>
  <si>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</si>
  <si>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</si>
  <si>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</si>
  <si>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</si>
  <si>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</si>
  <si>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</si>
  <si>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</si>
  <si>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</si>
  <si>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</si>
  <si>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</si>
  <si>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</si>
  <si>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</si>
  <si>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</si>
  <si>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</si>
  <si>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</si>
  <si>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</si>
  <si>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</si>
  <si>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</si>
  <si>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</si>
  <si>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</si>
  <si>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</si>
  <si>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</si>
  <si>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</si>
  <si>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</si>
  <si>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</si>
  <si>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</si>
  <si>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</si>
  <si>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</si>
  <si>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</si>
  <si>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</si>
  <si>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</si>
  <si>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</si>
  <si>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</si>
  <si>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</si>
  <si>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</si>
  <si>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</si>
  <si>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</si>
  <si>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</si>
  <si>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</si>
  <si>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</si>
  <si>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</si>
  <si>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</si>
  <si>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</si>
  <si>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</si>
  <si>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</si>
  <si>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</si>
  <si>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</si>
  <si>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</si>
  <si>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</si>
  <si>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</si>
  <si>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</si>
  <si>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</si>
  <si>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</si>
  <si>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</si>
  <si>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</si>
  <si>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</si>
  <si>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</si>
  <si>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</si>
  <si>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</si>
  <si>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</si>
  <si>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</si>
  <si>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</si>
  <si>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</si>
  <si>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</si>
  <si>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</si>
  <si>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</si>
  <si>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</si>
  <si>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</si>
  <si>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</si>
  <si>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</si>
  <si>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</si>
  <si>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</si>
  <si>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</si>
  <si>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</si>
  <si>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</si>
  <si>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</si>
  <si>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</si>
  <si>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</si>
  <si>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</si>
  <si>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</si>
  <si>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</si>
  <si>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</si>
  <si>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</si>
  <si>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</si>
  <si>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</si>
  <si>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</si>
  <si>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</si>
  <si>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</si>
  <si>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</si>
  <si>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</si>
  <si>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</si>
  <si>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</si>
  <si>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</si>
  <si>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</si>
  <si>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</si>
  <si>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</si>
  <si>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</si>
  <si>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</si>
  <si>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</si>
  <si>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</si>
  <si>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</si>
  <si>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</si>
  <si>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</si>
  <si>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</si>
  <si>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</si>
  <si>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</si>
  <si>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</si>
  <si>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</si>
  <si>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</si>
  <si>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</si>
  <si>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</si>
  <si>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</si>
  <si>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</si>
  <si>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</si>
  <si>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</si>
  <si>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</si>
  <si>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</si>
  <si>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</si>
  <si>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</si>
  <si>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</si>
  <si>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</si>
  <si>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</si>
  <si>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</si>
  <si>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</si>
  <si>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</si>
  <si>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</si>
  <si>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</si>
  <si>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</si>
  <si>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</si>
  <si>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</si>
  <si>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</si>
  <si>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</si>
  <si>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</si>
  <si>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</si>
  <si>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</si>
  <si>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</si>
  <si>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</si>
  <si>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</si>
  <si>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</si>
  <si>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</si>
  <si>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</si>
  <si>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</si>
  <si>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</si>
  <si>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</si>
  <si>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</si>
  <si>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</si>
  <si>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</si>
  <si>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</si>
  <si>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</si>
  <si>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</si>
  <si>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</si>
  <si>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</si>
  <si>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</si>
  <si>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</si>
  <si>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</si>
  <si>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</si>
  <si>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</si>
  <si>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</si>
  <si>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</si>
  <si>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</si>
  <si>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</si>
  <si>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</si>
  <si>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</si>
  <si>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</si>
  <si>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</si>
  <si>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</si>
  <si>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</si>
  <si>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</si>
  <si>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</si>
  <si>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</si>
  <si>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</si>
  <si>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</si>
  <si>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</si>
  <si>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</si>
  <si>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</si>
  <si>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</si>
  <si>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</si>
  <si>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</si>
  <si>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</si>
  <si>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</si>
  <si>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</si>
  <si>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</si>
  <si>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</si>
  <si>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</si>
  <si>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</si>
  <si>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</si>
  <si>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</si>
  <si>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</si>
  <si>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</si>
  <si>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</si>
  <si>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</si>
  <si>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</si>
  <si>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</si>
  <si>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</si>
  <si>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</si>
  <si>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</si>
  <si>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</si>
  <si>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</si>
  <si>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</si>
  <si>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</si>
  <si>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</si>
  <si>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</si>
  <si>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</si>
  <si>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</si>
  <si>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</si>
  <si>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</si>
  <si>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</si>
  <si>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</si>
  <si>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</si>
  <si>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</si>
  <si>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</si>
  <si>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</si>
  <si>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</si>
  <si>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</si>
  <si>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</si>
  <si>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</si>
  <si>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</si>
  <si>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</si>
  <si>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</si>
  <si>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</si>
  <si>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</si>
  <si>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</si>
  <si>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</si>
  <si>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</si>
  <si>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</si>
  <si>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</si>
  <si>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</si>
  <si>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</si>
  <si>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</si>
  <si>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</si>
  <si>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</si>
  <si>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</si>
  <si>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</si>
  <si>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</si>
  <si>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</si>
  <si>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</si>
  <si>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</si>
  <si>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</si>
  <si>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</si>
  <si>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</si>
  <si>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</si>
  <si>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</si>
  <si>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</si>
  <si>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</si>
  <si>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</si>
  <si>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</si>
  <si>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</si>
  <si>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</si>
  <si>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</si>
  <si>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</si>
  <si>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</si>
  <si>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</si>
  <si>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</si>
  <si>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</si>
  <si>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</si>
  <si>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</si>
  <si>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</si>
  <si>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</si>
  <si>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</si>
  <si>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</si>
  <si>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</si>
  <si>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</si>
  <si>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</si>
  <si>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</si>
  <si>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</si>
  <si>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</si>
  <si>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</si>
  <si>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</si>
  <si>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</si>
  <si>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</si>
  <si>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</si>
  <si>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</si>
  <si>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</si>
  <si>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</si>
  <si>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</si>
  <si>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</si>
  <si>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</si>
  <si>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</si>
  <si>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</si>
  <si>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</si>
  <si>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</si>
  <si>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</si>
  <si>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</si>
  <si>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</si>
  <si>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</si>
  <si>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</si>
  <si>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</si>
  <si>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</si>
  <si>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</si>
  <si>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</si>
  <si>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</si>
  <si>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</si>
  <si>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</si>
  <si>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</si>
  <si>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</si>
  <si>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</si>
  <si>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</si>
  <si>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</si>
  <si>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</si>
  <si>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</si>
  <si>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</si>
  <si>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</si>
  <si>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</si>
  <si>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</si>
  <si>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</si>
  <si>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</si>
  <si>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</si>
  <si>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</si>
  <si>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</si>
  <si>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</si>
  <si>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</si>
  <si>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</si>
  <si>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</si>
  <si>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</si>
  <si>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</si>
  <si>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</si>
  <si>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</si>
  <si>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</si>
  <si>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</si>
  <si>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</si>
  <si>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</si>
  <si>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</si>
  <si>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</si>
  <si>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</si>
  <si>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</si>
  <si>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</si>
  <si>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</si>
  <si>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</si>
  <si>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</si>
  <si>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</si>
  <si>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</si>
  <si>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</si>
  <si>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</si>
  <si>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</si>
  <si>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</si>
  <si>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</si>
  <si>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</si>
  <si>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</si>
  <si>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</si>
  <si>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</si>
  <si>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</si>
  <si>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</si>
  <si>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</si>
  <si>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</si>
  <si>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</si>
  <si>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</si>
  <si>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</si>
  <si>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</si>
  <si>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</si>
  <si>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</si>
  <si>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</si>
  <si>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</si>
  <si>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</si>
  <si>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</si>
  <si>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</si>
  <si>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</si>
  <si>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</si>
  <si>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</si>
  <si>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</si>
  <si>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</si>
  <si>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</si>
  <si>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</si>
  <si>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</si>
  <si>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</si>
  <si>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</si>
  <si>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</si>
  <si>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</si>
  <si>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</si>
  <si>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</si>
  <si>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</si>
  <si>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</si>
  <si>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</si>
  <si>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</si>
  <si>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</si>
  <si>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</si>
  <si>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</si>
  <si>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</si>
  <si>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</si>
  <si>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</si>
  <si>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</si>
  <si>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</si>
  <si>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</si>
  <si>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</si>
  <si>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</si>
  <si>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</si>
  <si>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</si>
  <si>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</si>
  <si>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</si>
  <si>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</si>
  <si>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</si>
  <si>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</si>
  <si>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</si>
  <si>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</si>
  <si>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</si>
  <si>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</si>
  <si>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</si>
  <si>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</si>
  <si>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</si>
  <si>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</si>
  <si>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</si>
  <si>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</si>
  <si>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</si>
  <si>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</si>
  <si>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</si>
  <si>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</si>
  <si>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</si>
  <si>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</si>
  <si>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</si>
  <si>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</si>
  <si>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</si>
  <si>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</si>
  <si>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</si>
  <si>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</si>
  <si>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</si>
  <si>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</si>
  <si>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</si>
  <si>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</si>
  <si>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</si>
  <si>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</si>
  <si>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</si>
  <si>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</si>
  <si>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</si>
  <si>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</si>
  <si>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</si>
  <si>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</si>
  <si>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</si>
  <si>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</si>
  <si>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</si>
  <si>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</si>
  <si>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</si>
  <si>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</si>
  <si>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</si>
  <si>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</si>
  <si>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</si>
  <si>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</si>
  <si>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</si>
  <si>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</si>
  <si>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</si>
  <si>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10401 WEST GRAND AVENUE</t>
  </si>
  <si>
    <t>FRANKLIN PARK</t>
  </si>
  <si>
    <t>847-455-4413</t>
  </si>
  <si>
    <t>847-451-2703</t>
  </si>
  <si>
    <t>EVOY, KAMSCHULTE, JACOBS &amp; CO. LLP</t>
  </si>
  <si>
    <t>JAMES HENRY, CPA</t>
  </si>
  <si>
    <t>2122 YEOMAN STREET</t>
  </si>
  <si>
    <t>WAUKEGAN</t>
  </si>
  <si>
    <t>IL</t>
  </si>
  <si>
    <t>847-662-8300</t>
  </si>
  <si>
    <t>847-662-8305</t>
  </si>
  <si>
    <t>066-003289</t>
  </si>
  <si>
    <t>JHENRY@EKJLLP.COM</t>
  </si>
  <si>
    <t>Evoy, Kamschulte, Jacobs &amp; Co. LLP</t>
  </si>
  <si>
    <t>2011-C REFUNDING BONDS</t>
  </si>
  <si>
    <t>2011-D REFUNDING BONDS</t>
  </si>
  <si>
    <t>2013-C REFUNDING BONDS</t>
  </si>
  <si>
    <t>2013-A REFUNDING BONDS</t>
  </si>
  <si>
    <t>2013-B REFUNDING BONDS</t>
  </si>
  <si>
    <t>2013-D WORKING CASH FUND AND REFUNDING BONDS</t>
  </si>
  <si>
    <t>1 AND 3</t>
  </si>
  <si>
    <t>Leyden Area Special Education Cooperative (LASEC)</t>
  </si>
  <si>
    <t>Educational Benefit Cooperative (EBC)</t>
  </si>
  <si>
    <t>Collective Liability Insurance Cooperative (CLIC), School Employees Loss Fund (SELF)</t>
  </si>
  <si>
    <t>ISDLAF, IL Funds, IL Portfolio-IIIT</t>
  </si>
  <si>
    <r>
      <t>The accompanying Schedule of Expenditures of Federal Awards includes the federal grant activity of Mannheim School District 83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</si>
  <si>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 - N/A</t>
  </si>
  <si>
    <t>N/A</t>
  </si>
  <si>
    <t>NONE</t>
  </si>
  <si>
    <r>
      <t xml:space="preserve">The following amounts were expended in the form of non-cash assistance by Mannheim School Distric 83 and are </t>
    </r>
    <r>
      <rPr>
        <sz val="9"/>
        <rFont val="Calibri"/>
        <family val="2"/>
        <scheme val="minor"/>
      </rPr>
      <t>included in the Schedule of Expenditures of Federal Awards:</t>
    </r>
  </si>
  <si>
    <t>Unmodified</t>
  </si>
  <si>
    <t>Child Nutrition Cluster</t>
  </si>
  <si>
    <t>10.553, 10.555</t>
  </si>
  <si>
    <t>U S DEPARTMENT OF AGRICULTURE</t>
  </si>
  <si>
    <t>Passed Through IL State Board of Education</t>
  </si>
  <si>
    <t>(M) National School Lunch Program</t>
  </si>
  <si>
    <t>4210-2020</t>
  </si>
  <si>
    <t>4210-2019</t>
  </si>
  <si>
    <t>(M) School Braekfast Program</t>
  </si>
  <si>
    <t>4220-2020</t>
  </si>
  <si>
    <t>4220-2019</t>
  </si>
  <si>
    <t>(M) USDA Food Commodities - Non-Cash</t>
  </si>
  <si>
    <t>(M) DoD Fruits &amp; Vegetables - Non-Cash</t>
  </si>
  <si>
    <t>4240-2020</t>
  </si>
  <si>
    <t>4240-2019</t>
  </si>
  <si>
    <t>Total Child Nutrition Cluster</t>
  </si>
  <si>
    <t>TOTAL U S DEPARTMENT OF AGRICULTURE</t>
  </si>
  <si>
    <t>U S DEPARTMENT OF EDUCATION</t>
  </si>
  <si>
    <t xml:space="preserve">    Title I - Low-Income</t>
  </si>
  <si>
    <t>4300-2020</t>
  </si>
  <si>
    <t>4300-2019</t>
  </si>
  <si>
    <t xml:space="preserve">    Title I - School Improvement &amp; Accountability</t>
  </si>
  <si>
    <t>4331-2020</t>
  </si>
  <si>
    <t>4331-2019</t>
  </si>
  <si>
    <t>4909-2020</t>
  </si>
  <si>
    <t xml:space="preserve">    Title III - Language Instruction Program-Limited English Proficiency (LIPLEP)</t>
  </si>
  <si>
    <t>4909-2019</t>
  </si>
  <si>
    <t xml:space="preserve">    Title II - Teacher Quality</t>
  </si>
  <si>
    <t>4932-2020</t>
  </si>
  <si>
    <t>4932-2019</t>
  </si>
  <si>
    <t>U S DEPARTMENT OF EDUCATION (Continued)</t>
  </si>
  <si>
    <t>Special Education Cluster</t>
  </si>
  <si>
    <t>Passed Through IL State Board of Education Through Leyden Area Special Education Coop</t>
  </si>
  <si>
    <t xml:space="preserve">    Federal Special Education - IDEA - Pre-School Flow-Through</t>
  </si>
  <si>
    <t>4600-2020</t>
  </si>
  <si>
    <t>4600-2019</t>
  </si>
  <si>
    <t xml:space="preserve">    Federal Special Education - IDEA - Flow-Through</t>
  </si>
  <si>
    <t>4620-2020</t>
  </si>
  <si>
    <t>4620-2019</t>
  </si>
  <si>
    <t xml:space="preserve">    Federal Special Education - IDEA - Room &amp; Board</t>
  </si>
  <si>
    <t>4625-2020</t>
  </si>
  <si>
    <t>4625-2019</t>
  </si>
  <si>
    <t>Total Special Education Cluster</t>
  </si>
  <si>
    <t>TOTAL U S DEPARTMENT OF EDUCATION</t>
  </si>
  <si>
    <t>U S DEPARTMENT OF HEALTH AND HUMAN SERVICES</t>
  </si>
  <si>
    <t>Passed Through IL Department of Healthcare and Family Services</t>
  </si>
  <si>
    <t xml:space="preserve">    Medicaid Medical Assistance Program - Administrative Claim</t>
  </si>
  <si>
    <t>4991-2020</t>
  </si>
  <si>
    <t>4991-2019</t>
  </si>
  <si>
    <t>TOTAL U S DEPARTMENT OF HEALTH AND HUMAN SERVICES</t>
  </si>
  <si>
    <t>TOTAL FEDERAL FINANCIAL ASSISTANCE</t>
  </si>
  <si>
    <t>Value of Federal Awards Expended in the Form of Non-Cash Assistance Included Above</t>
  </si>
  <si>
    <t>Amounts Provided to Subrecipients</t>
  </si>
  <si>
    <t>Federal Insurance in Effect During the Year</t>
  </si>
  <si>
    <t>Federal Loans or Loan Guarantees, Including Interest Subsidies, Outstanding at Year End</t>
  </si>
  <si>
    <t xml:space="preserve">    Title IV - Student Support &amp; Academic Achievement</t>
  </si>
  <si>
    <t>4400-2020</t>
  </si>
  <si>
    <t>EDUC-Food Services-Purchased Services</t>
  </si>
  <si>
    <t>Arbor Management Services</t>
  </si>
  <si>
    <t>TRANS-Pupil Transportation-Purchased Services</t>
  </si>
  <si>
    <t>Richlee Vans</t>
  </si>
  <si>
    <t>EDUC-Health Services-Purchased Services</t>
  </si>
  <si>
    <t>Bright Star Care</t>
  </si>
  <si>
    <t>EDUC-Speech Pathology Services-Purchased Services</t>
  </si>
  <si>
    <t>Soliant Health</t>
  </si>
  <si>
    <t>EDUC-Instructional Services-Purchased Services</t>
  </si>
  <si>
    <t>Kelly Services</t>
  </si>
  <si>
    <t xml:space="preserve">    CARES Act - Emergency Relief</t>
  </si>
  <si>
    <t>4998-2020</t>
  </si>
  <si>
    <t xml:space="preserve"> Mannheim SD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</si>
</sst>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876300</xdr:colOff>
          <xdr:row>6</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2001</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2049</v>
      </c>
      <c r="C5" s="26" t="s">
        <v>904</v>
      </c>
      <c r="D5" s="81"/>
      <c r="E5" s="81"/>
      <c r="H5" s="38"/>
      <c r="I5" s="2088" t="s">
        <v>675</v>
      </c>
      <c r="J5" s="2087"/>
      <c r="K5" s="2087"/>
      <c r="L5" s="2087"/>
      <c r="M5" s="2087"/>
      <c r="N5" s="2087"/>
      <c r="O5" s="2087"/>
      <c r="P5" s="2087"/>
      <c r="Q5" s="2087"/>
      <c r="R5" s="2087"/>
      <c r="S5" s="2087"/>
      <c r="AF5" s="1826"/>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t="s">
        <v>2049</v>
      </c>
      <c r="P12" s="97" t="s">
        <v>200</v>
      </c>
      <c r="Q12" s="71"/>
      <c r="R12" s="30"/>
      <c r="S12" s="30"/>
      <c r="T12" s="82" t="s">
        <v>263</v>
      </c>
      <c r="U12" s="48"/>
      <c r="V12" s="48"/>
      <c r="W12" s="48"/>
      <c r="X12" s="48"/>
      <c r="Y12" s="43"/>
      <c r="Z12" s="43"/>
      <c r="AA12" s="44"/>
    </row>
    <row r="13" spans="1:32" ht="13.5" customHeight="1" x14ac:dyDescent="0.2">
      <c r="A13" s="2099">
        <v>6016083002</v>
      </c>
      <c r="B13" s="2100"/>
      <c r="C13" s="2100"/>
      <c r="D13" s="2100"/>
      <c r="E13" s="2100"/>
      <c r="F13" s="2100"/>
      <c r="G13" s="2100"/>
      <c r="H13" s="2101"/>
      <c r="I13" s="31"/>
      <c r="J13" s="30"/>
      <c r="K13" s="28"/>
      <c r="L13" s="30"/>
      <c r="M13" s="30"/>
      <c r="N13" s="30"/>
      <c r="O13" s="30"/>
      <c r="P13" s="30"/>
      <c r="Q13" s="30"/>
      <c r="R13" s="30"/>
      <c r="S13" s="30"/>
      <c r="T13" s="2105" t="s">
        <v>2055</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2050</v>
      </c>
      <c r="B15" s="2103"/>
      <c r="C15" s="2103"/>
      <c r="D15" s="2103"/>
      <c r="E15" s="2103"/>
      <c r="F15" s="2103"/>
      <c r="G15" s="2103"/>
      <c r="H15" s="2104"/>
      <c r="T15" s="2109" t="s">
        <v>2056</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2150</v>
      </c>
      <c r="B17" s="2073"/>
      <c r="C17" s="2073"/>
      <c r="D17" s="2073"/>
      <c r="E17" s="2073"/>
      <c r="F17" s="2073"/>
      <c r="G17" s="2073"/>
      <c r="H17" s="2098"/>
      <c r="T17" s="2116" t="s">
        <v>2057</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2051</v>
      </c>
      <c r="B19" s="2058"/>
      <c r="C19" s="2058"/>
      <c r="D19" s="2058"/>
      <c r="E19" s="2058"/>
      <c r="F19" s="2058"/>
      <c r="G19" s="2058"/>
      <c r="H19" s="2038"/>
      <c r="I19" s="30"/>
      <c r="J19" s="96"/>
      <c r="K19" s="40"/>
      <c r="L19" s="38"/>
      <c r="M19" s="109" t="s">
        <v>312</v>
      </c>
      <c r="P19" s="27"/>
      <c r="Q19" s="27"/>
      <c r="R19" s="27"/>
      <c r="S19" s="31"/>
      <c r="T19" s="2102" t="s">
        <v>2058</v>
      </c>
      <c r="U19" s="2037"/>
      <c r="V19" s="2037"/>
      <c r="W19" s="2038"/>
      <c r="X19" s="2114" t="s">
        <v>2059</v>
      </c>
      <c r="Y19" s="2115"/>
      <c r="Z19" s="2112">
        <v>60087</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2052</v>
      </c>
      <c r="B21" s="2037"/>
      <c r="C21" s="2037"/>
      <c r="D21" s="2037"/>
      <c r="E21" s="2037"/>
      <c r="F21" s="2037"/>
      <c r="G21" s="2037"/>
      <c r="H21" s="2038"/>
      <c r="I21" s="2092" t="s">
        <v>673</v>
      </c>
      <c r="J21" s="2087"/>
      <c r="K21" s="2087"/>
      <c r="L21" s="2087"/>
      <c r="M21" s="2087"/>
      <c r="N21" s="2087"/>
      <c r="O21" s="2087"/>
      <c r="P21" s="2087"/>
      <c r="Q21" s="2087"/>
      <c r="R21" s="2087"/>
      <c r="S21" s="2093"/>
      <c r="T21" s="2127" t="s">
        <v>2060</v>
      </c>
      <c r="U21" s="2128"/>
      <c r="V21" s="2128"/>
      <c r="W21" s="2128"/>
      <c r="X21" s="2133" t="s">
        <v>2061</v>
      </c>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c r="B23" s="2090"/>
      <c r="C23" s="2090"/>
      <c r="D23" s="2090"/>
      <c r="E23" s="2090"/>
      <c r="F23" s="2090"/>
      <c r="G23" s="2090"/>
      <c r="H23" s="2091"/>
      <c r="T23" s="2072" t="s">
        <v>2062</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60131</v>
      </c>
      <c r="B25" s="2037"/>
      <c r="C25" s="2037"/>
      <c r="D25" s="2037"/>
      <c r="E25" s="2037"/>
      <c r="F25" s="2037"/>
      <c r="G25" s="2037"/>
      <c r="H25" s="2038"/>
      <c r="I25" s="110"/>
      <c r="J25" s="2061"/>
      <c r="K25" s="2061"/>
      <c r="L25" s="2061"/>
      <c r="M25" s="2061"/>
      <c r="N25" s="2061"/>
      <c r="O25" s="2061"/>
      <c r="P25" s="2061"/>
      <c r="Q25" s="2061"/>
      <c r="R25" s="2061"/>
      <c r="S25" s="2062"/>
      <c r="T25" s="2123" t="s">
        <v>2063</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2049</v>
      </c>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2049</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c r="B38" s="2073"/>
      <c r="C38" s="2073"/>
      <c r="D38" s="2073"/>
      <c r="E38" s="2073"/>
      <c r="F38" s="2037"/>
      <c r="G38" s="2037"/>
      <c r="H38" s="2038"/>
      <c r="I38" s="2065"/>
      <c r="J38" s="2066"/>
      <c r="K38" s="2066"/>
      <c r="L38" s="2066"/>
      <c r="M38" s="2066"/>
      <c r="N38" s="2066"/>
      <c r="O38" s="2066"/>
      <c r="P38" s="2067"/>
      <c r="Q38" s="2067"/>
      <c r="R38" s="2067"/>
      <c r="S38" s="2068"/>
      <c r="T38" s="2109"/>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c r="B40" s="2051"/>
      <c r="C40" s="2052"/>
      <c r="D40" s="2052"/>
      <c r="E40" s="2052"/>
      <c r="F40" s="2053"/>
      <c r="G40" s="2053"/>
      <c r="H40" s="2054"/>
      <c r="I40" s="2075"/>
      <c r="J40" s="2076"/>
      <c r="K40" s="2076"/>
      <c r="L40" s="2076"/>
      <c r="M40" s="2076"/>
      <c r="N40" s="2076"/>
      <c r="O40" s="2076"/>
      <c r="P40" s="2076"/>
      <c r="Q40" s="2076"/>
      <c r="R40" s="2076"/>
      <c r="S40" s="2077"/>
      <c r="T40" s="2075"/>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2053</v>
      </c>
      <c r="B42" s="2056"/>
      <c r="C42" s="2057"/>
      <c r="D42" s="2055" t="s">
        <v>2054</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69" t="s">
        <v>1594</v>
      </c>
    </row>
    <row r="23" spans="1:5" x14ac:dyDescent="0.2">
      <c r="A23" s="163"/>
      <c r="B23" s="157" t="s">
        <v>1826</v>
      </c>
      <c r="D23" s="162" t="s">
        <v>632</v>
      </c>
      <c r="E23" s="1469" t="s">
        <v>953</v>
      </c>
    </row>
    <row r="24" spans="1:5" x14ac:dyDescent="0.2">
      <c r="A24" s="163" t="s">
        <v>1592</v>
      </c>
      <c r="C24" s="157" t="s">
        <v>1159</v>
      </c>
      <c r="D24" s="162" t="s">
        <v>1377</v>
      </c>
      <c r="E24" s="165" t="s">
        <v>954</v>
      </c>
    </row>
    <row r="25" spans="1:5" x14ac:dyDescent="0.2">
      <c r="A25" s="163" t="s">
        <v>1838</v>
      </c>
      <c r="C25" s="157" t="s">
        <v>1159</v>
      </c>
      <c r="D25" s="164" t="s">
        <v>21</v>
      </c>
      <c r="E25" s="1469" t="s">
        <v>2046</v>
      </c>
    </row>
    <row r="26" spans="1:5" x14ac:dyDescent="0.2">
      <c r="A26" s="163" t="s">
        <v>1839</v>
      </c>
      <c r="C26" s="157" t="s">
        <v>1159</v>
      </c>
      <c r="D26" s="164" t="s">
        <v>559</v>
      </c>
      <c r="E26" s="1469" t="s">
        <v>678</v>
      </c>
    </row>
    <row r="27" spans="1:5" x14ac:dyDescent="0.2">
      <c r="A27" s="163" t="s">
        <v>1840</v>
      </c>
      <c r="C27" s="157" t="s">
        <v>1159</v>
      </c>
      <c r="D27" s="164" t="s">
        <v>553</v>
      </c>
      <c r="E27" s="1469" t="s">
        <v>1350</v>
      </c>
    </row>
    <row r="28" spans="1:5" x14ac:dyDescent="0.2">
      <c r="A28" s="163" t="s">
        <v>1842</v>
      </c>
      <c r="D28" s="164" t="s">
        <v>679</v>
      </c>
      <c r="E28" s="1469" t="s">
        <v>1359</v>
      </c>
    </row>
    <row r="29" spans="1:5" x14ac:dyDescent="0.2">
      <c r="A29" s="163" t="s">
        <v>1843</v>
      </c>
      <c r="D29" s="164" t="s">
        <v>1378</v>
      </c>
      <c r="E29" s="1469"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5" t="s">
        <v>1751</v>
      </c>
    </row>
    <row r="60" spans="1:3" x14ac:dyDescent="0.2">
      <c r="A60" s="191"/>
      <c r="B60" s="1255"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257"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6"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6" colorId="8" zoomScaleNormal="100" workbookViewId="0">
      <selection activeCell="L88" sqref="L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2049</v>
      </c>
      <c r="C53" s="174">
        <v>22</v>
      </c>
      <c r="D53" s="242" t="s">
        <v>1445</v>
      </c>
      <c r="E53" s="243"/>
      <c r="F53" s="244"/>
      <c r="G53" s="244" t="s">
        <v>1444</v>
      </c>
      <c r="H53" s="245">
        <v>34700</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70"/>
      <c r="J77" s="256">
        <v>44104</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1987</v>
      </c>
      <c r="B85" s="2183"/>
      <c r="C85" s="2183"/>
      <c r="D85" s="2184"/>
      <c r="E85" s="1543">
        <v>0</v>
      </c>
      <c r="F85" s="1543">
        <v>0</v>
      </c>
      <c r="G85" s="1543">
        <v>0</v>
      </c>
      <c r="H85" s="1543">
        <v>0</v>
      </c>
      <c r="I85" s="1903">
        <v>0</v>
      </c>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1987</v>
      </c>
      <c r="B88" s="2186"/>
      <c r="C88" s="2186"/>
      <c r="D88" s="2187"/>
      <c r="E88" s="1543">
        <v>50362</v>
      </c>
      <c r="F88" s="1543">
        <v>0</v>
      </c>
      <c r="G88" s="1543">
        <v>0</v>
      </c>
      <c r="H88" s="1543">
        <v>0</v>
      </c>
      <c r="I88" s="1903">
        <v>0</v>
      </c>
      <c r="J88" s="1726">
        <f>SUM(E88:I88)</f>
        <v>50362</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50362</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2064</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1871</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889133008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3.5417999999999998E-2</v>
      </c>
      <c r="E10" s="333" t="s">
        <v>998</v>
      </c>
      <c r="F10" s="332">
        <v>4.5890000000000002E-3</v>
      </c>
      <c r="G10" s="333" t="s">
        <v>998</v>
      </c>
      <c r="H10" s="332">
        <v>3.3700000000000001E-4</v>
      </c>
      <c r="I10" s="333" t="s">
        <v>999</v>
      </c>
      <c r="J10" s="1423">
        <f>ROUND(D10+F10+H10,5)</f>
        <v>4.0340000000000001E-2</v>
      </c>
      <c r="K10" s="217"/>
      <c r="L10" s="332">
        <v>1.16E-4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52789188</v>
      </c>
      <c r="E16" s="1546"/>
      <c r="F16" s="1545">
        <f>SUM('Acct Summary 7-8'!C17,'Acct Summary 7-8'!D17,'Acct Summary 7-8'!F17)</f>
        <v>45571692</v>
      </c>
      <c r="G16" s="1546"/>
      <c r="H16" s="1545">
        <f>SUM(D16-F16)</f>
        <v>7217496</v>
      </c>
      <c r="I16" s="1547"/>
      <c r="J16" s="1545">
        <f>SUM('Acct Summary 7-8'!C81,'Acct Summary 7-8'!D81,'Acct Summary 7-8'!F81,'Acct Summary 7-8'!I81)</f>
        <v>65746284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2049</v>
      </c>
      <c r="C31" s="344" t="s">
        <v>582</v>
      </c>
      <c r="D31" s="232" t="s">
        <v>1063</v>
      </c>
      <c r="E31" s="217"/>
      <c r="F31" s="217"/>
      <c r="G31" s="340"/>
      <c r="H31" s="1424">
        <f>IF(B31="X",(J7*0.069),IF(B32="X",(J7*0.138),"Enter x in a.or b."))</f>
        <v>61350177.552000009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34025000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3" sqref="H3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Mannheim SD 83</v>
      </c>
      <c r="E7" s="368"/>
      <c r="G7" s="247"/>
      <c r="H7" s="364"/>
      <c r="I7" s="364"/>
      <c r="J7" s="364"/>
      <c r="K7" s="364"/>
      <c r="L7" s="307"/>
      <c r="M7" s="307"/>
      <c r="N7" s="307"/>
      <c r="O7" s="307"/>
      <c r="P7" s="307"/>
    </row>
    <row r="8" spans="1:18" ht="12.75" x14ac:dyDescent="0.2">
      <c r="A8" s="307"/>
      <c r="B8" s="307"/>
      <c r="C8" s="366" t="s">
        <v>1115</v>
      </c>
      <c r="D8" s="369">
        <f>COVER!A13</f>
        <v>6016083002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65746284</v>
      </c>
      <c r="I12" s="380"/>
      <c r="J12" s="380"/>
      <c r="K12" s="1558">
        <f>TRUNC((H12/H13*100000),5)/100000</f>
        <v>1.2454498067999999</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52789188</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45571692</v>
      </c>
      <c r="I17" s="380"/>
      <c r="J17" s="389"/>
      <c r="K17" s="1558">
        <f>TRUNC((H17/H18*100000),5)/100000</f>
        <v>0.86327700280000008</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52789188</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64874683</v>
      </c>
      <c r="I24" s="394"/>
      <c r="J24" s="394"/>
      <c r="K24" s="1554">
        <f>TRUNC(((H24/H25*100000)/100000),2)</f>
        <v>512.48</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126588.03333000001</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1891</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30487481.711309999</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2</v>
      </c>
      <c r="P31" s="211"/>
    </row>
    <row r="32" spans="1:18" s="382" customFormat="1" ht="11.25" x14ac:dyDescent="0.2">
      <c r="A32" s="213"/>
      <c r="B32" s="377"/>
      <c r="C32" s="213" t="s">
        <v>842</v>
      </c>
      <c r="D32" s="213"/>
      <c r="E32" s="213"/>
      <c r="F32" s="213"/>
      <c r="G32" s="378"/>
      <c r="H32" s="1550">
        <f>'FP Info 3'!H37</f>
        <v>34025000</v>
      </c>
      <c r="I32" s="392"/>
      <c r="J32" s="392"/>
      <c r="K32" s="1554">
        <f>TRUNC(100-((((H32/H33*100))*100)/100),2)</f>
        <v>44.53</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61350177.552000009</v>
      </c>
      <c r="I33" s="392"/>
      <c r="J33" s="392"/>
      <c r="K33" s="379"/>
      <c r="L33" s="213"/>
      <c r="M33" s="401" t="s">
        <v>1135</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A27" sqref="A2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43673073</v>
      </c>
      <c r="D4" s="1572">
        <v>6710731</v>
      </c>
      <c r="E4" s="1572">
        <v>2266087</v>
      </c>
      <c r="F4" s="1572">
        <v>12277807</v>
      </c>
      <c r="G4" s="1572">
        <v>3035795</v>
      </c>
      <c r="H4" s="1572">
        <v>323845</v>
      </c>
      <c r="I4" s="1572">
        <v>2213072</v>
      </c>
      <c r="J4" s="1573">
        <v>444490</v>
      </c>
      <c r="K4" s="1572">
        <v>5053</v>
      </c>
      <c r="L4" s="1572">
        <v>142311</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v>17392124</v>
      </c>
      <c r="D6" s="1572">
        <v>2059472</v>
      </c>
      <c r="E6" s="1572">
        <v>1135077</v>
      </c>
      <c r="F6" s="1572">
        <v>151498</v>
      </c>
      <c r="G6" s="1576">
        <v>260816</v>
      </c>
      <c r="H6" s="1576"/>
      <c r="I6" s="1572">
        <v>51888</v>
      </c>
      <c r="J6" s="1578">
        <v>164694</v>
      </c>
      <c r="K6" s="1576">
        <v>311922</v>
      </c>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v>637864</v>
      </c>
      <c r="D8" s="1573"/>
      <c r="E8" s="1573"/>
      <c r="F8" s="1573">
        <v>253747</v>
      </c>
      <c r="G8" s="1582"/>
      <c r="H8" s="1573"/>
      <c r="I8" s="1578"/>
      <c r="J8" s="1578"/>
      <c r="K8" s="1583"/>
      <c r="L8" s="1584"/>
      <c r="M8" s="1574"/>
      <c r="N8" s="1575"/>
    </row>
    <row r="9" spans="1:14" ht="13.5" customHeight="1" x14ac:dyDescent="0.2">
      <c r="A9" s="430" t="s">
        <v>268</v>
      </c>
      <c r="B9" s="429">
        <v>160</v>
      </c>
      <c r="C9" s="1580">
        <v>147623</v>
      </c>
      <c r="D9" s="1573">
        <v>33154</v>
      </c>
      <c r="E9" s="1573">
        <v>3153</v>
      </c>
      <c r="F9" s="1573">
        <v>81171</v>
      </c>
      <c r="G9" s="1573">
        <v>13294</v>
      </c>
      <c r="H9" s="1582">
        <v>15</v>
      </c>
      <c r="I9" s="1573">
        <v>6503</v>
      </c>
      <c r="J9" s="1573">
        <v>1672</v>
      </c>
      <c r="K9" s="1573">
        <v>656</v>
      </c>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61850684</v>
      </c>
      <c r="D13" s="1586">
        <f t="shared" ref="D13:L13" si="0">SUM(D4:D12)</f>
        <v>8803357</v>
      </c>
      <c r="E13" s="1586">
        <f t="shared" si="0"/>
        <v>3404317</v>
      </c>
      <c r="F13" s="1586">
        <f t="shared" si="0"/>
        <v>12764223</v>
      </c>
      <c r="G13" s="1586">
        <f t="shared" si="0"/>
        <v>3309905</v>
      </c>
      <c r="H13" s="1586">
        <f t="shared" si="0"/>
        <v>323860</v>
      </c>
      <c r="I13" s="1586">
        <f t="shared" si="0"/>
        <v>2271463</v>
      </c>
      <c r="J13" s="1586">
        <f t="shared" si="0"/>
        <v>610856</v>
      </c>
      <c r="K13" s="1586">
        <f t="shared" si="0"/>
        <v>317631</v>
      </c>
      <c r="L13" s="1586">
        <f t="shared" si="0"/>
        <v>142311</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5203303</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74599943</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2344208</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3587005</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3091453</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2269240</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31755760</v>
      </c>
    </row>
    <row r="23" spans="1:14" ht="13.5" customHeight="1" thickBot="1" x14ac:dyDescent="0.25">
      <c r="A23" s="1425" t="s">
        <v>638</v>
      </c>
      <c r="B23" s="1428"/>
      <c r="C23" s="1574"/>
      <c r="D23" s="1574"/>
      <c r="E23" s="1574"/>
      <c r="F23" s="1574"/>
      <c r="G23" s="1574"/>
      <c r="H23" s="1574"/>
      <c r="I23" s="1574"/>
      <c r="J23" s="1574"/>
      <c r="K23" s="1574"/>
      <c r="L23" s="1574"/>
      <c r="M23" s="1593">
        <f>SUM(M15:M22)</f>
        <v>88825912</v>
      </c>
      <c r="N23" s="1593">
        <f>SUM(N21:N22)</f>
        <v>34025000</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v>287931</v>
      </c>
      <c r="D30" s="1578"/>
      <c r="E30" s="1573"/>
      <c r="F30" s="1573">
        <v>530</v>
      </c>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v>17392124</v>
      </c>
      <c r="D32" s="1598">
        <v>2059472</v>
      </c>
      <c r="E32" s="1578">
        <v>1135077</v>
      </c>
      <c r="F32" s="1578">
        <v>151498</v>
      </c>
      <c r="G32" s="1578">
        <v>260816</v>
      </c>
      <c r="H32" s="1578"/>
      <c r="I32" s="1578">
        <v>51888</v>
      </c>
      <c r="J32" s="1578">
        <v>164694</v>
      </c>
      <c r="K32" s="1583">
        <v>311922</v>
      </c>
      <c r="L32" s="1574"/>
      <c r="M32" s="1574"/>
      <c r="N32" s="1574"/>
    </row>
    <row r="33" spans="1:14" ht="13.5" customHeight="1" x14ac:dyDescent="0.2">
      <c r="A33" s="436" t="s">
        <v>300</v>
      </c>
      <c r="B33" s="435">
        <v>493</v>
      </c>
      <c r="C33" s="1573"/>
      <c r="D33" s="1573"/>
      <c r="E33" s="1573"/>
      <c r="F33" s="1573"/>
      <c r="G33" s="1573"/>
      <c r="H33" s="1573"/>
      <c r="I33" s="1573"/>
      <c r="J33" s="1573"/>
      <c r="K33" s="1573"/>
      <c r="L33" s="1573">
        <v>142311</v>
      </c>
      <c r="M33" s="1574"/>
      <c r="N33" s="1575"/>
    </row>
    <row r="34" spans="1:14" ht="13.5" customHeight="1" thickBot="1" x14ac:dyDescent="0.25">
      <c r="A34" s="1426" t="s">
        <v>649</v>
      </c>
      <c r="B34" s="1427"/>
      <c r="C34" s="1599">
        <f>SUM(C25:C33)</f>
        <v>17680055</v>
      </c>
      <c r="D34" s="1599">
        <f t="shared" ref="D34:K34" si="1">SUM(D25:D33)</f>
        <v>2059472</v>
      </c>
      <c r="E34" s="1599">
        <f t="shared" si="1"/>
        <v>1135077</v>
      </c>
      <c r="F34" s="1599">
        <f t="shared" si="1"/>
        <v>152028</v>
      </c>
      <c r="G34" s="1599">
        <f t="shared" si="1"/>
        <v>260816</v>
      </c>
      <c r="H34" s="1599">
        <f t="shared" si="1"/>
        <v>0</v>
      </c>
      <c r="I34" s="1599">
        <f t="shared" si="1"/>
        <v>51888</v>
      </c>
      <c r="J34" s="1599">
        <f t="shared" si="1"/>
        <v>164694</v>
      </c>
      <c r="K34" s="1599">
        <f t="shared" si="1"/>
        <v>311922</v>
      </c>
      <c r="L34" s="1600">
        <f>SUM(L33)</f>
        <v>142311</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34025000</v>
      </c>
    </row>
    <row r="37" spans="1:14" ht="13.5" thickBot="1" x14ac:dyDescent="0.25">
      <c r="A37" s="1425" t="s">
        <v>648</v>
      </c>
      <c r="B37" s="1428"/>
      <c r="C37" s="1581"/>
      <c r="D37" s="1581"/>
      <c r="E37" s="1581"/>
      <c r="F37" s="1581"/>
      <c r="G37" s="1581"/>
      <c r="H37" s="1581"/>
      <c r="I37" s="1581"/>
      <c r="J37" s="1581"/>
      <c r="K37" s="1581"/>
      <c r="L37" s="1584"/>
      <c r="M37" s="1574"/>
      <c r="N37" s="1593">
        <f>SUM(N36:N36)</f>
        <v>34025000</v>
      </c>
    </row>
    <row r="38" spans="1:14" s="307" customFormat="1" ht="13.5" customHeight="1" thickTop="1" x14ac:dyDescent="0.2">
      <c r="A38" s="438" t="s">
        <v>417</v>
      </c>
      <c r="B38" s="432">
        <v>714</v>
      </c>
      <c r="C38" s="1572"/>
      <c r="D38" s="1572"/>
      <c r="E38" s="1572"/>
      <c r="F38" s="1572"/>
      <c r="G38" s="1572"/>
      <c r="H38" s="1572"/>
      <c r="I38" s="1572"/>
      <c r="J38" s="1573"/>
      <c r="K38" s="1572"/>
      <c r="L38" s="1585"/>
      <c r="M38" s="1603"/>
      <c r="N38" s="1603"/>
    </row>
    <row r="39" spans="1:14" s="307" customFormat="1" ht="13.5" customHeight="1" x14ac:dyDescent="0.2">
      <c r="A39" s="438" t="s">
        <v>339</v>
      </c>
      <c r="B39" s="432">
        <v>730</v>
      </c>
      <c r="C39" s="1572">
        <v>44170629</v>
      </c>
      <c r="D39" s="1572">
        <v>6743885</v>
      </c>
      <c r="E39" s="1572">
        <v>2269240</v>
      </c>
      <c r="F39" s="1572">
        <v>12612195</v>
      </c>
      <c r="G39" s="1572">
        <v>3049089</v>
      </c>
      <c r="H39" s="1572">
        <v>323860</v>
      </c>
      <c r="I39" s="1572">
        <v>2219575</v>
      </c>
      <c r="J39" s="1573">
        <v>446162</v>
      </c>
      <c r="K39" s="1572">
        <v>5709</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88825912</v>
      </c>
      <c r="N40" s="1603"/>
    </row>
    <row r="41" spans="1:14" ht="13.5" customHeight="1" thickBot="1" x14ac:dyDescent="0.25">
      <c r="A41" s="1425" t="s">
        <v>650</v>
      </c>
      <c r="B41" s="1404"/>
      <c r="C41" s="1593">
        <f>(SUM(C34,C37,C38,C39))</f>
        <v>61850684</v>
      </c>
      <c r="D41" s="1593">
        <f t="shared" ref="D41:L41" si="2">SUM(D34,D37,D38:D39)</f>
        <v>8803357</v>
      </c>
      <c r="E41" s="1593">
        <f t="shared" si="2"/>
        <v>3404317</v>
      </c>
      <c r="F41" s="1593">
        <f t="shared" si="2"/>
        <v>12764223</v>
      </c>
      <c r="G41" s="1593">
        <f t="shared" si="2"/>
        <v>3309905</v>
      </c>
      <c r="H41" s="1593">
        <f t="shared" si="2"/>
        <v>323860</v>
      </c>
      <c r="I41" s="1593">
        <f t="shared" si="2"/>
        <v>2271463</v>
      </c>
      <c r="J41" s="1593">
        <f t="shared" si="2"/>
        <v>610856</v>
      </c>
      <c r="K41" s="1593">
        <f t="shared" si="2"/>
        <v>317631</v>
      </c>
      <c r="L41" s="1593">
        <f t="shared" si="2"/>
        <v>142311</v>
      </c>
      <c r="M41" s="1593">
        <f>SUM(M40)</f>
        <v>88825912</v>
      </c>
      <c r="N41" s="1593">
        <f>SUM(N37)</f>
        <v>34025000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33658523</v>
      </c>
      <c r="D4" s="1605">
        <f>'Revenues 9-14'!D109</f>
        <v>7472839</v>
      </c>
      <c r="E4" s="1605">
        <f>'Revenues 9-14'!E109</f>
        <v>2115307</v>
      </c>
      <c r="F4" s="1605">
        <f>'Revenues 9-14'!F109</f>
        <v>558505</v>
      </c>
      <c r="G4" s="1605">
        <f>'Revenues 9-14'!G109</f>
        <v>638472</v>
      </c>
      <c r="H4" s="1605">
        <f>'Revenues 9-14'!H109</f>
        <v>0</v>
      </c>
      <c r="I4" s="1605">
        <f>'Revenues 9-14'!I109</f>
        <v>143379</v>
      </c>
      <c r="J4" s="1605">
        <f>'Revenues 9-14'!J109</f>
        <v>309440</v>
      </c>
      <c r="K4" s="1605">
        <f>'Revenues 9-14'!K109</f>
        <v>652213</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7255741</v>
      </c>
      <c r="D6" s="1606">
        <f>'Revenues 9-14'!D170</f>
        <v>0</v>
      </c>
      <c r="E6" s="1606">
        <f>'Revenues 9-14'!E170</f>
        <v>0</v>
      </c>
      <c r="F6" s="1606">
        <f>'Revenues 9-14'!F170</f>
        <v>1019363</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2680838</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43595102</v>
      </c>
      <c r="D8" s="1593">
        <f t="shared" ref="D8:K8" si="0">SUM(D4:D7)</f>
        <v>7472839</v>
      </c>
      <c r="E8" s="1593">
        <f t="shared" si="0"/>
        <v>2115307</v>
      </c>
      <c r="F8" s="1593">
        <f t="shared" si="0"/>
        <v>1577868</v>
      </c>
      <c r="G8" s="1593">
        <f t="shared" si="0"/>
        <v>638472</v>
      </c>
      <c r="H8" s="1593">
        <f t="shared" si="0"/>
        <v>0</v>
      </c>
      <c r="I8" s="1593">
        <f t="shared" si="0"/>
        <v>143379</v>
      </c>
      <c r="J8" s="1593">
        <f t="shared" si="0"/>
        <v>309440</v>
      </c>
      <c r="K8" s="1593">
        <f t="shared" si="0"/>
        <v>652213</v>
      </c>
      <c r="L8" s="325"/>
    </row>
    <row r="9" spans="1:13" ht="15.75" thickTop="1" x14ac:dyDescent="0.2">
      <c r="A9" s="449" t="s">
        <v>1634</v>
      </c>
      <c r="B9" s="450">
        <v>3998</v>
      </c>
      <c r="C9" s="1585">
        <v>16650396</v>
      </c>
      <c r="D9" s="1612"/>
      <c r="E9" s="1585"/>
      <c r="F9" s="1585"/>
      <c r="G9" s="1613"/>
      <c r="H9" s="1585"/>
      <c r="I9" s="1608" t="s">
        <v>1159</v>
      </c>
      <c r="J9" s="1582"/>
      <c r="K9" s="1585"/>
      <c r="L9" s="325"/>
    </row>
    <row r="10" spans="1:13" s="452" customFormat="1" ht="13.5" thickBot="1" x14ac:dyDescent="0.25">
      <c r="A10" s="1425" t="s">
        <v>1163</v>
      </c>
      <c r="B10" s="1406"/>
      <c r="C10" s="1593">
        <f>SUM(C8:C9)</f>
        <v>60245498</v>
      </c>
      <c r="D10" s="1593">
        <f t="shared" ref="D10:K10" si="1">SUM(D8:D9)</f>
        <v>7472839</v>
      </c>
      <c r="E10" s="1593">
        <f t="shared" si="1"/>
        <v>2115307</v>
      </c>
      <c r="F10" s="1593">
        <f t="shared" si="1"/>
        <v>1577868</v>
      </c>
      <c r="G10" s="1593">
        <f t="shared" si="1"/>
        <v>638472</v>
      </c>
      <c r="H10" s="1593">
        <f t="shared" si="1"/>
        <v>0</v>
      </c>
      <c r="I10" s="1593">
        <f t="shared" si="1"/>
        <v>143379</v>
      </c>
      <c r="J10" s="1593">
        <f t="shared" si="1"/>
        <v>309440</v>
      </c>
      <c r="K10" s="1593">
        <f t="shared" si="1"/>
        <v>652213</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24275881</v>
      </c>
      <c r="D12" s="1615" t="s">
        <v>1159</v>
      </c>
      <c r="E12" s="1574" t="s">
        <v>1159</v>
      </c>
      <c r="F12" s="1574" t="s">
        <v>1159</v>
      </c>
      <c r="G12" s="1605">
        <f>'Expenditures 15-22'!K229</f>
        <v>532010</v>
      </c>
      <c r="H12" s="1616"/>
      <c r="I12" s="1574" t="s">
        <v>1159</v>
      </c>
      <c r="J12" s="1574" t="s">
        <v>1159</v>
      </c>
      <c r="K12" s="1616" t="s">
        <v>1159</v>
      </c>
      <c r="L12" s="325"/>
    </row>
    <row r="13" spans="1:13" ht="15.75" customHeight="1" x14ac:dyDescent="0.2">
      <c r="A13" s="1313" t="s">
        <v>454</v>
      </c>
      <c r="B13" s="1315">
        <v>2000</v>
      </c>
      <c r="C13" s="1606">
        <f>'Expenditures 15-22'!K74</f>
        <v>12585920</v>
      </c>
      <c r="D13" s="1606">
        <f>'Expenditures 15-22'!K129</f>
        <v>5653883</v>
      </c>
      <c r="E13" s="1575" t="s">
        <v>1159</v>
      </c>
      <c r="F13" s="1606">
        <f>'Expenditures 15-22'!K184</f>
        <v>2125539</v>
      </c>
      <c r="G13" s="1606">
        <f>'Expenditures 15-22'!K279</f>
        <v>780527</v>
      </c>
      <c r="H13" s="1606">
        <f>'Expenditures 15-22'!K303</f>
        <v>6999999</v>
      </c>
      <c r="I13" s="1574" t="s">
        <v>1159</v>
      </c>
      <c r="J13" s="1606">
        <f>'Expenditures 15-22'!K330</f>
        <v>259274</v>
      </c>
      <c r="K13" s="1617">
        <f>'Expenditures 15-22'!K352</f>
        <v>883311</v>
      </c>
      <c r="L13" s="325"/>
    </row>
    <row r="14" spans="1:13" ht="15.75" customHeight="1" x14ac:dyDescent="0.2">
      <c r="A14" s="1313" t="s">
        <v>446</v>
      </c>
      <c r="B14" s="1315">
        <v>3000</v>
      </c>
      <c r="C14" s="1606">
        <f>'Expenditures 15-22'!K75</f>
        <v>23719</v>
      </c>
      <c r="D14" s="1606">
        <f>'Expenditures 15-22'!K130</f>
        <v>0</v>
      </c>
      <c r="E14" s="1615" t="s">
        <v>1159</v>
      </c>
      <c r="F14" s="1606">
        <f>'Expenditures 15-22'!K185</f>
        <v>0</v>
      </c>
      <c r="G14" s="1606">
        <f>'Expenditures 15-22'!K280</f>
        <v>1806</v>
      </c>
      <c r="H14" s="1611"/>
      <c r="I14" s="1574" t="s">
        <v>1159</v>
      </c>
      <c r="J14" s="1574" t="s">
        <v>1159</v>
      </c>
      <c r="K14" s="1611" t="s">
        <v>1159</v>
      </c>
      <c r="L14" s="325"/>
    </row>
    <row r="15" spans="1:13" ht="15.75" customHeight="1" x14ac:dyDescent="0.2">
      <c r="A15" s="1313" t="s">
        <v>107</v>
      </c>
      <c r="B15" s="1315">
        <v>4000</v>
      </c>
      <c r="C15" s="1606">
        <f>'Expenditures 15-22'!K102</f>
        <v>906750</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3764374</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37792270</v>
      </c>
      <c r="D17" s="1593">
        <f t="shared" si="2"/>
        <v>5653883</v>
      </c>
      <c r="E17" s="1593">
        <f t="shared" si="2"/>
        <v>3764374</v>
      </c>
      <c r="F17" s="1593">
        <f t="shared" si="2"/>
        <v>2125539</v>
      </c>
      <c r="G17" s="1593">
        <f t="shared" si="2"/>
        <v>1314343</v>
      </c>
      <c r="H17" s="1593">
        <f t="shared" si="2"/>
        <v>6999999</v>
      </c>
      <c r="I17" s="1574"/>
      <c r="J17" s="1593">
        <f>SUM(J12:J16)</f>
        <v>259274</v>
      </c>
      <c r="K17" s="1593">
        <f>SUM(K12:K16)</f>
        <v>883311</v>
      </c>
      <c r="L17" s="325"/>
    </row>
    <row r="18" spans="1:12" ht="15" customHeight="1" thickTop="1" x14ac:dyDescent="0.2">
      <c r="A18" s="1429" t="s">
        <v>1635</v>
      </c>
      <c r="B18" s="1430">
        <v>4180</v>
      </c>
      <c r="C18" s="1605">
        <f t="shared" ref="C18:H18" si="3">C9</f>
        <v>16650396</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54442666</v>
      </c>
      <c r="D19" s="1593">
        <f t="shared" si="4"/>
        <v>5653883</v>
      </c>
      <c r="E19" s="1593">
        <f t="shared" si="4"/>
        <v>3764374</v>
      </c>
      <c r="F19" s="1593">
        <f t="shared" si="4"/>
        <v>2125539</v>
      </c>
      <c r="G19" s="1593">
        <f t="shared" si="4"/>
        <v>1314343</v>
      </c>
      <c r="H19" s="1593">
        <f t="shared" si="4"/>
        <v>6999999</v>
      </c>
      <c r="I19" s="1574"/>
      <c r="J19" s="1593">
        <f>SUM(J17:J18)</f>
        <v>259274</v>
      </c>
      <c r="K19" s="1593">
        <f>SUM(K17:K18)</f>
        <v>883311</v>
      </c>
      <c r="L19" s="325"/>
    </row>
    <row r="20" spans="1:12" ht="16.5" thickTop="1" thickBot="1" x14ac:dyDescent="0.25">
      <c r="A20" s="2230" t="s">
        <v>1636</v>
      </c>
      <c r="B20" s="2231"/>
      <c r="C20" s="1621">
        <f>C8-C17</f>
        <v>5802832</v>
      </c>
      <c r="D20" s="1621">
        <f t="shared" ref="D20:K20" si="5">D8-D17</f>
        <v>1818956</v>
      </c>
      <c r="E20" s="1621">
        <f t="shared" si="5"/>
        <v>-1649067</v>
      </c>
      <c r="F20" s="1621">
        <f t="shared" si="5"/>
        <v>-547671</v>
      </c>
      <c r="G20" s="1621">
        <f t="shared" si="5"/>
        <v>-675871</v>
      </c>
      <c r="H20" s="1621">
        <f t="shared" si="5"/>
        <v>-6999999</v>
      </c>
      <c r="I20" s="1621">
        <f t="shared" si="5"/>
        <v>143379</v>
      </c>
      <c r="J20" s="1621">
        <f t="shared" si="5"/>
        <v>50166</v>
      </c>
      <c r="K20" s="1621">
        <f t="shared" si="5"/>
        <v>-231098</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v>4525000</v>
      </c>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1769</v>
      </c>
      <c r="B30" s="455">
        <v>7160</v>
      </c>
      <c r="C30" s="1581"/>
      <c r="D30" s="1573"/>
      <c r="E30" s="1581"/>
      <c r="F30" s="1581"/>
      <c r="G30" s="1581"/>
      <c r="H30" s="1581"/>
      <c r="I30" s="1581"/>
      <c r="J30" s="1581"/>
      <c r="K30" s="1581"/>
      <c r="L30" s="453"/>
    </row>
    <row r="31" spans="1:12" s="433" customFormat="1" ht="26.25" x14ac:dyDescent="0.2">
      <c r="A31" s="1259" t="s">
        <v>1773</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v>198320</v>
      </c>
      <c r="D36" s="1573"/>
      <c r="E36" s="1573"/>
      <c r="F36" s="1573">
        <v>12000</v>
      </c>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1655000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4525000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198320</v>
      </c>
      <c r="D44" s="1623">
        <f t="shared" ref="D44:K44" si="6">SUM(D24:D43)</f>
        <v>4525000</v>
      </c>
      <c r="E44" s="1623">
        <f t="shared" si="6"/>
        <v>1655000</v>
      </c>
      <c r="F44" s="1623">
        <f t="shared" si="6"/>
        <v>12000</v>
      </c>
      <c r="G44" s="1623">
        <f t="shared" si="6"/>
        <v>0</v>
      </c>
      <c r="H44" s="1623">
        <f t="shared" si="6"/>
        <v>4525000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4525000</v>
      </c>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1772</v>
      </c>
      <c r="B52" s="432">
        <v>8160</v>
      </c>
      <c r="C52" s="1581"/>
      <c r="D52" s="1581"/>
      <c r="E52" s="1581"/>
      <c r="F52" s="1581"/>
      <c r="G52" s="1581"/>
      <c r="H52" s="1581"/>
      <c r="I52" s="1581"/>
      <c r="J52" s="1581"/>
      <c r="K52" s="1606">
        <f>D30</f>
        <v>0</v>
      </c>
      <c r="L52" s="453"/>
    </row>
    <row r="53" spans="1:12" s="433" customFormat="1" ht="26.25" x14ac:dyDescent="0.2">
      <c r="A53" s="1260" t="s">
        <v>1771</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v>1655000</v>
      </c>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v>4525000</v>
      </c>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6180000</v>
      </c>
      <c r="D76" s="1623">
        <f t="shared" si="7"/>
        <v>4525000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-5981680</v>
      </c>
      <c r="D77" s="1623">
        <f t="shared" si="8"/>
        <v>0</v>
      </c>
      <c r="E77" s="1623">
        <f t="shared" si="8"/>
        <v>1655000</v>
      </c>
      <c r="F77" s="1623">
        <f t="shared" si="8"/>
        <v>12000</v>
      </c>
      <c r="G77" s="1623">
        <f t="shared" si="8"/>
        <v>0</v>
      </c>
      <c r="H77" s="1623">
        <f t="shared" si="8"/>
        <v>4525000</v>
      </c>
      <c r="I77" s="1623">
        <f t="shared" si="8"/>
        <v>0</v>
      </c>
      <c r="J77" s="1623">
        <f t="shared" si="8"/>
        <v>0</v>
      </c>
      <c r="K77" s="1623">
        <f t="shared" si="8"/>
        <v>0</v>
      </c>
      <c r="L77" s="325"/>
    </row>
    <row r="78" spans="1:12" ht="21.75" customHeight="1" thickTop="1" thickBot="1" x14ac:dyDescent="0.25">
      <c r="A78" s="2226" t="s">
        <v>593</v>
      </c>
      <c r="B78" s="2227"/>
      <c r="C78" s="1628">
        <f t="shared" ref="C78:K78" si="9">C20+C77</f>
        <v>-178848</v>
      </c>
      <c r="D78" s="1628">
        <f t="shared" si="9"/>
        <v>1818956</v>
      </c>
      <c r="E78" s="1628">
        <f t="shared" si="9"/>
        <v>5933</v>
      </c>
      <c r="F78" s="1628">
        <f t="shared" si="9"/>
        <v>-535671</v>
      </c>
      <c r="G78" s="1628">
        <f t="shared" si="9"/>
        <v>-675871</v>
      </c>
      <c r="H78" s="1628">
        <f t="shared" si="9"/>
        <v>-2474999</v>
      </c>
      <c r="I78" s="1628">
        <f t="shared" si="9"/>
        <v>143379</v>
      </c>
      <c r="J78" s="1628">
        <f t="shared" si="9"/>
        <v>50166</v>
      </c>
      <c r="K78" s="1628">
        <f t="shared" si="9"/>
        <v>-231098</v>
      </c>
      <c r="L78" s="457"/>
    </row>
    <row r="79" spans="1:12" ht="13.5" thickTop="1" x14ac:dyDescent="0.2">
      <c r="A79" s="1843" t="str">
        <f>"Fund Balances - July 1, "&amp;'AFR20'!E2-1</f>
        <v>Fund Balances - July 1, 2019</v>
      </c>
      <c r="B79" s="458"/>
      <c r="C79" s="1582">
        <v>44349477</v>
      </c>
      <c r="D79" s="1629">
        <v>4924929</v>
      </c>
      <c r="E79" s="1629">
        <v>2263307</v>
      </c>
      <c r="F79" s="1629">
        <v>13147866</v>
      </c>
      <c r="G79" s="1629">
        <v>3724960</v>
      </c>
      <c r="H79" s="1629">
        <v>2798859</v>
      </c>
      <c r="I79" s="1629">
        <v>2076196</v>
      </c>
      <c r="J79" s="1629">
        <v>395996</v>
      </c>
      <c r="K79" s="1629">
        <v>236807</v>
      </c>
      <c r="L79" s="325"/>
    </row>
    <row r="80" spans="1:12" x14ac:dyDescent="0.2">
      <c r="A80" s="2232" t="s">
        <v>1770</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44170629</v>
      </c>
      <c r="D81" s="1593">
        <f>SUM(D78:D80)</f>
        <v>6743885</v>
      </c>
      <c r="E81" s="1593">
        <f t="shared" ref="E81:K81" si="10">SUM(E78:E80)</f>
        <v>2269240</v>
      </c>
      <c r="F81" s="1593">
        <f t="shared" si="10"/>
        <v>12612195</v>
      </c>
      <c r="G81" s="1593">
        <f t="shared" si="10"/>
        <v>3049089</v>
      </c>
      <c r="H81" s="1593">
        <f t="shared" si="10"/>
        <v>323860</v>
      </c>
      <c r="I81" s="1593">
        <f t="shared" si="10"/>
        <v>2219575</v>
      </c>
      <c r="J81" s="1593">
        <f t="shared" si="10"/>
        <v>446162</v>
      </c>
      <c r="K81" s="1593">
        <f t="shared" si="10"/>
        <v>5709</v>
      </c>
      <c r="L81" s="325"/>
    </row>
    <row r="82" spans="1:12" ht="0.75" customHeight="1" thickTop="1" thickBot="1" x14ac:dyDescent="0.25">
      <c r="A82" s="459" t="s">
        <v>340</v>
      </c>
      <c r="B82" s="460"/>
      <c r="C82" s="461">
        <f>(C81-C79)</f>
        <v>-178848</v>
      </c>
      <c r="D82" s="461">
        <f t="shared" ref="D82:K82" si="11">(D81-D79)</f>
        <v>1818956</v>
      </c>
      <c r="E82" s="461">
        <f t="shared" si="11"/>
        <v>5933</v>
      </c>
      <c r="F82" s="461">
        <f t="shared" si="11"/>
        <v>-535671</v>
      </c>
      <c r="G82" s="461">
        <f t="shared" si="11"/>
        <v>-675871</v>
      </c>
      <c r="H82" s="461">
        <f t="shared" si="11"/>
        <v>-2474999</v>
      </c>
      <c r="I82" s="461">
        <f t="shared" si="11"/>
        <v>143379</v>
      </c>
      <c r="J82" s="461">
        <f t="shared" si="11"/>
        <v>50166</v>
      </c>
      <c r="K82" s="461">
        <f t="shared" si="11"/>
        <v>-231098</v>
      </c>
    </row>
    <row r="83" spans="1:12" ht="14.25" hidden="1" thickTop="1" thickBot="1" x14ac:dyDescent="0.25">
      <c r="A83" s="462" t="s">
        <v>341</v>
      </c>
      <c r="B83" s="428"/>
      <c r="C83" s="463">
        <f>C82/C81</f>
        <v>-4.0490254281866801E-3</v>
      </c>
      <c r="D83" s="463">
        <f t="shared" ref="D83:K83" si="12">D82/D81</f>
        <v>0.26971930867741667</v>
      </c>
      <c r="E83" s="463">
        <f t="shared" si="12"/>
        <v>2.6145317374980169E-3</v>
      </c>
      <c r="F83" s="463">
        <f t="shared" si="12"/>
        <v>-4.2472464150768365E-2</v>
      </c>
      <c r="G83" s="463">
        <f t="shared" si="12"/>
        <v>-0.22166325745165194</v>
      </c>
      <c r="H83" s="463">
        <f t="shared" si="12"/>
        <v>-7.6421879824615573</v>
      </c>
      <c r="I83" s="463">
        <f t="shared" si="12"/>
        <v>6.4597501773988264E-2</v>
      </c>
      <c r="J83" s="463">
        <f t="shared" si="12"/>
        <v>0.11243897956347694</v>
      </c>
      <c r="K83" s="463">
        <f t="shared" si="12"/>
        <v>-40.479593624102293</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20" sqref="C20"/>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1777</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28538484</v>
      </c>
      <c r="D5" s="1585">
        <v>3801685</v>
      </c>
      <c r="E5" s="1572">
        <v>2038553</v>
      </c>
      <c r="F5" s="1630">
        <v>544896</v>
      </c>
      <c r="G5" s="1572">
        <v>222528</v>
      </c>
      <c r="H5" s="1572"/>
      <c r="I5" s="1572">
        <v>142092</v>
      </c>
      <c r="J5" s="1573">
        <v>299388</v>
      </c>
      <c r="K5" s="1572">
        <v>631795</v>
      </c>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v>2764081</v>
      </c>
      <c r="D7" s="1572"/>
      <c r="E7" s="1574"/>
      <c r="F7" s="1573"/>
      <c r="G7" s="1573"/>
      <c r="H7" s="1573"/>
      <c r="I7" s="1574"/>
      <c r="J7" s="1574"/>
      <c r="K7" s="1574"/>
    </row>
    <row r="8" spans="1:12" x14ac:dyDescent="0.2">
      <c r="A8" s="427" t="s">
        <v>410</v>
      </c>
      <c r="B8" s="429">
        <v>1150</v>
      </c>
      <c r="C8" s="1579"/>
      <c r="D8" s="1579"/>
      <c r="E8" s="1581"/>
      <c r="F8" s="1581"/>
      <c r="G8" s="1585">
        <v>247226</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31302565</v>
      </c>
      <c r="D12" s="1632">
        <f t="shared" si="0"/>
        <v>3801685</v>
      </c>
      <c r="E12" s="1632">
        <f t="shared" si="0"/>
        <v>2038553</v>
      </c>
      <c r="F12" s="1632">
        <f t="shared" si="0"/>
        <v>544896</v>
      </c>
      <c r="G12" s="1632">
        <f t="shared" si="0"/>
        <v>469754</v>
      </c>
      <c r="H12" s="1632">
        <f t="shared" si="0"/>
        <v>0</v>
      </c>
      <c r="I12" s="1632">
        <f t="shared" si="0"/>
        <v>142092</v>
      </c>
      <c r="J12" s="1632">
        <f t="shared" si="0"/>
        <v>299388</v>
      </c>
      <c r="K12" s="1593">
        <f t="shared" si="0"/>
        <v>631795</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c r="D14" s="1572"/>
      <c r="E14" s="1572"/>
      <c r="F14" s="1572"/>
      <c r="G14" s="1572"/>
      <c r="H14" s="1572"/>
      <c r="I14" s="1572"/>
      <c r="J14" s="1573"/>
      <c r="K14" s="1572"/>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c r="D16" s="1572">
        <v>3184744</v>
      </c>
      <c r="E16" s="1572"/>
      <c r="F16" s="1572"/>
      <c r="G16" s="1572">
        <v>168000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0</v>
      </c>
      <c r="D18" s="1634">
        <f t="shared" ref="D18:K18" si="1">SUM(D14:D17)</f>
        <v>3184744</v>
      </c>
      <c r="E18" s="1634">
        <f t="shared" si="1"/>
        <v>0</v>
      </c>
      <c r="F18" s="1634">
        <f t="shared" si="1"/>
        <v>0</v>
      </c>
      <c r="G18" s="1634">
        <f t="shared" si="1"/>
        <v>168000</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v>1011844</v>
      </c>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1011844</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3070</v>
      </c>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3070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978487</v>
      </c>
      <c r="D65" s="1572">
        <v>156149</v>
      </c>
      <c r="E65" s="1572">
        <v>76735</v>
      </c>
      <c r="F65" s="1573">
        <v>10539</v>
      </c>
      <c r="G65" s="1572">
        <v>718</v>
      </c>
      <c r="H65" s="1572"/>
      <c r="I65" s="1572">
        <v>1287</v>
      </c>
      <c r="J65" s="1573">
        <v>10052</v>
      </c>
      <c r="K65" s="1572">
        <v>20418</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978487</v>
      </c>
      <c r="D67" s="1593">
        <f t="shared" ref="D67:K67" si="2">SUM(D65:D66)</f>
        <v>156149</v>
      </c>
      <c r="E67" s="1593">
        <f t="shared" si="2"/>
        <v>76735</v>
      </c>
      <c r="F67" s="1593">
        <f t="shared" si="2"/>
        <v>10539</v>
      </c>
      <c r="G67" s="1593">
        <f t="shared" si="2"/>
        <v>718</v>
      </c>
      <c r="H67" s="1593">
        <f t="shared" si="2"/>
        <v>0</v>
      </c>
      <c r="I67" s="1593">
        <f t="shared" si="2"/>
        <v>1287</v>
      </c>
      <c r="J67" s="1593">
        <f t="shared" si="2"/>
        <v>10052</v>
      </c>
      <c r="K67" s="1593">
        <f t="shared" si="2"/>
        <v>20418</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40</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v>21406</v>
      </c>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1683</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23129</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16261</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108581</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v>2891</v>
      </c>
      <c r="D81" s="1572"/>
      <c r="E81" s="1574"/>
      <c r="F81" s="1574"/>
      <c r="G81" s="1574"/>
      <c r="H81" s="1574"/>
      <c r="I81" s="1574"/>
      <c r="J81" s="1574"/>
      <c r="K81" s="1574"/>
    </row>
    <row r="82" spans="1:11" ht="12.75" customHeight="1" thickBot="1" x14ac:dyDescent="0.25">
      <c r="A82" s="1405" t="s">
        <v>239</v>
      </c>
      <c r="B82" s="1406"/>
      <c r="C82" s="1632">
        <f>SUM(C77:C81)</f>
        <v>127733</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v>42312</v>
      </c>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v>122105</v>
      </c>
      <c r="D98" s="1572">
        <v>207000</v>
      </c>
      <c r="E98" s="1611"/>
      <c r="F98" s="1572"/>
      <c r="G98" s="1611"/>
      <c r="H98" s="1611"/>
      <c r="I98" s="1609"/>
      <c r="J98" s="1611"/>
      <c r="K98" s="1611"/>
    </row>
    <row r="99" spans="1:12" ht="12.75" customHeight="1" x14ac:dyDescent="0.2">
      <c r="A99" s="427" t="s">
        <v>816</v>
      </c>
      <c r="B99" s="429">
        <v>1950</v>
      </c>
      <c r="C99" s="1597">
        <v>7709</v>
      </c>
      <c r="D99" s="1572">
        <v>72639</v>
      </c>
      <c r="E99" s="1572">
        <v>19</v>
      </c>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v>62807</v>
      </c>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22144</v>
      </c>
      <c r="D107" s="1572">
        <v>8310</v>
      </c>
      <c r="E107" s="1572"/>
      <c r="F107" s="1572"/>
      <c r="G107" s="1572"/>
      <c r="H107" s="1572"/>
      <c r="I107" s="1572"/>
      <c r="J107" s="1573"/>
      <c r="K107" s="1572"/>
    </row>
    <row r="108" spans="1:12" ht="12.75" customHeight="1" thickBot="1" x14ac:dyDescent="0.25">
      <c r="A108" s="1405" t="s">
        <v>484</v>
      </c>
      <c r="B108" s="1407"/>
      <c r="C108" s="1632">
        <f>SUM(C95:C107)</f>
        <v>214765</v>
      </c>
      <c r="D108" s="1632">
        <f t="shared" ref="D108:K108" si="3">SUM(D95:D107)</f>
        <v>330261</v>
      </c>
      <c r="E108" s="1632">
        <f t="shared" si="3"/>
        <v>19</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33658523</v>
      </c>
      <c r="D109" s="1640">
        <f t="shared" si="4"/>
        <v>7472839</v>
      </c>
      <c r="E109" s="1640">
        <f t="shared" si="4"/>
        <v>2115307</v>
      </c>
      <c r="F109" s="1640">
        <f t="shared" si="4"/>
        <v>558505</v>
      </c>
      <c r="G109" s="1640">
        <f t="shared" si="4"/>
        <v>638472</v>
      </c>
      <c r="H109" s="1640">
        <f t="shared" si="4"/>
        <v>0</v>
      </c>
      <c r="I109" s="1640">
        <f t="shared" si="4"/>
        <v>143379</v>
      </c>
      <c r="J109" s="1640">
        <f t="shared" si="4"/>
        <v>309440</v>
      </c>
      <c r="K109" s="1628">
        <f t="shared" si="4"/>
        <v>652213</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6420356</v>
      </c>
      <c r="D117" s="1585"/>
      <c r="E117" s="1572"/>
      <c r="F117" s="1585"/>
      <c r="G117" s="1585"/>
      <c r="H117" s="1572"/>
      <c r="I117" s="1574"/>
      <c r="J117" s="1573"/>
      <c r="K117" s="1572"/>
    </row>
    <row r="118" spans="1:11" ht="12.75" customHeight="1" x14ac:dyDescent="0.2">
      <c r="A118" s="427" t="s">
        <v>1774</v>
      </c>
      <c r="B118" s="478">
        <v>3002</v>
      </c>
      <c r="C118" s="1631"/>
      <c r="D118" s="1572"/>
      <c r="E118" s="1572"/>
      <c r="F118" s="1572"/>
      <c r="G118" s="1572"/>
      <c r="H118" s="1572"/>
      <c r="I118" s="1574"/>
      <c r="J118" s="1573"/>
      <c r="K118" s="1572"/>
    </row>
    <row r="119" spans="1:11" ht="12.75" customHeight="1" x14ac:dyDescent="0.2">
      <c r="A119" s="427" t="s">
        <v>1775</v>
      </c>
      <c r="B119" s="478">
        <v>3005</v>
      </c>
      <c r="C119" s="1631"/>
      <c r="D119" s="1572"/>
      <c r="E119" s="1572"/>
      <c r="F119" s="1572"/>
      <c r="G119" s="1572"/>
      <c r="H119" s="1572"/>
      <c r="I119" s="1574"/>
      <c r="J119" s="1573"/>
      <c r="K119" s="1572"/>
    </row>
    <row r="120" spans="1:11" ht="12.75" customHeight="1" x14ac:dyDescent="0.2">
      <c r="A120" s="1538" t="s">
        <v>1893</v>
      </c>
      <c r="B120" s="478">
        <v>3030</v>
      </c>
      <c r="C120" s="1631"/>
      <c r="D120" s="1572"/>
      <c r="E120" s="1572"/>
      <c r="F120" s="1572"/>
      <c r="G120" s="1572"/>
      <c r="H120" s="1572"/>
      <c r="I120" s="1574"/>
      <c r="J120" s="1573"/>
      <c r="K120" s="1572"/>
    </row>
    <row r="121" spans="1:11" x14ac:dyDescent="0.2">
      <c r="A121" s="1265" t="s">
        <v>1776</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6420356</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202167</v>
      </c>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67531</v>
      </c>
      <c r="D128" s="1639"/>
      <c r="E128" s="1574"/>
      <c r="F128" s="1572"/>
      <c r="G128" s="1574"/>
      <c r="H128" s="1574"/>
      <c r="I128" s="1574"/>
      <c r="J128" s="1574"/>
      <c r="K128" s="1574"/>
    </row>
    <row r="129" spans="1:11" ht="12.75" customHeight="1" x14ac:dyDescent="0.2">
      <c r="A129" s="427" t="s">
        <v>1430</v>
      </c>
      <c r="B129" s="478">
        <v>3130</v>
      </c>
      <c r="C129" s="1572">
        <v>1438</v>
      </c>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271136</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v>2503</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2503</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17948</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352559</v>
      </c>
      <c r="G152" s="1573"/>
      <c r="H152" s="1574"/>
      <c r="I152" s="1574"/>
      <c r="J152" s="1574"/>
      <c r="K152" s="1574"/>
    </row>
    <row r="153" spans="1:11" ht="12.75" customHeight="1" x14ac:dyDescent="0.2">
      <c r="A153" s="427" t="s">
        <v>1048</v>
      </c>
      <c r="B153" s="478">
        <v>3510</v>
      </c>
      <c r="C153" s="1631"/>
      <c r="D153" s="1572"/>
      <c r="E153" s="1639"/>
      <c r="F153" s="1572">
        <v>666804</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1019363</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v>543798</v>
      </c>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835385</v>
      </c>
      <c r="D169" s="1657">
        <f t="shared" si="6"/>
        <v>0</v>
      </c>
      <c r="E169" s="1657">
        <f t="shared" si="6"/>
        <v>0</v>
      </c>
      <c r="F169" s="1657">
        <f t="shared" si="6"/>
        <v>1019363</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7255741</v>
      </c>
      <c r="D170" s="1640">
        <f t="shared" si="7"/>
        <v>0</v>
      </c>
      <c r="E170" s="1640">
        <f t="shared" si="7"/>
        <v>0</v>
      </c>
      <c r="F170" s="1640">
        <f t="shared" si="7"/>
        <v>1019363</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56" t="s">
        <v>780</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1778</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718972</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401406</v>
      </c>
      <c r="D193" s="1574"/>
      <c r="E193" s="1639"/>
      <c r="F193" s="1574"/>
      <c r="G193" s="1663"/>
      <c r="H193" s="1574"/>
      <c r="I193" s="1574"/>
      <c r="J193" s="1574"/>
      <c r="K193" s="1574"/>
    </row>
    <row r="194" spans="1:11" ht="12.75" customHeight="1" x14ac:dyDescent="0.2">
      <c r="A194" s="427" t="s">
        <v>1434</v>
      </c>
      <c r="B194" s="429">
        <v>4225</v>
      </c>
      <c r="C194" s="1631"/>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1120378</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633712</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v>6752</v>
      </c>
      <c r="D203" s="1572"/>
      <c r="E203" s="1574"/>
      <c r="F203" s="1572"/>
      <c r="G203" s="1572"/>
      <c r="H203" s="1574"/>
      <c r="I203" s="1574"/>
      <c r="J203" s="1574"/>
      <c r="K203" s="1574"/>
    </row>
    <row r="204" spans="1:11" ht="12.75" customHeight="1" thickBot="1" x14ac:dyDescent="0.25">
      <c r="A204" s="1405" t="s">
        <v>397</v>
      </c>
      <c r="B204" s="1406"/>
      <c r="C204" s="1632">
        <f>SUM(C200:C203)</f>
        <v>640464</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21875</v>
      </c>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21875</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11652</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407091</v>
      </c>
      <c r="D213" s="1572"/>
      <c r="E213" s="1574"/>
      <c r="F213" s="1572"/>
      <c r="G213" s="1572"/>
      <c r="H213" s="1574"/>
      <c r="I213" s="1574"/>
      <c r="J213" s="1574"/>
      <c r="K213" s="1574"/>
    </row>
    <row r="214" spans="1:11" ht="12.75" customHeight="1" x14ac:dyDescent="0.2">
      <c r="A214" s="427" t="s">
        <v>1045</v>
      </c>
      <c r="B214" s="429">
        <v>4625</v>
      </c>
      <c r="C214" s="1631">
        <v>24982</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443725</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v>87766</v>
      </c>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97729</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1894</v>
      </c>
      <c r="B261" s="429">
        <v>4981</v>
      </c>
      <c r="C261" s="1649"/>
      <c r="D261" s="1650"/>
      <c r="E261" s="1574"/>
      <c r="F261" s="1650"/>
      <c r="G261" s="1650"/>
      <c r="H261" s="1574"/>
      <c r="I261" s="1574"/>
      <c r="J261" s="1574"/>
      <c r="K261" s="1574"/>
    </row>
    <row r="262" spans="1:11" ht="12.75" customHeight="1" thickTop="1" thickBot="1" x14ac:dyDescent="0.25">
      <c r="A262" s="1539" t="s">
        <v>1895</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64879</v>
      </c>
      <c r="D263" s="1650"/>
      <c r="E263" s="1574"/>
      <c r="F263" s="1650"/>
      <c r="G263" s="1650"/>
      <c r="H263" s="1574"/>
      <c r="I263" s="1574"/>
      <c r="J263" s="1574"/>
      <c r="K263" s="1574"/>
    </row>
    <row r="264" spans="1:11" ht="12.75" customHeight="1" thickTop="1" thickBot="1" x14ac:dyDescent="0.25">
      <c r="A264" s="427" t="s">
        <v>374</v>
      </c>
      <c r="B264" s="429">
        <v>4992</v>
      </c>
      <c r="C264" s="1649">
        <v>204022</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2680838</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2680838</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43595102</v>
      </c>
      <c r="D268" s="1640">
        <f t="shared" si="12"/>
        <v>7472839</v>
      </c>
      <c r="E268" s="1640">
        <f t="shared" si="12"/>
        <v>2115307</v>
      </c>
      <c r="F268" s="1640">
        <f t="shared" si="12"/>
        <v>1577868</v>
      </c>
      <c r="G268" s="1640">
        <f t="shared" si="12"/>
        <v>638472</v>
      </c>
      <c r="H268" s="1640">
        <f t="shared" si="12"/>
        <v>0</v>
      </c>
      <c r="I268" s="1640">
        <f t="shared" si="12"/>
        <v>143379</v>
      </c>
      <c r="J268" s="1640">
        <f t="shared" si="12"/>
        <v>309440</v>
      </c>
      <c r="K268" s="1628">
        <f t="shared" si="12"/>
        <v>652213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1" activePane="bottomLeft" state="frozen"/>
      <selection pane="bottomLeft" activeCell="B52" sqref="B5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10193494</v>
      </c>
      <c r="D5" s="1572">
        <v>2339374</v>
      </c>
      <c r="E5" s="1572">
        <v>591915</v>
      </c>
      <c r="F5" s="1572">
        <v>479653</v>
      </c>
      <c r="G5" s="1572">
        <v>12258</v>
      </c>
      <c r="H5" s="1572"/>
      <c r="I5" s="1573">
        <v>1414</v>
      </c>
      <c r="J5" s="1573"/>
      <c r="K5" s="1671">
        <f>SUM(C5:J5)</f>
        <v>13618108</v>
      </c>
      <c r="L5" s="1572">
        <v>14192159</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v>457333</v>
      </c>
      <c r="D7" s="1573">
        <v>165470</v>
      </c>
      <c r="E7" s="1573">
        <v>14776</v>
      </c>
      <c r="F7" s="1573">
        <v>16500</v>
      </c>
      <c r="G7" s="1573"/>
      <c r="H7" s="1573">
        <v>415</v>
      </c>
      <c r="I7" s="1573"/>
      <c r="J7" s="1573"/>
      <c r="K7" s="1671">
        <f t="shared" ref="K7:K32" si="0">SUM(C7:J7)</f>
        <v>654494</v>
      </c>
      <c r="L7" s="1572">
        <v>795729</v>
      </c>
    </row>
    <row r="8" spans="1:14" x14ac:dyDescent="0.2">
      <c r="A8" s="1273" t="s">
        <v>163</v>
      </c>
      <c r="B8" s="503">
        <v>1200</v>
      </c>
      <c r="C8" s="1572">
        <v>3815924</v>
      </c>
      <c r="D8" s="1572">
        <v>1115691</v>
      </c>
      <c r="E8" s="1572">
        <v>64590</v>
      </c>
      <c r="F8" s="1572">
        <v>22266</v>
      </c>
      <c r="G8" s="1572">
        <v>4213</v>
      </c>
      <c r="H8" s="1572">
        <v>150</v>
      </c>
      <c r="I8" s="1573">
        <v>2100</v>
      </c>
      <c r="J8" s="1573"/>
      <c r="K8" s="1671">
        <f t="shared" si="0"/>
        <v>5024934</v>
      </c>
      <c r="L8" s="1572">
        <v>4858746</v>
      </c>
    </row>
    <row r="9" spans="1:14" x14ac:dyDescent="0.2">
      <c r="A9" s="1273" t="s">
        <v>716</v>
      </c>
      <c r="B9" s="503" t="s">
        <v>962</v>
      </c>
      <c r="C9" s="1573">
        <v>259380</v>
      </c>
      <c r="D9" s="1573">
        <v>75543</v>
      </c>
      <c r="E9" s="1573">
        <v>350</v>
      </c>
      <c r="F9" s="1573"/>
      <c r="G9" s="1573"/>
      <c r="H9" s="1573"/>
      <c r="I9" s="1573"/>
      <c r="J9" s="1573"/>
      <c r="K9" s="1671">
        <f t="shared" si="0"/>
        <v>335273</v>
      </c>
      <c r="L9" s="1572">
        <v>237578</v>
      </c>
    </row>
    <row r="10" spans="1:14" x14ac:dyDescent="0.2">
      <c r="A10" s="1273" t="s">
        <v>717</v>
      </c>
      <c r="B10" s="503">
        <v>1250</v>
      </c>
      <c r="C10" s="1572">
        <v>319051</v>
      </c>
      <c r="D10" s="1572">
        <v>83558</v>
      </c>
      <c r="E10" s="1572">
        <v>1824</v>
      </c>
      <c r="F10" s="1572">
        <v>25953</v>
      </c>
      <c r="G10" s="1572"/>
      <c r="H10" s="1572"/>
      <c r="I10" s="1573"/>
      <c r="J10" s="1573"/>
      <c r="K10" s="1671">
        <f t="shared" si="0"/>
        <v>430386</v>
      </c>
      <c r="L10" s="1572">
        <v>450099</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234585</v>
      </c>
      <c r="D14" s="1572">
        <v>3285</v>
      </c>
      <c r="E14" s="1572">
        <v>1175</v>
      </c>
      <c r="F14" s="1572">
        <v>6038</v>
      </c>
      <c r="G14" s="1572"/>
      <c r="H14" s="1572"/>
      <c r="I14" s="1573"/>
      <c r="J14" s="1573"/>
      <c r="K14" s="1671">
        <f t="shared" si="0"/>
        <v>245083</v>
      </c>
      <c r="L14" s="1572">
        <v>306990</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v>21420</v>
      </c>
      <c r="F16" s="1572"/>
      <c r="G16" s="1572"/>
      <c r="H16" s="1572"/>
      <c r="I16" s="1573"/>
      <c r="J16" s="1573"/>
      <c r="K16" s="1671">
        <f t="shared" si="0"/>
        <v>21420</v>
      </c>
      <c r="L16" s="1572">
        <v>55000</v>
      </c>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v>2491332</v>
      </c>
      <c r="D18" s="1572">
        <v>603364</v>
      </c>
      <c r="E18" s="1572">
        <v>913</v>
      </c>
      <c r="F18" s="1572">
        <v>13312</v>
      </c>
      <c r="G18" s="1572"/>
      <c r="H18" s="1572">
        <v>29</v>
      </c>
      <c r="I18" s="1573"/>
      <c r="J18" s="1573"/>
      <c r="K18" s="1671">
        <f t="shared" si="0"/>
        <v>3108950</v>
      </c>
      <c r="L18" s="1572">
        <v>3167177</v>
      </c>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v>837233</v>
      </c>
      <c r="I22" s="1672"/>
      <c r="J22" s="1581"/>
      <c r="K22" s="1671">
        <f t="shared" si="0"/>
        <v>837233</v>
      </c>
      <c r="L22" s="1576">
        <v>600000</v>
      </c>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17771099</v>
      </c>
      <c r="D33" s="1673">
        <f t="shared" ref="D33:L33" si="1">SUM(D5:D32)</f>
        <v>4386285</v>
      </c>
      <c r="E33" s="1673">
        <f t="shared" si="1"/>
        <v>696963</v>
      </c>
      <c r="F33" s="1673">
        <f t="shared" si="1"/>
        <v>563722</v>
      </c>
      <c r="G33" s="1673">
        <f t="shared" si="1"/>
        <v>16471</v>
      </c>
      <c r="H33" s="1673">
        <f t="shared" si="1"/>
        <v>837827</v>
      </c>
      <c r="I33" s="1673">
        <f t="shared" si="1"/>
        <v>3514</v>
      </c>
      <c r="J33" s="1673">
        <f t="shared" si="1"/>
        <v>0</v>
      </c>
      <c r="K33" s="1673">
        <f t="shared" si="1"/>
        <v>24275881</v>
      </c>
      <c r="L33" s="1673">
        <f t="shared" si="1"/>
        <v>24663478</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469933</v>
      </c>
      <c r="D36" s="1585">
        <v>97170</v>
      </c>
      <c r="E36" s="1585"/>
      <c r="F36" s="1585"/>
      <c r="G36" s="1585"/>
      <c r="H36" s="1585"/>
      <c r="I36" s="1573"/>
      <c r="J36" s="1573"/>
      <c r="K36" s="1671">
        <f t="shared" ref="K36:K41" si="2">SUM(C36:J36)</f>
        <v>567103</v>
      </c>
      <c r="L36" s="1572">
        <v>567234</v>
      </c>
    </row>
    <row r="37" spans="1:14" x14ac:dyDescent="0.2">
      <c r="A37" s="1273" t="s">
        <v>1081</v>
      </c>
      <c r="B37" s="503">
        <v>2120</v>
      </c>
      <c r="C37" s="1572"/>
      <c r="D37" s="1572"/>
      <c r="E37" s="1572"/>
      <c r="F37" s="1572"/>
      <c r="G37" s="1572"/>
      <c r="H37" s="1572"/>
      <c r="I37" s="1573"/>
      <c r="J37" s="1573"/>
      <c r="K37" s="1671">
        <f t="shared" si="2"/>
        <v>0</v>
      </c>
      <c r="L37" s="1572"/>
    </row>
    <row r="38" spans="1:14" x14ac:dyDescent="0.2">
      <c r="A38" s="1273" t="s">
        <v>196</v>
      </c>
      <c r="B38" s="503">
        <v>2130</v>
      </c>
      <c r="C38" s="1572">
        <v>175803</v>
      </c>
      <c r="D38" s="1572">
        <v>76028</v>
      </c>
      <c r="E38" s="1572">
        <v>26495</v>
      </c>
      <c r="F38" s="1572">
        <v>7565</v>
      </c>
      <c r="G38" s="1572"/>
      <c r="H38" s="1572"/>
      <c r="I38" s="1573"/>
      <c r="J38" s="1573"/>
      <c r="K38" s="1671">
        <f t="shared" si="2"/>
        <v>285891</v>
      </c>
      <c r="L38" s="1572">
        <v>313853</v>
      </c>
    </row>
    <row r="39" spans="1:14" x14ac:dyDescent="0.2">
      <c r="A39" s="1273" t="s">
        <v>197</v>
      </c>
      <c r="B39" s="503">
        <v>2140</v>
      </c>
      <c r="C39" s="1572"/>
      <c r="D39" s="1572"/>
      <c r="E39" s="1572">
        <v>18600</v>
      </c>
      <c r="F39" s="1572"/>
      <c r="G39" s="1572"/>
      <c r="H39" s="1572"/>
      <c r="I39" s="1573"/>
      <c r="J39" s="1573"/>
      <c r="K39" s="1671">
        <f t="shared" si="2"/>
        <v>18600</v>
      </c>
      <c r="L39" s="1572">
        <v>15000</v>
      </c>
    </row>
    <row r="40" spans="1:14" x14ac:dyDescent="0.2">
      <c r="A40" s="1273" t="s">
        <v>198</v>
      </c>
      <c r="B40" s="503">
        <v>2150</v>
      </c>
      <c r="C40" s="1572">
        <v>531779</v>
      </c>
      <c r="D40" s="1572">
        <v>117995</v>
      </c>
      <c r="E40" s="1572">
        <v>133759</v>
      </c>
      <c r="F40" s="1572"/>
      <c r="G40" s="1572"/>
      <c r="H40" s="1572"/>
      <c r="I40" s="1573"/>
      <c r="J40" s="1573"/>
      <c r="K40" s="1671">
        <f t="shared" si="2"/>
        <v>783533</v>
      </c>
      <c r="L40" s="1572">
        <v>820967</v>
      </c>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1177515</v>
      </c>
      <c r="D42" s="1673">
        <f t="shared" ref="D42:L42" si="3">SUM(D36:D41)</f>
        <v>291193</v>
      </c>
      <c r="E42" s="1673">
        <f t="shared" si="3"/>
        <v>178854</v>
      </c>
      <c r="F42" s="1673">
        <f t="shared" si="3"/>
        <v>7565</v>
      </c>
      <c r="G42" s="1673">
        <f t="shared" si="3"/>
        <v>0</v>
      </c>
      <c r="H42" s="1673">
        <f t="shared" si="3"/>
        <v>0</v>
      </c>
      <c r="I42" s="1673">
        <f t="shared" si="3"/>
        <v>0</v>
      </c>
      <c r="J42" s="1673">
        <f t="shared" si="3"/>
        <v>0</v>
      </c>
      <c r="K42" s="1673">
        <f t="shared" si="3"/>
        <v>1655127</v>
      </c>
      <c r="L42" s="1673">
        <f t="shared" si="3"/>
        <v>1717054</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151427</v>
      </c>
      <c r="D44" s="1585">
        <v>58114</v>
      </c>
      <c r="E44" s="1585">
        <v>289176</v>
      </c>
      <c r="F44" s="1585">
        <v>6746</v>
      </c>
      <c r="G44" s="1585"/>
      <c r="H44" s="1585"/>
      <c r="I44" s="1573"/>
      <c r="J44" s="1573"/>
      <c r="K44" s="1677">
        <f>SUM(C44:J44)</f>
        <v>505463</v>
      </c>
      <c r="L44" s="1585">
        <v>432234</v>
      </c>
    </row>
    <row r="45" spans="1:14" x14ac:dyDescent="0.2">
      <c r="A45" s="1273" t="s">
        <v>810</v>
      </c>
      <c r="B45" s="503">
        <v>2220</v>
      </c>
      <c r="C45" s="1572">
        <v>1236791</v>
      </c>
      <c r="D45" s="1572">
        <v>333973</v>
      </c>
      <c r="E45" s="1572">
        <v>265807</v>
      </c>
      <c r="F45" s="1572">
        <v>132748</v>
      </c>
      <c r="G45" s="1572">
        <v>1091829</v>
      </c>
      <c r="H45" s="1572"/>
      <c r="I45" s="1573"/>
      <c r="J45" s="1573"/>
      <c r="K45" s="1677">
        <f>SUM(C45:J45)</f>
        <v>3061148</v>
      </c>
      <c r="L45" s="1572">
        <v>3087011</v>
      </c>
    </row>
    <row r="46" spans="1:14" x14ac:dyDescent="0.2">
      <c r="A46" s="1273" t="s">
        <v>811</v>
      </c>
      <c r="B46" s="503">
        <v>2230</v>
      </c>
      <c r="C46" s="1572"/>
      <c r="D46" s="1572"/>
      <c r="E46" s="1572">
        <v>52061</v>
      </c>
      <c r="F46" s="1572">
        <v>2687</v>
      </c>
      <c r="G46" s="1572"/>
      <c r="H46" s="1572"/>
      <c r="I46" s="1573"/>
      <c r="J46" s="1573"/>
      <c r="K46" s="1677">
        <f>SUM(C46:J46)</f>
        <v>54748</v>
      </c>
      <c r="L46" s="1572">
        <v>103000</v>
      </c>
    </row>
    <row r="47" spans="1:14" ht="12.75" customHeight="1" thickBot="1" x14ac:dyDescent="0.25">
      <c r="A47" s="1379" t="s">
        <v>557</v>
      </c>
      <c r="B47" s="1380" t="s">
        <v>32</v>
      </c>
      <c r="C47" s="1673">
        <f>SUM(C44:C46)</f>
        <v>1388218</v>
      </c>
      <c r="D47" s="1673">
        <f t="shared" ref="D47:K47" si="4">SUM(D44:D46)</f>
        <v>392087</v>
      </c>
      <c r="E47" s="1673">
        <f t="shared" si="4"/>
        <v>607044</v>
      </c>
      <c r="F47" s="1673">
        <f t="shared" si="4"/>
        <v>142181</v>
      </c>
      <c r="G47" s="1673">
        <f t="shared" si="4"/>
        <v>1091829</v>
      </c>
      <c r="H47" s="1673">
        <f t="shared" si="4"/>
        <v>0</v>
      </c>
      <c r="I47" s="1673">
        <f t="shared" si="4"/>
        <v>0</v>
      </c>
      <c r="J47" s="1673">
        <f t="shared" si="4"/>
        <v>0</v>
      </c>
      <c r="K47" s="1673">
        <f t="shared" si="4"/>
        <v>3621359</v>
      </c>
      <c r="L47" s="1673">
        <f>SUM(L44:L46)</f>
        <v>3622245</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c r="D49" s="1585"/>
      <c r="E49" s="1585">
        <v>133937</v>
      </c>
      <c r="F49" s="1585">
        <v>30270</v>
      </c>
      <c r="G49" s="1585"/>
      <c r="H49" s="1585">
        <v>8571</v>
      </c>
      <c r="I49" s="1573"/>
      <c r="J49" s="1573"/>
      <c r="K49" s="1677">
        <f>SUM(C49:J49)</f>
        <v>172778</v>
      </c>
      <c r="L49" s="1585">
        <v>185000</v>
      </c>
    </row>
    <row r="50" spans="1:14" x14ac:dyDescent="0.2">
      <c r="A50" s="1273" t="s">
        <v>813</v>
      </c>
      <c r="B50" s="503">
        <v>2320</v>
      </c>
      <c r="C50" s="1572">
        <v>298251</v>
      </c>
      <c r="D50" s="1572">
        <v>50623</v>
      </c>
      <c r="E50" s="1572">
        <v>7681</v>
      </c>
      <c r="F50" s="1572">
        <v>9418</v>
      </c>
      <c r="G50" s="1572"/>
      <c r="H50" s="1572">
        <v>7465</v>
      </c>
      <c r="I50" s="1573"/>
      <c r="J50" s="1573"/>
      <c r="K50" s="1677">
        <f>SUM(C50:J50)</f>
        <v>373438</v>
      </c>
      <c r="L50" s="1572">
        <v>376208</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v>90594</v>
      </c>
      <c r="F52" s="1578"/>
      <c r="G52" s="1578"/>
      <c r="H52" s="1578"/>
      <c r="I52" s="1578"/>
      <c r="J52" s="1578"/>
      <c r="K52" s="1677">
        <f>SUM(C52:J52)</f>
        <v>90594</v>
      </c>
      <c r="L52" s="1578">
        <v>80000</v>
      </c>
    </row>
    <row r="53" spans="1:14" ht="12.75" customHeight="1" thickBot="1" x14ac:dyDescent="0.25">
      <c r="A53" s="1379" t="s">
        <v>712</v>
      </c>
      <c r="B53" s="1380" t="s">
        <v>33</v>
      </c>
      <c r="C53" s="1673">
        <f>SUM(C49:C52)</f>
        <v>298251</v>
      </c>
      <c r="D53" s="1673">
        <f t="shared" ref="D53:L53" si="5">SUM(D49:D52)</f>
        <v>50623</v>
      </c>
      <c r="E53" s="1673">
        <f t="shared" si="5"/>
        <v>232212</v>
      </c>
      <c r="F53" s="1673">
        <f t="shared" si="5"/>
        <v>39688</v>
      </c>
      <c r="G53" s="1673">
        <f t="shared" si="5"/>
        <v>0</v>
      </c>
      <c r="H53" s="1673">
        <f t="shared" si="5"/>
        <v>16036</v>
      </c>
      <c r="I53" s="1673">
        <f t="shared" si="5"/>
        <v>0</v>
      </c>
      <c r="J53" s="1673">
        <f t="shared" si="5"/>
        <v>0</v>
      </c>
      <c r="K53" s="1673">
        <f t="shared" si="5"/>
        <v>636810</v>
      </c>
      <c r="L53" s="1673">
        <f t="shared" si="5"/>
        <v>641208</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1533851</v>
      </c>
      <c r="D55" s="1585">
        <v>478719</v>
      </c>
      <c r="E55" s="1585">
        <v>10273</v>
      </c>
      <c r="F55" s="1585">
        <v>4366</v>
      </c>
      <c r="G55" s="1585"/>
      <c r="H55" s="1585">
        <v>3064</v>
      </c>
      <c r="I55" s="1573"/>
      <c r="J55" s="1573"/>
      <c r="K55" s="1677">
        <f>SUM(C55:J55)</f>
        <v>2030273</v>
      </c>
      <c r="L55" s="1585">
        <v>2107036</v>
      </c>
    </row>
    <row r="56" spans="1:14" ht="12.75" customHeight="1" x14ac:dyDescent="0.2">
      <c r="A56" s="1277" t="s">
        <v>373</v>
      </c>
      <c r="B56" s="512">
        <v>2490</v>
      </c>
      <c r="C56" s="1572">
        <v>246497</v>
      </c>
      <c r="D56" s="1572">
        <v>63755</v>
      </c>
      <c r="E56" s="1572">
        <v>625</v>
      </c>
      <c r="F56" s="1572">
        <v>561</v>
      </c>
      <c r="G56" s="1572"/>
      <c r="H56" s="1572"/>
      <c r="I56" s="1573"/>
      <c r="J56" s="1573"/>
      <c r="K56" s="1677">
        <f>SUM(C56:J56)</f>
        <v>311438</v>
      </c>
      <c r="L56" s="1572">
        <v>314627</v>
      </c>
    </row>
    <row r="57" spans="1:14" s="321" customFormat="1" ht="12.75" customHeight="1" thickBot="1" x14ac:dyDescent="0.25">
      <c r="A57" s="1379" t="s">
        <v>261</v>
      </c>
      <c r="B57" s="1381" t="s">
        <v>34</v>
      </c>
      <c r="C57" s="1678">
        <f>SUM(C55:C56)</f>
        <v>1780348</v>
      </c>
      <c r="D57" s="1678">
        <f t="shared" ref="D57:K57" si="6">SUM(D55:D56)</f>
        <v>542474</v>
      </c>
      <c r="E57" s="1678">
        <f t="shared" si="6"/>
        <v>10898</v>
      </c>
      <c r="F57" s="1678">
        <f t="shared" si="6"/>
        <v>4927</v>
      </c>
      <c r="G57" s="1678">
        <f t="shared" si="6"/>
        <v>0</v>
      </c>
      <c r="H57" s="1678">
        <f t="shared" si="6"/>
        <v>3064</v>
      </c>
      <c r="I57" s="1678">
        <f t="shared" si="6"/>
        <v>0</v>
      </c>
      <c r="J57" s="1678">
        <f t="shared" si="6"/>
        <v>0</v>
      </c>
      <c r="K57" s="1678">
        <f t="shared" si="6"/>
        <v>2341711</v>
      </c>
      <c r="L57" s="1673">
        <f>SUM(L55:L56)</f>
        <v>2421663</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136448</v>
      </c>
      <c r="D59" s="1585">
        <v>41805</v>
      </c>
      <c r="E59" s="1585">
        <v>917</v>
      </c>
      <c r="F59" s="1585">
        <v>137</v>
      </c>
      <c r="G59" s="1585"/>
      <c r="H59" s="1585">
        <v>1085</v>
      </c>
      <c r="I59" s="1573"/>
      <c r="J59" s="1573"/>
      <c r="K59" s="1677">
        <f t="shared" ref="K59:K64" si="7">SUM(C59:J59)</f>
        <v>180392</v>
      </c>
      <c r="L59" s="1585">
        <v>181493</v>
      </c>
      <c r="M59" s="501"/>
      <c r="N59" s="501"/>
    </row>
    <row r="60" spans="1:14" s="321" customFormat="1" x14ac:dyDescent="0.2">
      <c r="A60" s="1273" t="s">
        <v>460</v>
      </c>
      <c r="B60" s="503">
        <v>2520</v>
      </c>
      <c r="C60" s="1572">
        <v>312369</v>
      </c>
      <c r="D60" s="1572">
        <v>59673</v>
      </c>
      <c r="E60" s="1572">
        <v>96281</v>
      </c>
      <c r="F60" s="1572">
        <v>5145</v>
      </c>
      <c r="G60" s="1572"/>
      <c r="H60" s="1572">
        <v>1707</v>
      </c>
      <c r="I60" s="1573"/>
      <c r="J60" s="1573"/>
      <c r="K60" s="1677">
        <f t="shared" si="7"/>
        <v>475175</v>
      </c>
      <c r="L60" s="1572">
        <v>706113</v>
      </c>
      <c r="M60" s="501"/>
      <c r="N60" s="501"/>
    </row>
    <row r="61" spans="1:14" s="321" customFormat="1" x14ac:dyDescent="0.2">
      <c r="A61" s="1273" t="s">
        <v>195</v>
      </c>
      <c r="B61" s="503">
        <v>2540</v>
      </c>
      <c r="C61" s="1572">
        <v>1362784</v>
      </c>
      <c r="D61" s="1572">
        <v>372577</v>
      </c>
      <c r="E61" s="1572"/>
      <c r="F61" s="1572"/>
      <c r="G61" s="1572">
        <v>775</v>
      </c>
      <c r="H61" s="1572"/>
      <c r="I61" s="1573"/>
      <c r="J61" s="1573"/>
      <c r="K61" s="1677">
        <f t="shared" si="7"/>
        <v>1736136</v>
      </c>
      <c r="L61" s="1572">
        <v>1767881</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392209</v>
      </c>
      <c r="D63" s="1572">
        <v>23495</v>
      </c>
      <c r="E63" s="1572">
        <v>942795</v>
      </c>
      <c r="F63" s="1572">
        <v>90461</v>
      </c>
      <c r="G63" s="1572"/>
      <c r="H63" s="1572"/>
      <c r="I63" s="1573"/>
      <c r="J63" s="1573"/>
      <c r="K63" s="1677">
        <f t="shared" si="7"/>
        <v>1448960</v>
      </c>
      <c r="L63" s="1572">
        <v>1470911</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2203810</v>
      </c>
      <c r="D65" s="1673">
        <f t="shared" ref="D65:L65" si="8">SUM(D59:D64)</f>
        <v>497550</v>
      </c>
      <c r="E65" s="1673">
        <f t="shared" si="8"/>
        <v>1039993</v>
      </c>
      <c r="F65" s="1673">
        <f t="shared" si="8"/>
        <v>95743</v>
      </c>
      <c r="G65" s="1673">
        <f t="shared" si="8"/>
        <v>775</v>
      </c>
      <c r="H65" s="1673">
        <f t="shared" si="8"/>
        <v>2792</v>
      </c>
      <c r="I65" s="1673">
        <f t="shared" si="8"/>
        <v>0</v>
      </c>
      <c r="J65" s="1673">
        <f t="shared" si="8"/>
        <v>0</v>
      </c>
      <c r="K65" s="1673">
        <f t="shared" si="8"/>
        <v>3840663</v>
      </c>
      <c r="L65" s="1673">
        <f t="shared" si="8"/>
        <v>4126398</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v>20591</v>
      </c>
      <c r="F70" s="1572">
        <v>29074</v>
      </c>
      <c r="G70" s="1572"/>
      <c r="H70" s="1572"/>
      <c r="I70" s="1573"/>
      <c r="J70" s="1573"/>
      <c r="K70" s="1677">
        <f>SUM(C70:J70)</f>
        <v>49665</v>
      </c>
      <c r="L70" s="1572">
        <v>188000</v>
      </c>
      <c r="M70" s="501"/>
      <c r="N70" s="501"/>
    </row>
    <row r="71" spans="1:14" s="321" customFormat="1" x14ac:dyDescent="0.2">
      <c r="A71" s="1273" t="s">
        <v>401</v>
      </c>
      <c r="B71" s="503">
        <v>2660</v>
      </c>
      <c r="C71" s="1572">
        <v>124648</v>
      </c>
      <c r="D71" s="1572">
        <v>17231</v>
      </c>
      <c r="E71" s="1572">
        <v>172870</v>
      </c>
      <c r="F71" s="1572">
        <v>3360</v>
      </c>
      <c r="G71" s="1572">
        <v>103012</v>
      </c>
      <c r="H71" s="1572">
        <v>80</v>
      </c>
      <c r="I71" s="1573">
        <v>12617</v>
      </c>
      <c r="J71" s="1573"/>
      <c r="K71" s="1677">
        <f>SUM(C71:J71)</f>
        <v>433818</v>
      </c>
      <c r="L71" s="1572">
        <v>665887</v>
      </c>
      <c r="M71" s="501"/>
      <c r="N71" s="501"/>
    </row>
    <row r="72" spans="1:14" s="321" customFormat="1" ht="12.75" customHeight="1" thickBot="1" x14ac:dyDescent="0.25">
      <c r="A72" s="1379" t="s">
        <v>37</v>
      </c>
      <c r="B72" s="1382" t="s">
        <v>36</v>
      </c>
      <c r="C72" s="1673">
        <f>SUM(C67:C71)</f>
        <v>124648</v>
      </c>
      <c r="D72" s="1673">
        <f t="shared" ref="D72:K72" si="9">SUM(D67:D71)</f>
        <v>17231</v>
      </c>
      <c r="E72" s="1673">
        <f t="shared" si="9"/>
        <v>193461</v>
      </c>
      <c r="F72" s="1673">
        <f t="shared" si="9"/>
        <v>32434</v>
      </c>
      <c r="G72" s="1673">
        <f t="shared" si="9"/>
        <v>103012</v>
      </c>
      <c r="H72" s="1673">
        <f t="shared" si="9"/>
        <v>80</v>
      </c>
      <c r="I72" s="1673">
        <f t="shared" si="9"/>
        <v>12617</v>
      </c>
      <c r="J72" s="1673">
        <f t="shared" si="9"/>
        <v>0</v>
      </c>
      <c r="K72" s="1673">
        <f t="shared" si="9"/>
        <v>483483</v>
      </c>
      <c r="L72" s="1673">
        <f>SUM(L67:L71)</f>
        <v>853887</v>
      </c>
      <c r="M72" s="501"/>
      <c r="N72" s="501"/>
    </row>
    <row r="73" spans="1:14" s="321" customFormat="1" ht="14.25" thickTop="1" thickBot="1" x14ac:dyDescent="0.25">
      <c r="A73" s="1279" t="s">
        <v>973</v>
      </c>
      <c r="B73" s="515" t="s">
        <v>570</v>
      </c>
      <c r="C73" s="1648"/>
      <c r="D73" s="1648"/>
      <c r="E73" s="1648"/>
      <c r="F73" s="1648">
        <v>6767</v>
      </c>
      <c r="G73" s="1648"/>
      <c r="H73" s="1648"/>
      <c r="I73" s="1626"/>
      <c r="J73" s="1626"/>
      <c r="K73" s="1673">
        <f>SUM(C73:J73)</f>
        <v>6767</v>
      </c>
      <c r="L73" s="1650">
        <v>5500</v>
      </c>
      <c r="M73" s="501"/>
      <c r="N73" s="501"/>
    </row>
    <row r="74" spans="1:14" ht="12.75" customHeight="1" thickTop="1" thickBot="1" x14ac:dyDescent="0.25">
      <c r="A74" s="1379" t="s">
        <v>806</v>
      </c>
      <c r="B74" s="1383">
        <v>2000</v>
      </c>
      <c r="C74" s="1680">
        <f>SUM(C42,C47,C53,C57,C65,C72,C73)</f>
        <v>6972790</v>
      </c>
      <c r="D74" s="1680">
        <f t="shared" ref="D74:K74" si="10">SUM(D42,D47,D53,D57,D65,D72,D73)</f>
        <v>1791158</v>
      </c>
      <c r="E74" s="1680">
        <f t="shared" si="10"/>
        <v>2262462</v>
      </c>
      <c r="F74" s="1680">
        <f t="shared" si="10"/>
        <v>329305</v>
      </c>
      <c r="G74" s="1680">
        <f t="shared" si="10"/>
        <v>1195616</v>
      </c>
      <c r="H74" s="1680">
        <f t="shared" si="10"/>
        <v>21972</v>
      </c>
      <c r="I74" s="1680">
        <f t="shared" si="10"/>
        <v>12617</v>
      </c>
      <c r="J74" s="1680">
        <f t="shared" si="10"/>
        <v>0</v>
      </c>
      <c r="K74" s="1680">
        <f t="shared" si="10"/>
        <v>12585920</v>
      </c>
      <c r="L74" s="1680">
        <f>SUM(L42,L47,L53,L57,L65,L72,L73)</f>
        <v>13387955</v>
      </c>
    </row>
    <row r="75" spans="1:14" s="254" customFormat="1" ht="15.75" customHeight="1" thickTop="1" thickBot="1" x14ac:dyDescent="0.25">
      <c r="A75" s="1347" t="s">
        <v>47</v>
      </c>
      <c r="B75" s="1348" t="s">
        <v>571</v>
      </c>
      <c r="C75" s="1648">
        <v>12109</v>
      </c>
      <c r="D75" s="1648">
        <v>4555</v>
      </c>
      <c r="E75" s="1648">
        <v>1194</v>
      </c>
      <c r="F75" s="1648">
        <v>5861</v>
      </c>
      <c r="G75" s="1648"/>
      <c r="H75" s="1648"/>
      <c r="I75" s="1626"/>
      <c r="J75" s="1626"/>
      <c r="K75" s="1673">
        <f>SUM(C75:J75)</f>
        <v>23719</v>
      </c>
      <c r="L75" s="1650">
        <v>41805</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3360</v>
      </c>
      <c r="F78" s="1672"/>
      <c r="G78" s="1672"/>
      <c r="H78" s="1681"/>
      <c r="I78" s="1581"/>
      <c r="J78" s="1581"/>
      <c r="K78" s="1671">
        <f t="shared" ref="K78:K83" si="11">SUM(C78:J78)</f>
        <v>3360</v>
      </c>
      <c r="L78" s="1585">
        <v>1750</v>
      </c>
    </row>
    <row r="79" spans="1:14" x14ac:dyDescent="0.2">
      <c r="A79" s="1273" t="s">
        <v>301</v>
      </c>
      <c r="B79" s="503">
        <v>4120</v>
      </c>
      <c r="C79" s="1672"/>
      <c r="D79" s="1672"/>
      <c r="E79" s="1572">
        <v>398037</v>
      </c>
      <c r="F79" s="1672"/>
      <c r="G79" s="1672"/>
      <c r="H79" s="1572">
        <v>7730</v>
      </c>
      <c r="I79" s="1581"/>
      <c r="J79" s="1581"/>
      <c r="K79" s="1671">
        <f t="shared" si="11"/>
        <v>405767</v>
      </c>
      <c r="L79" s="1572">
        <v>1050000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401397</v>
      </c>
      <c r="F84" s="1672"/>
      <c r="G84" s="1672"/>
      <c r="H84" s="1673">
        <f>SUM(H78:H83)</f>
        <v>7730</v>
      </c>
      <c r="I84" s="1581"/>
      <c r="J84" s="1581"/>
      <c r="K84" s="1673">
        <f>SUM(K78:K83)</f>
        <v>409127</v>
      </c>
      <c r="L84" s="1673">
        <f>SUM(L78:L83)</f>
        <v>1051750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497623</v>
      </c>
      <c r="I86" s="1581"/>
      <c r="J86" s="1581"/>
      <c r="K86" s="1680">
        <f t="shared" ref="K86:K98" si="12">H86</f>
        <v>497623</v>
      </c>
      <c r="L86" s="1625"/>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497623</v>
      </c>
      <c r="I92" s="1581"/>
      <c r="J92" s="1581"/>
      <c r="K92" s="1680">
        <f t="shared" si="12"/>
        <v>497623</v>
      </c>
      <c r="L92" s="1673">
        <f>SUM(L85:L91)</f>
        <v>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401397</v>
      </c>
      <c r="F102" s="1672"/>
      <c r="G102" s="1672"/>
      <c r="H102" s="1680">
        <f>SUM(H84,H92,H100,H101)</f>
        <v>505353</v>
      </c>
      <c r="I102" s="1581"/>
      <c r="J102" s="1581"/>
      <c r="K102" s="1680">
        <f>SUM(K84,K92,K100,K101)</f>
        <v>906750</v>
      </c>
      <c r="L102" s="1680">
        <f>SUM(L84,L92,L100,L101)</f>
        <v>1051750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24755998</v>
      </c>
      <c r="D114" s="1673">
        <f t="shared" ref="D114:K114" si="13">SUM(D33,D74,D75,D102,D112,D113)</f>
        <v>6181998</v>
      </c>
      <c r="E114" s="1673">
        <f t="shared" si="13"/>
        <v>3362016</v>
      </c>
      <c r="F114" s="1673">
        <f t="shared" si="13"/>
        <v>898888</v>
      </c>
      <c r="G114" s="1673">
        <f t="shared" si="13"/>
        <v>1212087</v>
      </c>
      <c r="H114" s="1673">
        <f>SUM(H33,H74,H75,H102,H112,H113)</f>
        <v>1365152</v>
      </c>
      <c r="I114" s="1673">
        <f t="shared" si="13"/>
        <v>16131</v>
      </c>
      <c r="J114" s="1673">
        <f t="shared" si="13"/>
        <v>0</v>
      </c>
      <c r="K114" s="1673">
        <f t="shared" si="13"/>
        <v>37792270</v>
      </c>
      <c r="L114" s="1673">
        <f>SUM(L33,L74,L75,L102,L112,L113)</f>
        <v>39144988</v>
      </c>
    </row>
    <row r="115" spans="1:14" ht="13.5" thickTop="1" x14ac:dyDescent="0.2">
      <c r="A115" s="2260" t="s">
        <v>989</v>
      </c>
      <c r="B115" s="2261"/>
      <c r="C115" s="1674"/>
      <c r="D115" s="1674"/>
      <c r="E115" s="1674"/>
      <c r="F115" s="1674"/>
      <c r="G115" s="1674"/>
      <c r="H115" s="1674"/>
      <c r="I115" s="1674"/>
      <c r="J115" s="1674"/>
      <c r="K115" s="1688">
        <f>'Revenues 9-14'!C268-'Expenditures 15-22'!K114</f>
        <v>5802832</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293</v>
      </c>
      <c r="B117" s="226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1961</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v>18126</v>
      </c>
      <c r="F123" s="1572"/>
      <c r="G123" s="1572">
        <v>3373617</v>
      </c>
      <c r="H123" s="1572">
        <v>9220</v>
      </c>
      <c r="I123" s="1573"/>
      <c r="J123" s="1573"/>
      <c r="K123" s="1673">
        <f>SUM(C123:J123)</f>
        <v>3400963</v>
      </c>
      <c r="L123" s="1572">
        <v>4045000</v>
      </c>
    </row>
    <row r="124" spans="1:14" ht="14.25" thickTop="1" thickBot="1" x14ac:dyDescent="0.25">
      <c r="A124" s="1273" t="s">
        <v>195</v>
      </c>
      <c r="B124" s="503">
        <v>2540</v>
      </c>
      <c r="C124" s="1572">
        <v>442942</v>
      </c>
      <c r="D124" s="1572">
        <v>71629</v>
      </c>
      <c r="E124" s="1572">
        <v>736354</v>
      </c>
      <c r="F124" s="1572">
        <v>933512</v>
      </c>
      <c r="G124" s="1572">
        <v>57209</v>
      </c>
      <c r="H124" s="1572">
        <v>75</v>
      </c>
      <c r="I124" s="1573"/>
      <c r="J124" s="1573"/>
      <c r="K124" s="1673">
        <f>SUM(C124:J124)</f>
        <v>2241721</v>
      </c>
      <c r="L124" s="1572">
        <v>2221821</v>
      </c>
    </row>
    <row r="125" spans="1:14" ht="14.25" thickTop="1" thickBot="1" x14ac:dyDescent="0.25">
      <c r="A125" s="1273" t="s">
        <v>947</v>
      </c>
      <c r="B125" s="503">
        <v>2550</v>
      </c>
      <c r="C125" s="1572"/>
      <c r="D125" s="1572"/>
      <c r="E125" s="1572"/>
      <c r="F125" s="1572">
        <v>11199</v>
      </c>
      <c r="G125" s="1572"/>
      <c r="H125" s="1572"/>
      <c r="I125" s="1573"/>
      <c r="J125" s="1573"/>
      <c r="K125" s="1673">
        <f>SUM(C125:J125)</f>
        <v>11199</v>
      </c>
      <c r="L125" s="1572">
        <v>11500</v>
      </c>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442942</v>
      </c>
      <c r="D127" s="1673">
        <f t="shared" ref="D127:L127" si="14">SUM(D122:D126)</f>
        <v>71629</v>
      </c>
      <c r="E127" s="1673">
        <f t="shared" si="14"/>
        <v>754480</v>
      </c>
      <c r="F127" s="1673">
        <f t="shared" si="14"/>
        <v>944711</v>
      </c>
      <c r="G127" s="1673">
        <f t="shared" si="14"/>
        <v>3430826</v>
      </c>
      <c r="H127" s="1673">
        <f t="shared" si="14"/>
        <v>9295</v>
      </c>
      <c r="I127" s="1673">
        <f t="shared" si="14"/>
        <v>0</v>
      </c>
      <c r="J127" s="1673">
        <f t="shared" si="14"/>
        <v>0</v>
      </c>
      <c r="K127" s="1673">
        <f t="shared" si="14"/>
        <v>5653883</v>
      </c>
      <c r="L127" s="1673">
        <f t="shared" si="14"/>
        <v>6278321</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442942</v>
      </c>
      <c r="D129" s="1680">
        <f t="shared" ref="D129:L129" si="15">SUM(D120,D127,D128)</f>
        <v>71629</v>
      </c>
      <c r="E129" s="1680">
        <f t="shared" si="15"/>
        <v>754480</v>
      </c>
      <c r="F129" s="1680">
        <f t="shared" si="15"/>
        <v>944711</v>
      </c>
      <c r="G129" s="1680">
        <f t="shared" si="15"/>
        <v>3430826</v>
      </c>
      <c r="H129" s="1680">
        <f t="shared" si="15"/>
        <v>9295</v>
      </c>
      <c r="I129" s="1680">
        <f t="shared" si="15"/>
        <v>0</v>
      </c>
      <c r="J129" s="1680">
        <f t="shared" si="15"/>
        <v>0</v>
      </c>
      <c r="K129" s="1680">
        <f t="shared" si="15"/>
        <v>5653883</v>
      </c>
      <c r="L129" s="1680">
        <f t="shared" si="15"/>
        <v>6278321</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1814</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7" t="s">
        <v>616</v>
      </c>
      <c r="B151" s="2257"/>
      <c r="C151" s="1673">
        <f>SUM(C129,C130,C139,C149,C150)</f>
        <v>442942</v>
      </c>
      <c r="D151" s="1673">
        <f t="shared" ref="D151:K151" si="16">SUM(D129,D130,D139,D149,D150)</f>
        <v>71629</v>
      </c>
      <c r="E151" s="1673">
        <f t="shared" si="16"/>
        <v>754480</v>
      </c>
      <c r="F151" s="1673">
        <f t="shared" si="16"/>
        <v>944711</v>
      </c>
      <c r="G151" s="1673">
        <f t="shared" si="16"/>
        <v>3430826</v>
      </c>
      <c r="H151" s="1673">
        <f t="shared" si="16"/>
        <v>9295</v>
      </c>
      <c r="I151" s="1673">
        <f t="shared" si="16"/>
        <v>0</v>
      </c>
      <c r="J151" s="1673">
        <f t="shared" si="16"/>
        <v>0</v>
      </c>
      <c r="K151" s="1673">
        <f t="shared" si="16"/>
        <v>5653883</v>
      </c>
      <c r="L151" s="1673">
        <f>SUM(L129,L130,L139,L149,L150)</f>
        <v>6278321</v>
      </c>
    </row>
    <row r="152" spans="1:14" ht="12.75" customHeight="1" thickTop="1" x14ac:dyDescent="0.2">
      <c r="A152" s="2280" t="s">
        <v>1168</v>
      </c>
      <c r="B152" s="2281"/>
      <c r="C152" s="1674"/>
      <c r="D152" s="1674"/>
      <c r="E152" s="1674"/>
      <c r="F152" s="1674"/>
      <c r="G152" s="1674"/>
      <c r="H152" s="1674"/>
      <c r="I152" s="1674"/>
      <c r="J152" s="1672"/>
      <c r="K152" s="1688">
        <f>'Revenues 9-14'!D268-'Expenditures 15-22'!K151</f>
        <v>1818956</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617</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1815</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1814</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1816</v>
      </c>
      <c r="C158" s="1672"/>
      <c r="D158" s="1672"/>
      <c r="E158" s="1672"/>
      <c r="F158" s="1672"/>
      <c r="G158" s="1672"/>
      <c r="H158" s="1573"/>
      <c r="I158" s="1672"/>
      <c r="J158" s="1672"/>
      <c r="K158" s="1671">
        <f>H158</f>
        <v>0</v>
      </c>
      <c r="L158" s="1573"/>
      <c r="M158" s="505"/>
      <c r="N158" s="505"/>
    </row>
    <row r="159" spans="1:14" s="506" customFormat="1" ht="12" x14ac:dyDescent="0.2">
      <c r="A159" s="1461" t="s">
        <v>1817</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1818</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1890874</v>
      </c>
      <c r="I169" s="1672"/>
      <c r="J169" s="1672"/>
      <c r="K169" s="1671">
        <f>SUM(C169:H169)</f>
        <v>1890874</v>
      </c>
      <c r="L169" s="1694">
        <v>1895375</v>
      </c>
    </row>
    <row r="170" spans="1:14" ht="33.75" customHeight="1" x14ac:dyDescent="0.2">
      <c r="A170" s="543" t="s">
        <v>1651</v>
      </c>
      <c r="B170" s="545" t="s">
        <v>31</v>
      </c>
      <c r="C170" s="1672"/>
      <c r="D170" s="1672"/>
      <c r="E170" s="1672"/>
      <c r="F170" s="1672"/>
      <c r="G170" s="1672"/>
      <c r="H170" s="1645">
        <v>1870000</v>
      </c>
      <c r="I170" s="1672"/>
      <c r="J170" s="1672"/>
      <c r="K170" s="1671">
        <f>SUM(C170:J170)</f>
        <v>1870000</v>
      </c>
      <c r="L170" s="1645">
        <v>1870000</v>
      </c>
    </row>
    <row r="171" spans="1:14" ht="15.75" customHeight="1" x14ac:dyDescent="0.2">
      <c r="A171" s="507" t="s">
        <v>761</v>
      </c>
      <c r="B171" s="546" t="s">
        <v>84</v>
      </c>
      <c r="C171" s="1672"/>
      <c r="D171" s="1672"/>
      <c r="E171" s="1572"/>
      <c r="F171" s="1672"/>
      <c r="G171" s="1672"/>
      <c r="H171" s="1645">
        <v>3500</v>
      </c>
      <c r="I171" s="1581"/>
      <c r="J171" s="1672"/>
      <c r="K171" s="1671">
        <f>SUM(C171:J171)</f>
        <v>3500</v>
      </c>
      <c r="L171" s="1645"/>
    </row>
    <row r="172" spans="1:14" ht="12.75" customHeight="1" thickBot="1" x14ac:dyDescent="0.25">
      <c r="A172" s="1379" t="s">
        <v>633</v>
      </c>
      <c r="B172" s="1380" t="s">
        <v>489</v>
      </c>
      <c r="C172" s="1672"/>
      <c r="D172" s="1672"/>
      <c r="E172" s="1680">
        <f>SUM(E168,E169,E170,E171)</f>
        <v>0</v>
      </c>
      <c r="F172" s="1672"/>
      <c r="G172" s="1672"/>
      <c r="H172" s="1680">
        <f>SUM(H168,H169,H170,H171)</f>
        <v>3764374</v>
      </c>
      <c r="I172" s="1683"/>
      <c r="J172" s="1672"/>
      <c r="K172" s="1680">
        <f>SUM(K168,K169,K170,K171)</f>
        <v>3764374</v>
      </c>
      <c r="L172" s="1680">
        <f>SUM(L168,L169,L170,L171)</f>
        <v>3765375</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3764374</v>
      </c>
      <c r="I174" s="1683"/>
      <c r="J174" s="1672"/>
      <c r="K174" s="1680">
        <f>SUM(K160,K172,K173)</f>
        <v>3764374</v>
      </c>
      <c r="L174" s="1680">
        <f>SUM(L160,L172,L173)</f>
        <v>3765375</v>
      </c>
    </row>
    <row r="175" spans="1:14" ht="13.5" thickTop="1" x14ac:dyDescent="0.2">
      <c r="A175" s="2260" t="s">
        <v>989</v>
      </c>
      <c r="B175" s="2261"/>
      <c r="C175" s="1672"/>
      <c r="D175" s="1672"/>
      <c r="E175" s="1672"/>
      <c r="F175" s="1672"/>
      <c r="G175" s="1672"/>
      <c r="H175" s="1674"/>
      <c r="I175" s="1672"/>
      <c r="J175" s="1672"/>
      <c r="K175" s="1688">
        <f>'Revenues 9-14'!E268-'Expenditures 15-22'!K174</f>
        <v>-1649067</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1961</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755464</v>
      </c>
      <c r="D182" s="1572">
        <v>189750</v>
      </c>
      <c r="E182" s="1572">
        <v>880724</v>
      </c>
      <c r="F182" s="1572">
        <v>83851</v>
      </c>
      <c r="G182" s="1572">
        <v>215685</v>
      </c>
      <c r="H182" s="1572">
        <v>65</v>
      </c>
      <c r="I182" s="1573"/>
      <c r="J182" s="1573"/>
      <c r="K182" s="1671">
        <f>SUM(C182:J182)</f>
        <v>2125539</v>
      </c>
      <c r="L182" s="1572">
        <v>2239314</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755464</v>
      </c>
      <c r="D184" s="1680">
        <f t="shared" ref="D184:J184" si="17">SUM(D180,D182,D183)</f>
        <v>189750</v>
      </c>
      <c r="E184" s="1680">
        <f t="shared" si="17"/>
        <v>880724</v>
      </c>
      <c r="F184" s="1680">
        <f t="shared" si="17"/>
        <v>83851</v>
      </c>
      <c r="G184" s="1680">
        <f t="shared" si="17"/>
        <v>215685</v>
      </c>
      <c r="H184" s="1680">
        <f t="shared" si="17"/>
        <v>65</v>
      </c>
      <c r="I184" s="1680">
        <f t="shared" si="17"/>
        <v>0</v>
      </c>
      <c r="J184" s="1680">
        <f t="shared" si="17"/>
        <v>0</v>
      </c>
      <c r="K184" s="1680">
        <f>SUM(K180,K182,K183)</f>
        <v>2125539</v>
      </c>
      <c r="L184" s="1680">
        <f>SUM(L180, L182:L183)</f>
        <v>2239314</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755464</v>
      </c>
      <c r="D210" s="1673">
        <f>SUM(D184,D185)</f>
        <v>189750</v>
      </c>
      <c r="E210" s="1673">
        <f>SUM(E184,E185,E196)</f>
        <v>880724</v>
      </c>
      <c r="F210" s="1673">
        <f>SUM(F184,F185)</f>
        <v>83851</v>
      </c>
      <c r="G210" s="1673">
        <f>SUM(G184,G185)</f>
        <v>215685</v>
      </c>
      <c r="H210" s="1673">
        <f>SUM(H184,H185,H196,H208,H209)</f>
        <v>65</v>
      </c>
      <c r="I210" s="1673">
        <f>SUM(I184,I185)</f>
        <v>0</v>
      </c>
      <c r="J210" s="1673">
        <f>SUM(J184,J185)</f>
        <v>0</v>
      </c>
      <c r="K210" s="1671">
        <f>SUM(K184,K185,K196,K208,K209)</f>
        <v>2125539</v>
      </c>
      <c r="L210" s="1673">
        <f>SUM(L184,L185,L196,L208,L209)</f>
        <v>2239314</v>
      </c>
    </row>
    <row r="211" spans="1:14" ht="13.5" thickTop="1" x14ac:dyDescent="0.2">
      <c r="A211" s="2260" t="s">
        <v>989</v>
      </c>
      <c r="B211" s="2261"/>
      <c r="C211" s="1674"/>
      <c r="D211" s="1674"/>
      <c r="E211" s="1674"/>
      <c r="F211" s="1674"/>
      <c r="G211" s="1674"/>
      <c r="H211" s="1674"/>
      <c r="I211" s="1672"/>
      <c r="J211" s="1672"/>
      <c r="K211" s="1688">
        <f>'Revenues 9-14'!F268-'Expenditures 15-22'!K210</f>
        <v>-547671</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959</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222412</v>
      </c>
      <c r="E215" s="1672"/>
      <c r="F215" s="1672"/>
      <c r="G215" s="1672"/>
      <c r="H215" s="1672"/>
      <c r="I215" s="1672"/>
      <c r="J215" s="1672"/>
      <c r="K215" s="1671">
        <f>D215</f>
        <v>222412</v>
      </c>
      <c r="L215" s="1572">
        <v>215803</v>
      </c>
    </row>
    <row r="216" spans="1:14" x14ac:dyDescent="0.2">
      <c r="A216" s="1273" t="s">
        <v>162</v>
      </c>
      <c r="B216" s="503" t="s">
        <v>961</v>
      </c>
      <c r="C216" s="1672"/>
      <c r="D216" s="1573">
        <v>27174</v>
      </c>
      <c r="E216" s="1672"/>
      <c r="F216" s="1672"/>
      <c r="G216" s="1672"/>
      <c r="H216" s="1672"/>
      <c r="I216" s="1672"/>
      <c r="J216" s="1672"/>
      <c r="K216" s="1671">
        <f t="shared" ref="K216:K228" si="19">D216</f>
        <v>27174</v>
      </c>
      <c r="L216" s="1572">
        <v>36380</v>
      </c>
    </row>
    <row r="217" spans="1:14" x14ac:dyDescent="0.2">
      <c r="A217" s="1273" t="s">
        <v>163</v>
      </c>
      <c r="B217" s="503">
        <v>1200</v>
      </c>
      <c r="C217" s="1672"/>
      <c r="D217" s="1572">
        <v>225404</v>
      </c>
      <c r="E217" s="1672"/>
      <c r="F217" s="1672"/>
      <c r="G217" s="1672"/>
      <c r="H217" s="1672"/>
      <c r="I217" s="1672"/>
      <c r="J217" s="1672"/>
      <c r="K217" s="1671">
        <f t="shared" si="19"/>
        <v>225404</v>
      </c>
      <c r="L217" s="1572">
        <v>234210</v>
      </c>
    </row>
    <row r="218" spans="1:14" x14ac:dyDescent="0.2">
      <c r="A218" s="1273" t="s">
        <v>276</v>
      </c>
      <c r="B218" s="503" t="s">
        <v>962</v>
      </c>
      <c r="C218" s="1672"/>
      <c r="D218" s="1573">
        <v>11152</v>
      </c>
      <c r="E218" s="1672"/>
      <c r="F218" s="1672"/>
      <c r="G218" s="1672"/>
      <c r="H218" s="1672"/>
      <c r="I218" s="1672"/>
      <c r="J218" s="1672"/>
      <c r="K218" s="1671">
        <f t="shared" si="19"/>
        <v>11152</v>
      </c>
      <c r="L218" s="1572">
        <v>8660</v>
      </c>
    </row>
    <row r="219" spans="1:14" x14ac:dyDescent="0.2">
      <c r="A219" s="1273" t="s">
        <v>277</v>
      </c>
      <c r="B219" s="503">
        <v>1250</v>
      </c>
      <c r="C219" s="1672"/>
      <c r="D219" s="1572">
        <v>2988</v>
      </c>
      <c r="E219" s="1672"/>
      <c r="F219" s="1672"/>
      <c r="G219" s="1672"/>
      <c r="H219" s="1672"/>
      <c r="I219" s="1672"/>
      <c r="J219" s="1672"/>
      <c r="K219" s="1671">
        <f t="shared" si="19"/>
        <v>2988</v>
      </c>
      <c r="L219" s="1572">
        <v>6279</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5701</v>
      </c>
      <c r="E223" s="1672"/>
      <c r="F223" s="1672"/>
      <c r="G223" s="1672"/>
      <c r="H223" s="1672"/>
      <c r="I223" s="1672"/>
      <c r="J223" s="1672"/>
      <c r="K223" s="1671">
        <f t="shared" si="19"/>
        <v>5701</v>
      </c>
      <c r="L223" s="1572">
        <v>6410</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v>37179</v>
      </c>
      <c r="E227" s="1672"/>
      <c r="F227" s="1672"/>
      <c r="G227" s="1672"/>
      <c r="H227" s="1672"/>
      <c r="I227" s="1672"/>
      <c r="J227" s="1672"/>
      <c r="K227" s="1671">
        <f t="shared" si="19"/>
        <v>37179</v>
      </c>
      <c r="L227" s="1572">
        <v>36750</v>
      </c>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532010</v>
      </c>
      <c r="E229" s="1672"/>
      <c r="F229" s="1672"/>
      <c r="G229" s="1672"/>
      <c r="H229" s="1672"/>
      <c r="I229" s="1672"/>
      <c r="J229" s="1672"/>
      <c r="K229" s="1673">
        <f>SUM(K215:K228)</f>
        <v>532010</v>
      </c>
      <c r="L229" s="1673">
        <f>SUM(L215:L228)</f>
        <v>544492</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6606</v>
      </c>
      <c r="E232" s="1672"/>
      <c r="F232" s="1672"/>
      <c r="G232" s="1672"/>
      <c r="H232" s="1672"/>
      <c r="I232" s="1672"/>
      <c r="J232" s="1672"/>
      <c r="K232" s="1671">
        <f t="shared" ref="K232:K237" si="20">D232</f>
        <v>6606</v>
      </c>
      <c r="L232" s="1572">
        <v>6860</v>
      </c>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v>26571</v>
      </c>
      <c r="E234" s="1672"/>
      <c r="F234" s="1672"/>
      <c r="G234" s="1672"/>
      <c r="H234" s="1672"/>
      <c r="I234" s="1672"/>
      <c r="J234" s="1672"/>
      <c r="K234" s="1671">
        <f t="shared" si="20"/>
        <v>26571</v>
      </c>
      <c r="L234" s="1572">
        <v>36540</v>
      </c>
    </row>
    <row r="235" spans="1:12" x14ac:dyDescent="0.2">
      <c r="A235" s="1273" t="s">
        <v>197</v>
      </c>
      <c r="B235" s="503">
        <v>2140</v>
      </c>
      <c r="C235" s="1672"/>
      <c r="D235" s="1572"/>
      <c r="E235" s="1672"/>
      <c r="F235" s="1672"/>
      <c r="G235" s="1672"/>
      <c r="H235" s="1672"/>
      <c r="I235" s="1672"/>
      <c r="J235" s="1672"/>
      <c r="K235" s="1671">
        <f t="shared" si="20"/>
        <v>0</v>
      </c>
      <c r="L235" s="1572">
        <v>1690</v>
      </c>
    </row>
    <row r="236" spans="1:12" x14ac:dyDescent="0.2">
      <c r="A236" s="1273" t="s">
        <v>198</v>
      </c>
      <c r="B236" s="503">
        <v>2150</v>
      </c>
      <c r="C236" s="1672"/>
      <c r="D236" s="1572">
        <v>7489</v>
      </c>
      <c r="E236" s="1672"/>
      <c r="F236" s="1672"/>
      <c r="G236" s="1672"/>
      <c r="H236" s="1672"/>
      <c r="I236" s="1672"/>
      <c r="J236" s="1672"/>
      <c r="K236" s="1671">
        <f t="shared" si="20"/>
        <v>7489</v>
      </c>
      <c r="L236" s="1572">
        <v>10180</v>
      </c>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40666</v>
      </c>
      <c r="E238" s="1672"/>
      <c r="F238" s="1672"/>
      <c r="G238" s="1672"/>
      <c r="H238" s="1672"/>
      <c r="I238" s="1672"/>
      <c r="J238" s="1672"/>
      <c r="K238" s="1673">
        <f>SUM(K232:K237)</f>
        <v>40666</v>
      </c>
      <c r="L238" s="1673">
        <f>SUM(L232:L237)</f>
        <v>55270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2816</v>
      </c>
      <c r="E240" s="1672"/>
      <c r="F240" s="1672"/>
      <c r="G240" s="1672"/>
      <c r="H240" s="1672"/>
      <c r="I240" s="1672"/>
      <c r="J240" s="1672"/>
      <c r="K240" s="1677">
        <f>D240</f>
        <v>2816</v>
      </c>
      <c r="L240" s="1585">
        <v>3400</v>
      </c>
    </row>
    <row r="241" spans="1:12" x14ac:dyDescent="0.2">
      <c r="A241" s="1273" t="s">
        <v>810</v>
      </c>
      <c r="B241" s="503">
        <v>2220</v>
      </c>
      <c r="C241" s="1672"/>
      <c r="D241" s="1572">
        <v>92964</v>
      </c>
      <c r="E241" s="1672"/>
      <c r="F241" s="1672"/>
      <c r="G241" s="1672"/>
      <c r="H241" s="1672"/>
      <c r="I241" s="1672"/>
      <c r="J241" s="1672"/>
      <c r="K241" s="1677">
        <f>D241</f>
        <v>92964</v>
      </c>
      <c r="L241" s="1572">
        <v>97656</v>
      </c>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95780</v>
      </c>
      <c r="E243" s="1672"/>
      <c r="F243" s="1672"/>
      <c r="G243" s="1672"/>
      <c r="H243" s="1672"/>
      <c r="I243" s="1672"/>
      <c r="J243" s="1672"/>
      <c r="K243" s="1673">
        <f>SUM(K240:K242)</f>
        <v>95780</v>
      </c>
      <c r="L243" s="1673">
        <f>SUM(L240:L242)</f>
        <v>101056</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row>
    <row r="246" spans="1:12" x14ac:dyDescent="0.2">
      <c r="A246" s="1273" t="s">
        <v>813</v>
      </c>
      <c r="B246" s="503">
        <v>2320</v>
      </c>
      <c r="C246" s="1672"/>
      <c r="D246" s="1572">
        <v>15158</v>
      </c>
      <c r="E246" s="1672"/>
      <c r="F246" s="1672"/>
      <c r="G246" s="1672"/>
      <c r="H246" s="1672"/>
      <c r="I246" s="1672"/>
      <c r="J246" s="1672"/>
      <c r="K246" s="1677">
        <f t="shared" ref="K246:K256" si="21">D246</f>
        <v>15158</v>
      </c>
      <c r="L246" s="1572">
        <v>18190</v>
      </c>
    </row>
    <row r="247" spans="1:12" x14ac:dyDescent="0.2">
      <c r="A247" s="1273" t="s">
        <v>814</v>
      </c>
      <c r="B247" s="503">
        <v>2330</v>
      </c>
      <c r="C247" s="1672"/>
      <c r="D247" s="1572"/>
      <c r="E247" s="1672"/>
      <c r="F247" s="1672"/>
      <c r="G247" s="1672"/>
      <c r="H247" s="1672"/>
      <c r="I247" s="1672"/>
      <c r="J247" s="1672"/>
      <c r="K247" s="1677">
        <f t="shared" si="21"/>
        <v>0</v>
      </c>
      <c r="L247" s="1572">
        <v>4450</v>
      </c>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1780</v>
      </c>
      <c r="B249" s="557" t="s">
        <v>280</v>
      </c>
      <c r="C249" s="1672"/>
      <c r="D249" s="1578"/>
      <c r="E249" s="1672"/>
      <c r="F249" s="1672"/>
      <c r="G249" s="1672"/>
      <c r="H249" s="1672"/>
      <c r="I249" s="1672"/>
      <c r="J249" s="1672"/>
      <c r="K249" s="1677">
        <f t="shared" si="21"/>
        <v>0</v>
      </c>
      <c r="L249" s="1572"/>
    </row>
    <row r="250" spans="1:12" x14ac:dyDescent="0.2">
      <c r="A250" s="1274" t="s">
        <v>1781</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15158</v>
      </c>
      <c r="E257" s="1672"/>
      <c r="F257" s="1672"/>
      <c r="G257" s="1672"/>
      <c r="H257" s="1672"/>
      <c r="I257" s="1672"/>
      <c r="J257" s="1672"/>
      <c r="K257" s="1673">
        <f>SUM(K245:K256)</f>
        <v>15158</v>
      </c>
      <c r="L257" s="1673">
        <f>SUM(L245:L256)</f>
        <v>22640</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86460</v>
      </c>
      <c r="E259" s="1672"/>
      <c r="F259" s="1672"/>
      <c r="G259" s="1672"/>
      <c r="H259" s="1672"/>
      <c r="I259" s="1672"/>
      <c r="J259" s="1672"/>
      <c r="K259" s="1677">
        <f>D259</f>
        <v>86460</v>
      </c>
      <c r="L259" s="1585">
        <v>88530</v>
      </c>
    </row>
    <row r="260" spans="1:14" s="493" customFormat="1" x14ac:dyDescent="0.2">
      <c r="A260" s="1291" t="s">
        <v>1779</v>
      </c>
      <c r="B260" s="512">
        <v>2490</v>
      </c>
      <c r="C260" s="1672"/>
      <c r="D260" s="1572">
        <v>11379</v>
      </c>
      <c r="E260" s="1672"/>
      <c r="F260" s="1672"/>
      <c r="G260" s="1672"/>
      <c r="H260" s="1672"/>
      <c r="I260" s="1672"/>
      <c r="J260" s="1672"/>
      <c r="K260" s="1677">
        <f>D260</f>
        <v>11379</v>
      </c>
      <c r="L260" s="1572">
        <v>11368</v>
      </c>
      <c r="M260" s="205"/>
      <c r="N260" s="205"/>
    </row>
    <row r="261" spans="1:14" ht="12.75" customHeight="1" thickBot="1" x14ac:dyDescent="0.25">
      <c r="A261" s="1393" t="s">
        <v>261</v>
      </c>
      <c r="B261" s="1398" t="s">
        <v>34</v>
      </c>
      <c r="C261" s="1672"/>
      <c r="D261" s="1673">
        <f>SUM(D259:D260)</f>
        <v>97839</v>
      </c>
      <c r="E261" s="1672"/>
      <c r="F261" s="1672"/>
      <c r="G261" s="1672"/>
      <c r="H261" s="1672"/>
      <c r="I261" s="1672"/>
      <c r="J261" s="1672"/>
      <c r="K261" s="1673">
        <f>SUM(K259:K260)</f>
        <v>97839</v>
      </c>
      <c r="L261" s="1673">
        <f>SUM(L259:L260)</f>
        <v>99898</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1903</v>
      </c>
      <c r="E263" s="1672"/>
      <c r="F263" s="1672"/>
      <c r="G263" s="1672"/>
      <c r="H263" s="1672"/>
      <c r="I263" s="1672"/>
      <c r="J263" s="1672"/>
      <c r="K263" s="1677">
        <f>D263</f>
        <v>1903</v>
      </c>
      <c r="L263" s="1585">
        <v>2760</v>
      </c>
    </row>
    <row r="264" spans="1:14" x14ac:dyDescent="0.2">
      <c r="A264" s="1273" t="s">
        <v>460</v>
      </c>
      <c r="B264" s="559">
        <v>2520</v>
      </c>
      <c r="C264" s="1672"/>
      <c r="D264" s="1572">
        <v>32043</v>
      </c>
      <c r="E264" s="1672"/>
      <c r="F264" s="1672"/>
      <c r="G264" s="1672"/>
      <c r="H264" s="1672"/>
      <c r="I264" s="1672"/>
      <c r="J264" s="1672"/>
      <c r="K264" s="1677">
        <f t="shared" ref="K264:K269" si="22">D264</f>
        <v>32043</v>
      </c>
      <c r="L264" s="1572">
        <v>35266</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310763</v>
      </c>
      <c r="E266" s="1672"/>
      <c r="F266" s="1672"/>
      <c r="G266" s="1672"/>
      <c r="H266" s="1672"/>
      <c r="I266" s="1672"/>
      <c r="J266" s="1672"/>
      <c r="K266" s="1677">
        <f t="shared" si="22"/>
        <v>310763</v>
      </c>
      <c r="L266" s="1572">
        <v>321508</v>
      </c>
    </row>
    <row r="267" spans="1:14" x14ac:dyDescent="0.2">
      <c r="A267" s="1273" t="s">
        <v>947</v>
      </c>
      <c r="B267" s="503">
        <v>2550</v>
      </c>
      <c r="C267" s="1672"/>
      <c r="D267" s="1572">
        <v>118726</v>
      </c>
      <c r="E267" s="1672"/>
      <c r="F267" s="1672"/>
      <c r="G267" s="1672"/>
      <c r="H267" s="1672"/>
      <c r="I267" s="1672"/>
      <c r="J267" s="1672"/>
      <c r="K267" s="1677">
        <f t="shared" si="22"/>
        <v>118726</v>
      </c>
      <c r="L267" s="1572">
        <v>133033</v>
      </c>
    </row>
    <row r="268" spans="1:14" x14ac:dyDescent="0.2">
      <c r="A268" s="1273" t="s">
        <v>100</v>
      </c>
      <c r="B268" s="503">
        <v>2560</v>
      </c>
      <c r="C268" s="1672"/>
      <c r="D268" s="1572">
        <v>45959</v>
      </c>
      <c r="E268" s="1672"/>
      <c r="F268" s="1672"/>
      <c r="G268" s="1672"/>
      <c r="H268" s="1672"/>
      <c r="I268" s="1672"/>
      <c r="J268" s="1672"/>
      <c r="K268" s="1677">
        <f t="shared" si="22"/>
        <v>45959</v>
      </c>
      <c r="L268" s="1572">
        <v>46340</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509394</v>
      </c>
      <c r="E270" s="1672"/>
      <c r="F270" s="1672"/>
      <c r="G270" s="1672"/>
      <c r="H270" s="1672"/>
      <c r="I270" s="1672"/>
      <c r="J270" s="1672"/>
      <c r="K270" s="1673">
        <f>SUM(K263:K269)</f>
        <v>509394</v>
      </c>
      <c r="L270" s="1673">
        <f>SUM(L263:L269)</f>
        <v>538907</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v>21690</v>
      </c>
      <c r="E276" s="1672"/>
      <c r="F276" s="1672"/>
      <c r="G276" s="1672"/>
      <c r="H276" s="1672"/>
      <c r="I276" s="1672"/>
      <c r="J276" s="1672"/>
      <c r="K276" s="1677">
        <f>D276</f>
        <v>21690</v>
      </c>
      <c r="L276" s="1572">
        <v>22355</v>
      </c>
    </row>
    <row r="277" spans="1:12" ht="12.75" customHeight="1" thickBot="1" x14ac:dyDescent="0.25">
      <c r="A277" s="1392" t="s">
        <v>37</v>
      </c>
      <c r="B277" s="1380" t="s">
        <v>36</v>
      </c>
      <c r="C277" s="1672"/>
      <c r="D277" s="1673">
        <f>SUM(D272:D276)</f>
        <v>21690</v>
      </c>
      <c r="E277" s="1672"/>
      <c r="F277" s="1672"/>
      <c r="G277" s="1672"/>
      <c r="H277" s="1672"/>
      <c r="I277" s="1672"/>
      <c r="J277" s="1672"/>
      <c r="K277" s="1673">
        <f>SUM(K272:K276)</f>
        <v>21690</v>
      </c>
      <c r="L277" s="1673">
        <f>SUM(L272:L276)</f>
        <v>22355</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780527</v>
      </c>
      <c r="E279" s="1672"/>
      <c r="F279" s="1672"/>
      <c r="G279" s="1672"/>
      <c r="H279" s="1672"/>
      <c r="I279" s="1672"/>
      <c r="J279" s="1672"/>
      <c r="K279" s="1680">
        <f>SUM(K238,K243,K257,K261,K270,K277,K278)</f>
        <v>780527</v>
      </c>
      <c r="L279" s="1680">
        <f>SUM(L238,L243,L257,L261,L270,L277,L278)</f>
        <v>840126</v>
      </c>
    </row>
    <row r="280" spans="1:12" ht="15.75" customHeight="1" thickTop="1" thickBot="1" x14ac:dyDescent="0.25">
      <c r="A280" s="1361" t="s">
        <v>870</v>
      </c>
      <c r="B280" s="1350">
        <v>3000</v>
      </c>
      <c r="C280" s="1672"/>
      <c r="D280" s="1650">
        <v>1806</v>
      </c>
      <c r="E280" s="1672"/>
      <c r="F280" s="1672"/>
      <c r="G280" s="1672"/>
      <c r="H280" s="1672"/>
      <c r="I280" s="1672"/>
      <c r="J280" s="1672"/>
      <c r="K280" s="1686">
        <f>D280</f>
        <v>1806</v>
      </c>
      <c r="L280" s="1650">
        <v>1030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1814</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8" t="s">
        <v>502</v>
      </c>
      <c r="B295" s="2279"/>
      <c r="C295" s="1672"/>
      <c r="D295" s="1673">
        <f>SUM(D229,D279,D280,D285)</f>
        <v>1314343</v>
      </c>
      <c r="E295" s="1672"/>
      <c r="F295" s="1672"/>
      <c r="G295" s="1672"/>
      <c r="H295" s="1673">
        <f>H293</f>
        <v>0</v>
      </c>
      <c r="I295" s="1672"/>
      <c r="J295" s="1672"/>
      <c r="K295" s="1673">
        <f>SUM(K229,K279,K280,K285,K293,K294)</f>
        <v>1314343</v>
      </c>
      <c r="L295" s="1673">
        <f>SUM(L229,L279,L280,L285,L293,L294)</f>
        <v>1385648</v>
      </c>
    </row>
    <row r="296" spans="1:14" ht="13.5" thickTop="1" x14ac:dyDescent="0.2">
      <c r="A296" s="2260" t="s">
        <v>989</v>
      </c>
      <c r="B296" s="2261"/>
      <c r="C296" s="1672"/>
      <c r="D296" s="1674"/>
      <c r="E296" s="1672"/>
      <c r="F296" s="1672"/>
      <c r="G296" s="1672"/>
      <c r="H296" s="1706"/>
      <c r="I296" s="1672"/>
      <c r="J296" s="1672"/>
      <c r="K296" s="1688">
        <f>'Revenues 9-14'!G268-'Expenditures 15-22'!K295</f>
        <v>-675871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v>3333</v>
      </c>
      <c r="F301" s="1572"/>
      <c r="G301" s="1572">
        <v>6996666</v>
      </c>
      <c r="H301" s="1572"/>
      <c r="I301" s="1573"/>
      <c r="J301" s="1573"/>
      <c r="K301" s="1671">
        <f>SUM(C301:J301)</f>
        <v>6999999</v>
      </c>
      <c r="L301" s="1573">
        <v>7000000</v>
      </c>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3333</v>
      </c>
      <c r="F303" s="1680">
        <f t="shared" si="23"/>
        <v>0</v>
      </c>
      <c r="G303" s="1680">
        <f t="shared" si="23"/>
        <v>6996666</v>
      </c>
      <c r="H303" s="1680">
        <f t="shared" si="23"/>
        <v>0</v>
      </c>
      <c r="I303" s="1680">
        <f t="shared" si="23"/>
        <v>0</v>
      </c>
      <c r="J303" s="1680">
        <f t="shared" si="23"/>
        <v>0</v>
      </c>
      <c r="K303" s="1680">
        <f t="shared" si="23"/>
        <v>6999999</v>
      </c>
      <c r="L303" s="1680">
        <f t="shared" si="23"/>
        <v>7000000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1819</v>
      </c>
      <c r="B306" s="562" t="s">
        <v>1814</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5" t="s">
        <v>275</v>
      </c>
      <c r="B312" s="2276"/>
      <c r="C312" s="1673">
        <f>SUM(C303)</f>
        <v>0</v>
      </c>
      <c r="D312" s="1673">
        <f>SUM(D303)</f>
        <v>0</v>
      </c>
      <c r="E312" s="1673">
        <f>SUM(E303,E310)</f>
        <v>3333</v>
      </c>
      <c r="F312" s="1673">
        <f>SUM(F303)</f>
        <v>0</v>
      </c>
      <c r="G312" s="1673">
        <f>SUM(G303)</f>
        <v>6996666</v>
      </c>
      <c r="H312" s="1673">
        <f>SUM(H303,H310)</f>
        <v>0</v>
      </c>
      <c r="I312" s="1673">
        <f>SUM(I303)</f>
        <v>0</v>
      </c>
      <c r="J312" s="1673">
        <f>SUM(J303)</f>
        <v>0</v>
      </c>
      <c r="K312" s="1673">
        <f>SUM(K303,K310,K311)</f>
        <v>6999999</v>
      </c>
      <c r="L312" s="1673">
        <f>SUM(L303,L310,L311)</f>
        <v>7000000</v>
      </c>
      <c r="M312" s="539"/>
      <c r="N312" s="539"/>
    </row>
    <row r="313" spans="1:14" ht="13.5" thickTop="1" x14ac:dyDescent="0.2">
      <c r="A313" s="2271" t="s">
        <v>989</v>
      </c>
      <c r="B313" s="2272"/>
      <c r="C313" s="1676"/>
      <c r="D313" s="1676"/>
      <c r="E313" s="1676"/>
      <c r="F313" s="1676"/>
      <c r="G313" s="1676"/>
      <c r="H313" s="1676"/>
      <c r="I313" s="1676"/>
      <c r="J313" s="1676"/>
      <c r="K313" s="1695">
        <f>'Revenues 9-14'!H268-'Expenditures 15-22'!K312</f>
        <v>-6999999</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892</v>
      </c>
      <c r="B317" s="228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1780</v>
      </c>
      <c r="B320" s="568" t="s">
        <v>280</v>
      </c>
      <c r="C320" s="1573"/>
      <c r="D320" s="1573"/>
      <c r="E320" s="1573">
        <v>129897</v>
      </c>
      <c r="F320" s="1573"/>
      <c r="G320" s="1573"/>
      <c r="H320" s="1573"/>
      <c r="I320" s="1573"/>
      <c r="J320" s="1573"/>
      <c r="K320" s="1671">
        <f t="shared" ref="K320:K327" si="24">SUM(C320:J320)</f>
        <v>129897</v>
      </c>
      <c r="L320" s="1573">
        <v>150000</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v>88980</v>
      </c>
      <c r="F322" s="1573"/>
      <c r="G322" s="1573"/>
      <c r="H322" s="1573"/>
      <c r="I322" s="1573"/>
      <c r="J322" s="1573"/>
      <c r="K322" s="1671">
        <f t="shared" si="24"/>
        <v>88980</v>
      </c>
      <c r="L322" s="1573">
        <v>90980</v>
      </c>
      <c r="M322" s="539"/>
      <c r="N322" s="539"/>
    </row>
    <row r="323" spans="1:14" s="548" customFormat="1" x14ac:dyDescent="0.2">
      <c r="A323" s="1288" t="s">
        <v>697</v>
      </c>
      <c r="B323" s="567" t="s">
        <v>283</v>
      </c>
      <c r="C323" s="1573"/>
      <c r="D323" s="1573"/>
      <c r="E323" s="1573"/>
      <c r="F323" s="1573"/>
      <c r="G323" s="1573"/>
      <c r="H323" s="1573"/>
      <c r="I323" s="1573"/>
      <c r="J323" s="1573"/>
      <c r="K323" s="1671">
        <f t="shared" si="24"/>
        <v>0</v>
      </c>
      <c r="L323" s="1573"/>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v>32700</v>
      </c>
      <c r="F328" s="1578"/>
      <c r="G328" s="1578"/>
      <c r="H328" s="1578"/>
      <c r="I328" s="1578"/>
      <c r="J328" s="1578"/>
      <c r="K328" s="1712">
        <f>SUM(C328:J328)</f>
        <v>32700</v>
      </c>
      <c r="L328" s="1578">
        <v>32700</v>
      </c>
      <c r="M328" s="539"/>
      <c r="N328" s="539"/>
    </row>
    <row r="329" spans="1:14" s="548" customFormat="1" x14ac:dyDescent="0.2">
      <c r="A329" s="1289" t="s">
        <v>1123</v>
      </c>
      <c r="B329" s="562" t="s">
        <v>1124</v>
      </c>
      <c r="C329" s="1578"/>
      <c r="D329" s="1578"/>
      <c r="E329" s="1578">
        <v>7697</v>
      </c>
      <c r="F329" s="1578"/>
      <c r="G329" s="1578"/>
      <c r="H329" s="1578"/>
      <c r="I329" s="1578"/>
      <c r="J329" s="1578"/>
      <c r="K329" s="1712">
        <f>SUM(C329:J329)</f>
        <v>7697</v>
      </c>
      <c r="L329" s="1578">
        <v>7700</v>
      </c>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259274</v>
      </c>
      <c r="F330" s="1673">
        <f t="shared" si="25"/>
        <v>0</v>
      </c>
      <c r="G330" s="1673">
        <f t="shared" si="25"/>
        <v>0</v>
      </c>
      <c r="H330" s="1673">
        <f t="shared" si="25"/>
        <v>0</v>
      </c>
      <c r="I330" s="1673">
        <f t="shared" si="25"/>
        <v>0</v>
      </c>
      <c r="J330" s="1673">
        <f t="shared" si="25"/>
        <v>0</v>
      </c>
      <c r="K330" s="1673">
        <f>SUM(K319:K329)</f>
        <v>259274</v>
      </c>
      <c r="L330" s="1673">
        <f>SUM(L319:L329)</f>
        <v>281380</v>
      </c>
      <c r="M330" s="539"/>
      <c r="N330" s="539"/>
    </row>
    <row r="331" spans="1:14" s="548" customFormat="1" ht="12.75" customHeight="1" thickTop="1" x14ac:dyDescent="0.2">
      <c r="A331" s="1466" t="s">
        <v>1820</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1814</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1816</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1821</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0</v>
      </c>
      <c r="D342" s="1673">
        <f>SUM(D330)</f>
        <v>0</v>
      </c>
      <c r="E342" s="1673">
        <f>SUM(E330)</f>
        <v>259274</v>
      </c>
      <c r="F342" s="1673">
        <f>SUM(F330)</f>
        <v>0</v>
      </c>
      <c r="G342" s="1673">
        <f>SUM(G330)</f>
        <v>0</v>
      </c>
      <c r="H342" s="1673">
        <f>SUM(H330,H334,H340)</f>
        <v>0</v>
      </c>
      <c r="I342" s="1673">
        <f>SUM(I330)</f>
        <v>0</v>
      </c>
      <c r="J342" s="1673">
        <f>SUM(J330)</f>
        <v>0</v>
      </c>
      <c r="K342" s="1673">
        <f>SUM(K330,K334,K340)</f>
        <v>259274</v>
      </c>
      <c r="L342" s="1680">
        <f>SUM(L330,L334,L340,L341)</f>
        <v>281380</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50166</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960</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row>
    <row r="349" spans="1:14" x14ac:dyDescent="0.2">
      <c r="A349" s="1273" t="s">
        <v>195</v>
      </c>
      <c r="B349" s="503">
        <v>2540</v>
      </c>
      <c r="C349" s="1572"/>
      <c r="D349" s="1572"/>
      <c r="E349" s="1572">
        <v>109721</v>
      </c>
      <c r="F349" s="1572"/>
      <c r="G349" s="1572">
        <v>773590</v>
      </c>
      <c r="H349" s="1572"/>
      <c r="I349" s="1573"/>
      <c r="J349" s="1573"/>
      <c r="K349" s="1671">
        <f>SUM(C349:J349)</f>
        <v>883311</v>
      </c>
      <c r="L349" s="1572">
        <v>900000</v>
      </c>
    </row>
    <row r="350" spans="1:14" ht="12.75" customHeight="1" thickBot="1" x14ac:dyDescent="0.25">
      <c r="A350" s="1379" t="s">
        <v>714</v>
      </c>
      <c r="B350" s="1380" t="s">
        <v>35</v>
      </c>
      <c r="C350" s="1673">
        <f>SUM(C348:C349)</f>
        <v>0</v>
      </c>
      <c r="D350" s="1673">
        <f t="shared" ref="D350:L350" si="26">SUM(D348:D349)</f>
        <v>0</v>
      </c>
      <c r="E350" s="1673">
        <f t="shared" si="26"/>
        <v>109721</v>
      </c>
      <c r="F350" s="1673">
        <f t="shared" si="26"/>
        <v>0</v>
      </c>
      <c r="G350" s="1673">
        <f t="shared" si="26"/>
        <v>773590</v>
      </c>
      <c r="H350" s="1673">
        <f t="shared" si="26"/>
        <v>0</v>
      </c>
      <c r="I350" s="1673">
        <f t="shared" si="26"/>
        <v>0</v>
      </c>
      <c r="J350" s="1673">
        <f t="shared" si="26"/>
        <v>0</v>
      </c>
      <c r="K350" s="1673">
        <f t="shared" si="26"/>
        <v>883311</v>
      </c>
      <c r="L350" s="1673">
        <f t="shared" si="26"/>
        <v>900000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109721</v>
      </c>
      <c r="F352" s="1673">
        <f t="shared" si="27"/>
        <v>0</v>
      </c>
      <c r="G352" s="1673">
        <f t="shared" si="27"/>
        <v>773590</v>
      </c>
      <c r="H352" s="1673">
        <f t="shared" si="27"/>
        <v>0</v>
      </c>
      <c r="I352" s="1673">
        <f t="shared" si="27"/>
        <v>0</v>
      </c>
      <c r="J352" s="1673">
        <f t="shared" si="27"/>
        <v>0</v>
      </c>
      <c r="K352" s="1673">
        <f t="shared" si="27"/>
        <v>883311</v>
      </c>
      <c r="L352" s="1673">
        <f t="shared" si="27"/>
        <v>900000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1822</v>
      </c>
      <c r="B354" s="557" t="s">
        <v>1814</v>
      </c>
      <c r="C354" s="1672"/>
      <c r="D354" s="1672"/>
      <c r="E354" s="1672"/>
      <c r="F354" s="1672"/>
      <c r="G354" s="1672"/>
      <c r="H354" s="1578"/>
      <c r="I354" s="1715"/>
      <c r="J354" s="1672"/>
      <c r="K354" s="1712">
        <f>H354</f>
        <v>0</v>
      </c>
      <c r="L354" s="1576"/>
    </row>
    <row r="355" spans="1:14" ht="12.75" customHeight="1" x14ac:dyDescent="0.2">
      <c r="A355" s="1282" t="s">
        <v>1823</v>
      </c>
      <c r="B355" s="562" t="s">
        <v>1816</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109721</v>
      </c>
      <c r="F367" s="1673">
        <f t="shared" si="28"/>
        <v>0</v>
      </c>
      <c r="G367" s="1673">
        <f t="shared" si="28"/>
        <v>773590</v>
      </c>
      <c r="H367" s="1673">
        <f t="shared" si="28"/>
        <v>0</v>
      </c>
      <c r="I367" s="1673">
        <f t="shared" si="28"/>
        <v>0</v>
      </c>
      <c r="J367" s="1673">
        <f t="shared" si="28"/>
        <v>0</v>
      </c>
      <c r="K367" s="1673">
        <f t="shared" si="28"/>
        <v>883311</v>
      </c>
      <c r="L367" s="1673">
        <f t="shared" si="28"/>
        <v>900000</v>
      </c>
    </row>
    <row r="368" spans="1:14" ht="13.5" thickTop="1" x14ac:dyDescent="0.2">
      <c r="A368" s="2260" t="s">
        <v>989</v>
      </c>
      <c r="B368" s="2261"/>
      <c r="C368" s="1693"/>
      <c r="D368" s="1693"/>
      <c r="E368" s="1676"/>
      <c r="F368" s="1676"/>
      <c r="G368" s="1676"/>
      <c r="H368" s="1676"/>
      <c r="I368" s="1676"/>
      <c r="J368" s="1675"/>
      <c r="K368" s="1671">
        <f>'Revenues 9-14'!K268-'Expenditures 15-22'!K367</f>
        <v>-231098</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7" sqref="E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1777</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28538484</v>
      </c>
      <c r="C4" s="1721">
        <v>15104868</v>
      </c>
      <c r="D4" s="1722">
        <f>B4-C4</f>
        <v>13433616</v>
      </c>
      <c r="E4" s="1721">
        <v>31491114</v>
      </c>
      <c r="F4" s="1722">
        <f>E4-C4</f>
        <v>16386246</v>
      </c>
    </row>
    <row r="5" spans="1:8" ht="13.7" customHeight="1" x14ac:dyDescent="0.2">
      <c r="A5" s="579" t="s">
        <v>865</v>
      </c>
      <c r="B5" s="1723">
        <f>'Revenues 9-14'!D5</f>
        <v>3801685</v>
      </c>
      <c r="C5" s="1663">
        <v>1957178</v>
      </c>
      <c r="D5" s="1724">
        <f t="shared" ref="D5:D18" si="0">B5-C5</f>
        <v>1844507</v>
      </c>
      <c r="E5" s="1663">
        <v>4080345</v>
      </c>
      <c r="F5" s="1724">
        <f>E5-C5</f>
        <v>2123167</v>
      </c>
    </row>
    <row r="6" spans="1:8" ht="13.7" customHeight="1" x14ac:dyDescent="0.2">
      <c r="A6" s="579" t="s">
        <v>408</v>
      </c>
      <c r="B6" s="1723">
        <f>'Revenues 9-14'!E5</f>
        <v>2038553</v>
      </c>
      <c r="C6" s="1663">
        <v>1078934</v>
      </c>
      <c r="D6" s="1724">
        <f t="shared" si="0"/>
        <v>959619</v>
      </c>
      <c r="E6" s="1663">
        <v>2249116</v>
      </c>
      <c r="F6" s="1724">
        <f t="shared" ref="F6:F18" si="1">E6-C6</f>
        <v>1170182</v>
      </c>
    </row>
    <row r="7" spans="1:8" ht="13.7" customHeight="1" x14ac:dyDescent="0.2">
      <c r="A7" s="579" t="s">
        <v>154</v>
      </c>
      <c r="B7" s="1723">
        <f>'Revenues 9-14'!F5</f>
        <v>544896</v>
      </c>
      <c r="C7" s="1663">
        <v>143817</v>
      </c>
      <c r="D7" s="1724">
        <f t="shared" si="0"/>
        <v>401079</v>
      </c>
      <c r="E7" s="1663">
        <v>300000</v>
      </c>
      <c r="F7" s="1724">
        <f t="shared" si="1"/>
        <v>156183</v>
      </c>
    </row>
    <row r="8" spans="1:8" ht="13.7" customHeight="1" x14ac:dyDescent="0.2">
      <c r="A8" s="579" t="s">
        <v>1169</v>
      </c>
      <c r="B8" s="1723">
        <f>'Revenues 9-14'!G5</f>
        <v>222528</v>
      </c>
      <c r="C8" s="1663">
        <v>117222</v>
      </c>
      <c r="D8" s="1724">
        <f t="shared" si="0"/>
        <v>105306</v>
      </c>
      <c r="E8" s="1663">
        <v>244716</v>
      </c>
      <c r="F8" s="1724">
        <f t="shared" si="1"/>
        <v>127494</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142092</v>
      </c>
      <c r="C10" s="1663">
        <v>49507</v>
      </c>
      <c r="D10" s="1724">
        <f t="shared" si="0"/>
        <v>92585</v>
      </c>
      <c r="E10" s="1663">
        <v>103000</v>
      </c>
      <c r="F10" s="1724">
        <f t="shared" si="1"/>
        <v>53493</v>
      </c>
    </row>
    <row r="11" spans="1:8" x14ac:dyDescent="0.2">
      <c r="A11" s="579" t="s">
        <v>406</v>
      </c>
      <c r="B11" s="1723">
        <f>'Revenues 9-14'!J5</f>
        <v>299388</v>
      </c>
      <c r="C11" s="1663">
        <v>156501</v>
      </c>
      <c r="D11" s="1724">
        <f t="shared" si="0"/>
        <v>142887</v>
      </c>
      <c r="E11" s="1663">
        <v>326289</v>
      </c>
      <c r="F11" s="1724">
        <f t="shared" si="1"/>
        <v>169788</v>
      </c>
    </row>
    <row r="12" spans="1:8" ht="13.7" customHeight="1" x14ac:dyDescent="0.2">
      <c r="A12" s="579" t="s">
        <v>156</v>
      </c>
      <c r="B12" s="1723">
        <f>'Revenues 9-14'!K5</f>
        <v>631795</v>
      </c>
      <c r="C12" s="1663">
        <v>296431</v>
      </c>
      <c r="D12" s="1724">
        <f t="shared" si="0"/>
        <v>335364</v>
      </c>
      <c r="E12" s="1663">
        <v>618000</v>
      </c>
      <c r="F12" s="1724">
        <f t="shared" si="1"/>
        <v>321569</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2764081</v>
      </c>
      <c r="C14" s="1663">
        <v>1422621</v>
      </c>
      <c r="D14" s="1724">
        <f t="shared" si="0"/>
        <v>1341460</v>
      </c>
      <c r="E14" s="1663">
        <v>2966400</v>
      </c>
      <c r="F14" s="1724">
        <f t="shared" si="1"/>
        <v>1543779</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247226</v>
      </c>
      <c r="C16" s="1663">
        <v>130519</v>
      </c>
      <c r="D16" s="1724">
        <f t="shared" si="0"/>
        <v>116707</v>
      </c>
      <c r="E16" s="1663">
        <v>271907</v>
      </c>
      <c r="F16" s="1724">
        <f t="shared" si="1"/>
        <v>141388</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39230728</v>
      </c>
      <c r="C19" s="1725">
        <f>SUM(C4:C18)</f>
        <v>20457598</v>
      </c>
      <c r="D19" s="1725">
        <f>SUM(D4:D18)</f>
        <v>18773130</v>
      </c>
      <c r="E19" s="1725">
        <f>SUM(E4:E18)</f>
        <v>42650887</v>
      </c>
      <c r="F19" s="1725">
        <f>SUM(F4:F18)</f>
        <v>22193289</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8" sqref="J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1777</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5"/>
      <c r="D23" s="1655"/>
      <c r="E23" s="1655"/>
      <c r="F23" s="1731">
        <f>SUM(C23+D23)-E23</f>
        <v>0</v>
      </c>
      <c r="G23" s="473"/>
    </row>
    <row r="24" spans="1:11" ht="15.75" customHeight="1" thickTop="1" x14ac:dyDescent="0.2">
      <c r="A24" s="2302" t="s">
        <v>2004</v>
      </c>
      <c r="B24" s="2303"/>
      <c r="C24" s="2297"/>
      <c r="D24" s="2298"/>
      <c r="E24" s="2298"/>
      <c r="F24" s="2299"/>
    </row>
    <row r="25" spans="1:11" ht="13.5" thickBot="1" x14ac:dyDescent="0.25">
      <c r="A25" s="2304" t="s">
        <v>2005</v>
      </c>
      <c r="B25" s="2305"/>
      <c r="C25" s="1655"/>
      <c r="D25" s="1655"/>
      <c r="E25" s="1655"/>
      <c r="F25" s="1731">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3"/>
      <c r="D27" s="1663"/>
      <c r="E27" s="1663"/>
      <c r="F27" s="1731">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1875</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2065</v>
      </c>
      <c r="B31" s="595">
        <v>40699</v>
      </c>
      <c r="C31" s="1733">
        <v>6530000</v>
      </c>
      <c r="D31" s="1734">
        <v>3</v>
      </c>
      <c r="E31" s="1733">
        <v>2270000</v>
      </c>
      <c r="F31" s="1733"/>
      <c r="G31" s="1733"/>
      <c r="H31" s="1733">
        <v>560000</v>
      </c>
      <c r="I31" s="1735">
        <f>((E31+F31)-H31)+G31</f>
        <v>1710000</v>
      </c>
      <c r="J31" s="1733">
        <v>1249156</v>
      </c>
      <c r="K31" s="596"/>
    </row>
    <row r="32" spans="1:11" ht="12" customHeight="1" x14ac:dyDescent="0.2">
      <c r="A32" s="594" t="s">
        <v>2066</v>
      </c>
      <c r="B32" s="595">
        <v>40699</v>
      </c>
      <c r="C32" s="1733">
        <v>13540000</v>
      </c>
      <c r="D32" s="1734">
        <v>3</v>
      </c>
      <c r="E32" s="1733"/>
      <c r="F32" s="1733"/>
      <c r="G32" s="1733"/>
      <c r="H32" s="1733"/>
      <c r="I32" s="1735">
        <f>((E32+F32)-H32)+G32</f>
        <v>0</v>
      </c>
      <c r="J32" s="1733">
        <v>-263505</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2068</v>
      </c>
      <c r="B34" s="595">
        <v>41543</v>
      </c>
      <c r="C34" s="1733">
        <v>7000000</v>
      </c>
      <c r="D34" s="1734">
        <v>3</v>
      </c>
      <c r="E34" s="1733">
        <v>6870000</v>
      </c>
      <c r="F34" s="1733"/>
      <c r="G34" s="1733"/>
      <c r="H34" s="1733"/>
      <c r="I34" s="1735">
        <f t="shared" si="1"/>
        <v>6870000</v>
      </c>
      <c r="J34" s="1733">
        <v>6843290</v>
      </c>
      <c r="K34" s="597"/>
    </row>
    <row r="35" spans="1:11" ht="12" customHeight="1" x14ac:dyDescent="0.2">
      <c r="A35" s="594" t="s">
        <v>2069</v>
      </c>
      <c r="B35" s="595">
        <v>41543</v>
      </c>
      <c r="C35" s="1736">
        <v>5550000</v>
      </c>
      <c r="D35" s="1734">
        <v>3</v>
      </c>
      <c r="E35" s="1736">
        <v>3925000</v>
      </c>
      <c r="F35" s="1736"/>
      <c r="G35" s="1736"/>
      <c r="H35" s="1736">
        <v>305000</v>
      </c>
      <c r="I35" s="1735">
        <f t="shared" si="1"/>
        <v>3620000</v>
      </c>
      <c r="J35" s="1736">
        <v>3448261</v>
      </c>
      <c r="K35" s="597"/>
    </row>
    <row r="36" spans="1:11" ht="12" customHeight="1" x14ac:dyDescent="0.2">
      <c r="A36" s="594" t="s">
        <v>2067</v>
      </c>
      <c r="B36" s="595">
        <v>41543</v>
      </c>
      <c r="C36" s="1733">
        <v>9630000</v>
      </c>
      <c r="D36" s="1734">
        <v>3</v>
      </c>
      <c r="E36" s="1733">
        <v>9630000</v>
      </c>
      <c r="F36" s="1733"/>
      <c r="G36" s="1733"/>
      <c r="H36" s="1733"/>
      <c r="I36" s="1735">
        <f t="shared" si="1"/>
        <v>9630000</v>
      </c>
      <c r="J36" s="1733">
        <v>9503241</v>
      </c>
      <c r="K36" s="598"/>
    </row>
    <row r="37" spans="1:11" ht="12" customHeight="1" x14ac:dyDescent="0.2">
      <c r="A37" s="594" t="s">
        <v>2070</v>
      </c>
      <c r="B37" s="595">
        <v>41543</v>
      </c>
      <c r="C37" s="1573">
        <v>15350000</v>
      </c>
      <c r="D37" s="1737" t="s">
        <v>2071</v>
      </c>
      <c r="E37" s="1573">
        <v>13200000</v>
      </c>
      <c r="F37" s="1573"/>
      <c r="G37" s="1573"/>
      <c r="H37" s="1573">
        <v>1005000</v>
      </c>
      <c r="I37" s="1735">
        <f t="shared" si="1"/>
        <v>12195000</v>
      </c>
      <c r="J37" s="1573">
        <v>10975317</v>
      </c>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57600000</v>
      </c>
      <c r="D49" s="1741"/>
      <c r="E49" s="1735">
        <f t="shared" ref="E49:J49" si="2">SUM(E31:E48)</f>
        <v>35895000</v>
      </c>
      <c r="F49" s="1735">
        <f t="shared" si="2"/>
        <v>0</v>
      </c>
      <c r="G49" s="1735">
        <f t="shared" si="2"/>
        <v>0</v>
      </c>
      <c r="H49" s="1735">
        <f t="shared" si="2"/>
        <v>1870000</v>
      </c>
      <c r="I49" s="1735">
        <f t="shared" si="2"/>
        <v>34025000</v>
      </c>
      <c r="J49" s="1735">
        <f t="shared" si="2"/>
        <v>31755760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G39" sqref="G3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7"/>
      <c r="I1" s="614"/>
      <c r="J1" s="400"/>
    </row>
    <row r="2" spans="1:11" ht="26.25" x14ac:dyDescent="0.2">
      <c r="A2" s="2337" t="s">
        <v>1658</v>
      </c>
      <c r="B2" s="2338"/>
      <c r="C2" s="2338"/>
      <c r="D2" s="2338"/>
      <c r="E2" s="2339"/>
      <c r="F2" s="615" t="s">
        <v>898</v>
      </c>
      <c r="G2" s="616" t="s">
        <v>1655</v>
      </c>
      <c r="H2" s="616" t="s">
        <v>407</v>
      </c>
      <c r="I2" s="616" t="s">
        <v>1148</v>
      </c>
      <c r="J2" s="616" t="s">
        <v>1787</v>
      </c>
      <c r="K2" s="616" t="s">
        <v>137</v>
      </c>
    </row>
    <row r="3" spans="1:11" x14ac:dyDescent="0.2">
      <c r="A3" s="2340" t="str">
        <f>"Cash Basis Fund Balance as of July 1, "&amp;'AFR20'!E2-1</f>
        <v>Cash Basis Fund Balance as of July 1, 2019</v>
      </c>
      <c r="B3" s="2341"/>
      <c r="C3" s="2341"/>
      <c r="D3" s="2341"/>
      <c r="E3" s="2342"/>
      <c r="F3" s="617"/>
      <c r="G3" s="1743"/>
      <c r="H3" s="1743">
        <v>0</v>
      </c>
      <c r="I3" s="1743"/>
      <c r="J3" s="1744"/>
      <c r="K3" s="1744"/>
    </row>
    <row r="4" spans="1:11" x14ac:dyDescent="0.2">
      <c r="A4" s="2343" t="s">
        <v>366</v>
      </c>
      <c r="B4" s="2344"/>
      <c r="C4" s="2344"/>
      <c r="D4" s="2344"/>
      <c r="E4" s="2290"/>
      <c r="F4" s="620"/>
      <c r="G4" s="1745"/>
      <c r="H4" s="1746"/>
      <c r="I4" s="1745"/>
      <c r="J4" s="1747"/>
      <c r="K4" s="1747"/>
    </row>
    <row r="5" spans="1:11" x14ac:dyDescent="0.2">
      <c r="A5" s="2321" t="s">
        <v>1060</v>
      </c>
      <c r="B5" s="2322"/>
      <c r="C5" s="2322"/>
      <c r="D5" s="2322"/>
      <c r="E5" s="2323"/>
      <c r="F5" s="622" t="s">
        <v>843</v>
      </c>
      <c r="G5" s="1748"/>
      <c r="H5" s="1743">
        <v>2764081</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21" t="s">
        <v>1788</v>
      </c>
      <c r="B10" s="2322"/>
      <c r="C10" s="2322"/>
      <c r="D10" s="2322"/>
      <c r="E10" s="2324"/>
      <c r="F10" s="633" t="s">
        <v>857</v>
      </c>
      <c r="G10" s="1752"/>
      <c r="H10" s="1753"/>
      <c r="I10" s="1743"/>
      <c r="J10" s="1744"/>
      <c r="K10" s="1744"/>
    </row>
    <row r="11" spans="1:11" x14ac:dyDescent="0.2">
      <c r="A11" s="2321" t="s">
        <v>159</v>
      </c>
      <c r="B11" s="2322"/>
      <c r="C11" s="2322"/>
      <c r="D11" s="2322"/>
      <c r="E11" s="2323"/>
      <c r="F11" s="622" t="s">
        <v>847</v>
      </c>
      <c r="G11" s="1748"/>
      <c r="H11" s="1743"/>
      <c r="I11" s="1743"/>
      <c r="J11" s="1744"/>
      <c r="K11" s="1750"/>
    </row>
    <row r="12" spans="1:11" ht="13.5" thickBot="1" x14ac:dyDescent="0.25">
      <c r="A12" s="2348" t="s">
        <v>899</v>
      </c>
      <c r="B12" s="2349"/>
      <c r="C12" s="2349"/>
      <c r="D12" s="2349"/>
      <c r="E12" s="2350"/>
      <c r="F12" s="1432"/>
      <c r="G12" s="1754">
        <f>SUM(G5:G11)</f>
        <v>0</v>
      </c>
      <c r="H12" s="1754">
        <f>SUM(H5:H11)</f>
        <v>2764081</v>
      </c>
      <c r="I12" s="1754">
        <f>SUM(I5:I11)</f>
        <v>0</v>
      </c>
      <c r="J12" s="1754">
        <f>SUM(J5:J11)</f>
        <v>0</v>
      </c>
      <c r="K12" s="1754">
        <f>SUM(K5:K11)</f>
        <v>0</v>
      </c>
    </row>
    <row r="13" spans="1:11" ht="13.5" thickTop="1" x14ac:dyDescent="0.2">
      <c r="A13" s="2345" t="s">
        <v>367</v>
      </c>
      <c r="B13" s="2346"/>
      <c r="C13" s="2346"/>
      <c r="D13" s="2346"/>
      <c r="E13" s="2347"/>
      <c r="F13" s="634"/>
      <c r="G13" s="1755"/>
      <c r="H13" s="1756"/>
      <c r="I13" s="1757"/>
      <c r="J13" s="1757"/>
      <c r="K13" s="1757"/>
    </row>
    <row r="14" spans="1:11" x14ac:dyDescent="0.2">
      <c r="A14" s="2328" t="s">
        <v>453</v>
      </c>
      <c r="B14" s="2328"/>
      <c r="C14" s="2328"/>
      <c r="D14" s="2328"/>
      <c r="E14" s="2329"/>
      <c r="F14" s="635" t="s">
        <v>849</v>
      </c>
      <c r="G14" s="1752"/>
      <c r="H14" s="1743">
        <v>2764081</v>
      </c>
      <c r="I14" s="1748"/>
      <c r="J14" s="1750"/>
      <c r="K14" s="1744"/>
    </row>
    <row r="15" spans="1:11" x14ac:dyDescent="0.2">
      <c r="A15" s="2322" t="s">
        <v>4</v>
      </c>
      <c r="B15" s="2322"/>
      <c r="C15" s="2322"/>
      <c r="D15" s="2322"/>
      <c r="E15" s="2323"/>
      <c r="F15" s="635" t="s">
        <v>850</v>
      </c>
      <c r="G15" s="1748"/>
      <c r="H15" s="1743"/>
      <c r="I15" s="1743"/>
      <c r="J15" s="1744"/>
      <c r="K15" s="1744"/>
    </row>
    <row r="16" spans="1:11" x14ac:dyDescent="0.2">
      <c r="A16" s="2322" t="s">
        <v>295</v>
      </c>
      <c r="B16" s="2322"/>
      <c r="C16" s="2322"/>
      <c r="D16" s="2322"/>
      <c r="E16" s="2323"/>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30" t="s">
        <v>1784</v>
      </c>
      <c r="B19" s="2330"/>
      <c r="C19" s="2330"/>
      <c r="D19" s="2330"/>
      <c r="E19" s="2331"/>
      <c r="F19" s="635" t="s">
        <v>927</v>
      </c>
      <c r="G19" s="1752"/>
      <c r="H19" s="1752"/>
      <c r="I19" s="1752"/>
      <c r="J19" s="1744"/>
      <c r="K19" s="1762"/>
    </row>
    <row r="20" spans="1:15" x14ac:dyDescent="0.2">
      <c r="A20" s="2332" t="s">
        <v>1789</v>
      </c>
      <c r="B20" s="2333"/>
      <c r="C20" s="2333"/>
      <c r="D20" s="2333"/>
      <c r="E20" s="2334"/>
      <c r="F20" s="635"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0</v>
      </c>
      <c r="K21" s="1760"/>
    </row>
    <row r="22" spans="1:15" ht="13.5" thickTop="1" x14ac:dyDescent="0.2">
      <c r="A22" s="2322" t="s">
        <v>1790</v>
      </c>
      <c r="B22" s="2322"/>
      <c r="C22" s="2322"/>
      <c r="D22" s="2322"/>
      <c r="E22" s="2323"/>
      <c r="F22" s="635"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2764081</v>
      </c>
      <c r="I23" s="1754">
        <f>SUM(I14:I16,I21,I22)</f>
        <v>0</v>
      </c>
      <c r="J23" s="1754">
        <f>SUM(J14:J16,J21,J22)</f>
        <v>0</v>
      </c>
      <c r="K23" s="1754">
        <f>SUM(K14:K16,K21,K22)</f>
        <v>0</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1874</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2049</v>
      </c>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v>42051</v>
      </c>
    </row>
    <row r="38" spans="1:11" x14ac:dyDescent="0.2">
      <c r="A38" s="660" t="s">
        <v>986</v>
      </c>
      <c r="B38" s="658"/>
      <c r="C38" s="658"/>
      <c r="D38" s="658"/>
      <c r="E38" s="658"/>
      <c r="F38" s="659"/>
      <c r="G38" s="619">
        <v>48543</v>
      </c>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1785</v>
      </c>
      <c r="B46" s="382" t="s">
        <v>1656</v>
      </c>
    </row>
    <row r="47" spans="1:11" s="663" customFormat="1" ht="12.75" customHeight="1" x14ac:dyDescent="0.2">
      <c r="A47" s="661"/>
      <c r="B47" s="662" t="s">
        <v>1657</v>
      </c>
      <c r="E47" s="662"/>
      <c r="K47" s="664"/>
    </row>
    <row r="48" spans="1:11" ht="12.75" customHeight="1" x14ac:dyDescent="0.2">
      <c r="A48" s="1299"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2" sqref="E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1873</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5099610</v>
      </c>
      <c r="D5" s="1769">
        <v>103693</v>
      </c>
      <c r="E5" s="1769"/>
      <c r="F5" s="1764">
        <f>(C5+D5)-E5</f>
        <v>5203303</v>
      </c>
      <c r="G5" s="676"/>
      <c r="H5" s="680"/>
      <c r="I5" s="680"/>
      <c r="J5" s="680"/>
      <c r="K5" s="637"/>
      <c r="L5" s="1441">
        <f>F5-K5</f>
        <v>5203303</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107896602</v>
      </c>
      <c r="D8" s="1770">
        <v>25940224</v>
      </c>
      <c r="E8" s="1770"/>
      <c r="F8" s="1764">
        <f>(C8+D8)-E8</f>
        <v>133836826</v>
      </c>
      <c r="G8" s="681">
        <v>50</v>
      </c>
      <c r="H8" s="619">
        <v>56825211</v>
      </c>
      <c r="I8" s="619">
        <v>2411672</v>
      </c>
      <c r="J8" s="619"/>
      <c r="K8" s="1441">
        <f>(H8+I8)-J8</f>
        <v>59236883</v>
      </c>
      <c r="L8" s="1441">
        <f>F8-K8</f>
        <v>74599943</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2831755</v>
      </c>
      <c r="D10" s="1771">
        <v>391829</v>
      </c>
      <c r="E10" s="1771"/>
      <c r="F10" s="1772">
        <f>(C10+D10)-E10</f>
        <v>3223584</v>
      </c>
      <c r="G10" s="681">
        <v>20</v>
      </c>
      <c r="H10" s="683">
        <v>729838</v>
      </c>
      <c r="I10" s="683">
        <v>149538</v>
      </c>
      <c r="J10" s="683"/>
      <c r="K10" s="1441">
        <f>(H10+I10)-J10</f>
        <v>879376</v>
      </c>
      <c r="L10" s="1441">
        <f>F10-K10</f>
        <v>2344208</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11071927</v>
      </c>
      <c r="D12" s="1770">
        <v>1299891</v>
      </c>
      <c r="E12" s="1770"/>
      <c r="F12" s="1764">
        <f>(C12+D12)-E12</f>
        <v>12371818</v>
      </c>
      <c r="G12" s="681">
        <v>10</v>
      </c>
      <c r="H12" s="619">
        <v>8724017</v>
      </c>
      <c r="I12" s="619">
        <v>669172</v>
      </c>
      <c r="J12" s="619"/>
      <c r="K12" s="1441">
        <f>(H12+I12)-J12</f>
        <v>9393189</v>
      </c>
      <c r="L12" s="1441">
        <f>F12-K12</f>
        <v>2978629</v>
      </c>
    </row>
    <row r="13" spans="1:14" ht="14.25" thickTop="1" thickBot="1" x14ac:dyDescent="0.25">
      <c r="A13" s="684" t="s">
        <v>1112</v>
      </c>
      <c r="B13" s="679">
        <v>252</v>
      </c>
      <c r="C13" s="1770">
        <v>4087629</v>
      </c>
      <c r="D13" s="1770">
        <v>215685</v>
      </c>
      <c r="E13" s="1770"/>
      <c r="F13" s="1764">
        <f>(C13+D13)-E13</f>
        <v>4303314</v>
      </c>
      <c r="G13" s="681">
        <v>5</v>
      </c>
      <c r="H13" s="619">
        <v>3472595</v>
      </c>
      <c r="I13" s="619">
        <v>222343</v>
      </c>
      <c r="J13" s="619"/>
      <c r="K13" s="1441">
        <f>(H13+I13)-J13</f>
        <v>3694938</v>
      </c>
      <c r="L13" s="1441">
        <f>F13-K13</f>
        <v>608376</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v>18413921</v>
      </c>
      <c r="D15" s="1770">
        <v>10097186</v>
      </c>
      <c r="E15" s="1770">
        <v>25419654</v>
      </c>
      <c r="F15" s="1764">
        <f>(C15+D15)-E15</f>
        <v>3091453</v>
      </c>
      <c r="G15" s="685" t="s">
        <v>857</v>
      </c>
      <c r="H15" s="632"/>
      <c r="I15" s="632"/>
      <c r="J15" s="632"/>
      <c r="K15" s="632"/>
      <c r="L15" s="1441">
        <f>F15-K15</f>
        <v>3091453</v>
      </c>
    </row>
    <row r="16" spans="1:14" ht="15" customHeight="1" thickTop="1" thickBot="1" x14ac:dyDescent="0.25">
      <c r="A16" s="1437" t="s">
        <v>638</v>
      </c>
      <c r="B16" s="1438">
        <v>200</v>
      </c>
      <c r="C16" s="1764">
        <f>SUM(C3,C5:C6,C8:C10,C12:C15)</f>
        <v>149401444</v>
      </c>
      <c r="D16" s="1764">
        <f>SUM(D3,D5:D6,D8:D10,D12:D15)</f>
        <v>38048508</v>
      </c>
      <c r="E16" s="1764">
        <f>SUM(E3,E5:E6,E8:E10,E12:E15)</f>
        <v>25419654</v>
      </c>
      <c r="F16" s="1764">
        <f>SUM(F3,F5:F6,F8:F10,F12:F15)</f>
        <v>162030298</v>
      </c>
      <c r="G16" s="681"/>
      <c r="H16" s="1434">
        <f>SUM(H3,H6,H8:H10,H12:H14,)</f>
        <v>69751661</v>
      </c>
      <c r="I16" s="1434">
        <f>SUM(I3,I6,I8:I10,I12:I14,)</f>
        <v>3452725</v>
      </c>
      <c r="J16" s="1434">
        <f>SUM(J3,J6,J8:J10,J12:J14,)</f>
        <v>0</v>
      </c>
      <c r="K16" s="1434">
        <f>(H16+I16)-J16</f>
        <v>73204386</v>
      </c>
      <c r="L16" s="1434">
        <f>F16-K16</f>
        <v>88825912</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16131</v>
      </c>
      <c r="G17" s="676">
        <v>10</v>
      </c>
      <c r="H17" s="621"/>
      <c r="I17" s="1441">
        <f>F17/G17</f>
        <v>1613.1</v>
      </c>
      <c r="J17" s="621"/>
      <c r="K17" s="638"/>
      <c r="L17" s="638"/>
    </row>
    <row r="18" spans="1:12" ht="14.25" thickTop="1" thickBot="1" x14ac:dyDescent="0.25">
      <c r="A18" s="1439" t="s">
        <v>680</v>
      </c>
      <c r="B18" s="1440"/>
      <c r="C18" s="623"/>
      <c r="D18" s="623"/>
      <c r="E18" s="623"/>
      <c r="F18" s="686"/>
      <c r="G18" s="687"/>
      <c r="H18" s="624"/>
      <c r="I18" s="1434">
        <f>SUM(I16,I17)</f>
        <v>3454338.1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I172" sqref="I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37792270</v>
      </c>
      <c r="G8" s="701"/>
    </row>
    <row r="9" spans="1:9" x14ac:dyDescent="0.2">
      <c r="A9" s="705" t="s">
        <v>457</v>
      </c>
      <c r="B9" s="706" t="s">
        <v>1846</v>
      </c>
      <c r="C9" s="707"/>
      <c r="D9" s="705" t="s">
        <v>498</v>
      </c>
      <c r="E9" s="704"/>
      <c r="F9" s="1774">
        <f>'Expenditures 15-22'!K151</f>
        <v>5653883</v>
      </c>
      <c r="G9" s="708"/>
    </row>
    <row r="10" spans="1:9" x14ac:dyDescent="0.2">
      <c r="A10" s="705" t="s">
        <v>496</v>
      </c>
      <c r="B10" s="706" t="s">
        <v>1847</v>
      </c>
      <c r="C10" s="707"/>
      <c r="D10" s="705" t="s">
        <v>498</v>
      </c>
      <c r="E10" s="704"/>
      <c r="F10" s="1774">
        <f>'Expenditures 15-22'!K174</f>
        <v>3764374</v>
      </c>
      <c r="G10" s="708"/>
    </row>
    <row r="11" spans="1:9" x14ac:dyDescent="0.2">
      <c r="A11" s="705" t="s">
        <v>458</v>
      </c>
      <c r="B11" s="706" t="s">
        <v>1848</v>
      </c>
      <c r="C11" s="707"/>
      <c r="D11" s="705" t="s">
        <v>498</v>
      </c>
      <c r="E11" s="704"/>
      <c r="F11" s="1774">
        <f>'Expenditures 15-22'!K210</f>
        <v>2125539</v>
      </c>
      <c r="G11" s="708"/>
    </row>
    <row r="12" spans="1:9" x14ac:dyDescent="0.2">
      <c r="A12" s="705" t="s">
        <v>459</v>
      </c>
      <c r="B12" s="706" t="s">
        <v>1849</v>
      </c>
      <c r="C12" s="707"/>
      <c r="D12" s="705" t="s">
        <v>498</v>
      </c>
      <c r="E12" s="704"/>
      <c r="F12" s="1774">
        <f>'Expenditures 15-22'!K295</f>
        <v>1314343</v>
      </c>
      <c r="G12" s="708"/>
    </row>
    <row r="13" spans="1:9" x14ac:dyDescent="0.2">
      <c r="A13" s="705" t="s">
        <v>106</v>
      </c>
      <c r="B13" s="706" t="s">
        <v>1850</v>
      </c>
      <c r="C13" s="707"/>
      <c r="D13" s="705" t="s">
        <v>498</v>
      </c>
      <c r="E13" s="704"/>
      <c r="F13" s="1774">
        <f>'Expenditures 15-22'!K342</f>
        <v>259274</v>
      </c>
      <c r="G13" s="709"/>
    </row>
    <row r="14" spans="1:9" ht="12" customHeight="1" thickBot="1" x14ac:dyDescent="0.25">
      <c r="A14" s="1442"/>
      <c r="B14" s="1443"/>
      <c r="C14" s="1444"/>
      <c r="D14" s="1445" t="s">
        <v>498</v>
      </c>
      <c r="E14" s="1446" t="s">
        <v>952</v>
      </c>
      <c r="F14" s="1775">
        <f>SUM(F8:F13)</f>
        <v>50909683</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82">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1907</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654494</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335273</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837233</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23719</v>
      </c>
      <c r="G52" s="701"/>
    </row>
    <row r="53" spans="1:7" x14ac:dyDescent="0.2">
      <c r="A53" s="705" t="s">
        <v>456</v>
      </c>
      <c r="B53" s="705" t="s">
        <v>1458</v>
      </c>
      <c r="C53" s="724">
        <f>'Expenditures 15-22'!B102</f>
        <v>4000</v>
      </c>
      <c r="D53" s="723" t="str">
        <f>'Expenditures 15-22'!A102</f>
        <v>Total Payments to Other Govt Units</v>
      </c>
      <c r="E53" s="704"/>
      <c r="F53" s="1781">
        <f>'Expenditures 15-22'!K102</f>
        <v>906750</v>
      </c>
      <c r="G53" s="701"/>
    </row>
    <row r="54" spans="1:7" x14ac:dyDescent="0.2">
      <c r="A54" s="705" t="s">
        <v>456</v>
      </c>
      <c r="B54" s="705" t="s">
        <v>1459</v>
      </c>
      <c r="C54" s="724" t="s">
        <v>975</v>
      </c>
      <c r="D54" s="720" t="s">
        <v>1086</v>
      </c>
      <c r="E54" s="704"/>
      <c r="F54" s="1781">
        <f>'Expenditures 15-22'!G114</f>
        <v>1212087</v>
      </c>
      <c r="G54" s="701"/>
    </row>
    <row r="55" spans="1:7" x14ac:dyDescent="0.2">
      <c r="A55" s="705" t="s">
        <v>456</v>
      </c>
      <c r="B55" s="705" t="s">
        <v>1460</v>
      </c>
      <c r="C55" s="724" t="s">
        <v>975</v>
      </c>
      <c r="D55" s="720" t="s">
        <v>288</v>
      </c>
      <c r="E55" s="704"/>
      <c r="F55" s="1781">
        <f>'Expenditures 15-22'!I114</f>
        <v>16131</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81">
        <f>'Expenditures 15-22'!K139</f>
        <v>0</v>
      </c>
      <c r="G57" s="701"/>
    </row>
    <row r="58" spans="1:7" x14ac:dyDescent="0.2">
      <c r="A58" s="705" t="s">
        <v>457</v>
      </c>
      <c r="B58" s="705" t="s">
        <v>1852</v>
      </c>
      <c r="C58" s="721" t="s">
        <v>975</v>
      </c>
      <c r="D58" s="720" t="s">
        <v>1086</v>
      </c>
      <c r="E58" s="704"/>
      <c r="F58" s="1783">
        <f>'Expenditures 15-22'!G151</f>
        <v>3430826</v>
      </c>
      <c r="G58" s="701"/>
    </row>
    <row r="59" spans="1:7" x14ac:dyDescent="0.2">
      <c r="A59" s="728" t="s">
        <v>457</v>
      </c>
      <c r="B59" s="692" t="s">
        <v>1853</v>
      </c>
      <c r="C59" s="729" t="s">
        <v>975</v>
      </c>
      <c r="D59" s="692" t="s">
        <v>288</v>
      </c>
      <c r="F59" s="1784">
        <f>'Expenditures 15-22'!I151</f>
        <v>0</v>
      </c>
      <c r="G59" s="701"/>
    </row>
    <row r="60" spans="1:7" x14ac:dyDescent="0.2">
      <c r="A60" s="728" t="s">
        <v>496</v>
      </c>
      <c r="B60" s="692" t="s">
        <v>1854</v>
      </c>
      <c r="C60" s="729">
        <v>4000</v>
      </c>
      <c r="D60" s="692" t="s">
        <v>309</v>
      </c>
      <c r="F60" s="1782">
        <f>'Expenditures 15-22'!K160</f>
        <v>0</v>
      </c>
      <c r="G60" s="701"/>
    </row>
    <row r="61" spans="1:7" x14ac:dyDescent="0.2">
      <c r="A61" s="730" t="s">
        <v>496</v>
      </c>
      <c r="B61" s="730" t="s">
        <v>1855</v>
      </c>
      <c r="C61" s="731" t="str">
        <f>'Expenditures 15-22'!B170</f>
        <v>5300</v>
      </c>
      <c r="D61" s="732" t="s">
        <v>308</v>
      </c>
      <c r="E61" s="715"/>
      <c r="F61" s="1781">
        <f>'Expenditures 15-22'!K170</f>
        <v>1870000</v>
      </c>
      <c r="G61" s="701"/>
    </row>
    <row r="62" spans="1:7" x14ac:dyDescent="0.2">
      <c r="A62" s="705" t="s">
        <v>458</v>
      </c>
      <c r="B62" s="705" t="s">
        <v>1856</v>
      </c>
      <c r="C62" s="721">
        <f>'Expenditures 15-22'!B185</f>
        <v>3000</v>
      </c>
      <c r="D62" s="712" t="s">
        <v>446</v>
      </c>
      <c r="E62" s="704"/>
      <c r="F62" s="1781">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81">
        <f>'Expenditures 15-22'!K196</f>
        <v>0</v>
      </c>
      <c r="G63" s="701"/>
    </row>
    <row r="64" spans="1:7" x14ac:dyDescent="0.2">
      <c r="A64" s="730" t="s">
        <v>458</v>
      </c>
      <c r="B64" s="730" t="s">
        <v>1858</v>
      </c>
      <c r="C64" s="731" t="str">
        <f>'Expenditures 15-22'!B206</f>
        <v>5300</v>
      </c>
      <c r="D64" s="727" t="s">
        <v>308</v>
      </c>
      <c r="E64" s="704"/>
      <c r="F64" s="1781">
        <f>'Expenditures 15-22'!K206</f>
        <v>0</v>
      </c>
      <c r="G64" s="701"/>
    </row>
    <row r="65" spans="1:9" x14ac:dyDescent="0.2">
      <c r="A65" s="705" t="s">
        <v>458</v>
      </c>
      <c r="B65" s="705" t="s">
        <v>1859</v>
      </c>
      <c r="C65" s="721" t="s">
        <v>975</v>
      </c>
      <c r="D65" s="720" t="s">
        <v>1086</v>
      </c>
      <c r="E65" s="704"/>
      <c r="F65" s="1781">
        <f>'Expenditures 15-22'!G210</f>
        <v>215685</v>
      </c>
      <c r="G65" s="701"/>
    </row>
    <row r="66" spans="1:9" x14ac:dyDescent="0.2">
      <c r="A66" s="705" t="s">
        <v>458</v>
      </c>
      <c r="B66" s="705" t="s">
        <v>1860</v>
      </c>
      <c r="C66" s="721" t="s">
        <v>975</v>
      </c>
      <c r="D66" s="720" t="s">
        <v>288</v>
      </c>
      <c r="E66" s="704"/>
      <c r="F66" s="1781">
        <f>'Expenditures 15-22'!I210</f>
        <v>0</v>
      </c>
      <c r="G66" s="701"/>
    </row>
    <row r="67" spans="1:9" x14ac:dyDescent="0.2">
      <c r="A67" s="705" t="s">
        <v>459</v>
      </c>
      <c r="B67" s="705" t="s">
        <v>1861</v>
      </c>
      <c r="C67" s="721" t="str">
        <f>'Expenditures 15-22'!B216</f>
        <v>1125</v>
      </c>
      <c r="D67" s="727" t="str">
        <f>'Expenditures 15-22'!A216</f>
        <v>Pre-K Programs</v>
      </c>
      <c r="E67" s="704"/>
      <c r="F67" s="1781">
        <f>'Expenditures 15-22'!K216</f>
        <v>27174</v>
      </c>
      <c r="G67" s="701"/>
    </row>
    <row r="68" spans="1:9" x14ac:dyDescent="0.2">
      <c r="A68" s="705" t="s">
        <v>459</v>
      </c>
      <c r="B68" s="705" t="s">
        <v>1462</v>
      </c>
      <c r="C68" s="721" t="str">
        <f>'Expenditures 15-22'!B218</f>
        <v>1225</v>
      </c>
      <c r="D68" s="727" t="str">
        <f>'Expenditures 15-22'!A218</f>
        <v>Special Education Programs - Pre-K</v>
      </c>
      <c r="E68" s="704"/>
      <c r="F68" s="1781">
        <f>'Expenditures 15-22'!K218</f>
        <v>11152</v>
      </c>
      <c r="G68" s="701"/>
    </row>
    <row r="69" spans="1:9" x14ac:dyDescent="0.2">
      <c r="A69" s="705" t="s">
        <v>459</v>
      </c>
      <c r="B69" s="705" t="s">
        <v>1862</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1863</v>
      </c>
      <c r="C70" s="721">
        <f>'Expenditures 15-22'!B221</f>
        <v>1300</v>
      </c>
      <c r="D70" s="722" t="str">
        <f>'Expenditures 15-22'!A221</f>
        <v>Adult/Continuing Education Programs</v>
      </c>
      <c r="E70" s="704"/>
      <c r="F70" s="1781">
        <f>'Expenditures 15-22'!K221</f>
        <v>0</v>
      </c>
      <c r="G70" s="701"/>
    </row>
    <row r="71" spans="1:9" x14ac:dyDescent="0.2">
      <c r="A71" s="705" t="s">
        <v>459</v>
      </c>
      <c r="B71" s="705" t="s">
        <v>1864</v>
      </c>
      <c r="C71" s="721">
        <f>'Expenditures 15-22'!B224</f>
        <v>1600</v>
      </c>
      <c r="D71" s="722" t="str">
        <f>'Expenditures 15-22'!A224</f>
        <v>Summer School Programs</v>
      </c>
      <c r="E71" s="704"/>
      <c r="F71" s="1781">
        <f>'Expenditures 15-22'!K224</f>
        <v>0</v>
      </c>
      <c r="G71" s="701"/>
    </row>
    <row r="72" spans="1:9" x14ac:dyDescent="0.2">
      <c r="A72" s="705" t="s">
        <v>459</v>
      </c>
      <c r="B72" s="705" t="s">
        <v>1865</v>
      </c>
      <c r="C72" s="721">
        <f>'Expenditures 15-22'!B280</f>
        <v>3000</v>
      </c>
      <c r="D72" s="712" t="s">
        <v>446</v>
      </c>
      <c r="E72" s="704"/>
      <c r="F72" s="1781">
        <f>'Expenditures 15-22'!K280</f>
        <v>1806</v>
      </c>
      <c r="G72" s="701"/>
    </row>
    <row r="73" spans="1:9" x14ac:dyDescent="0.2">
      <c r="A73" s="705" t="s">
        <v>459</v>
      </c>
      <c r="B73" s="705" t="s">
        <v>1866</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1867</v>
      </c>
      <c r="C74" s="721" t="s">
        <v>855</v>
      </c>
      <c r="D74" s="722" t="s">
        <v>1470</v>
      </c>
      <c r="E74" s="704"/>
      <c r="F74" s="1785">
        <f>'Expenditures 15-22'!K334</f>
        <v>0</v>
      </c>
      <c r="G74" s="701"/>
    </row>
    <row r="75" spans="1:9" x14ac:dyDescent="0.2">
      <c r="A75" s="705" t="s">
        <v>2006</v>
      </c>
      <c r="B75" s="705" t="s">
        <v>2007</v>
      </c>
      <c r="C75" s="721" t="s">
        <v>975</v>
      </c>
      <c r="D75" s="722" t="s">
        <v>1086</v>
      </c>
      <c r="E75" s="704"/>
      <c r="F75" s="1785">
        <f>'Expenditures 15-22'!G342</f>
        <v>0</v>
      </c>
      <c r="G75" s="701"/>
    </row>
    <row r="76" spans="1:9" ht="10.5" customHeight="1" x14ac:dyDescent="0.2">
      <c r="A76" s="701" t="s">
        <v>433</v>
      </c>
      <c r="B76" s="705" t="s">
        <v>2008</v>
      </c>
      <c r="C76" s="711" t="s">
        <v>975</v>
      </c>
      <c r="D76" s="701" t="s">
        <v>288</v>
      </c>
      <c r="E76" s="704"/>
      <c r="F76" s="1785">
        <f>'Expenditures 15-22'!I342</f>
        <v>0</v>
      </c>
      <c r="G76" s="703"/>
    </row>
    <row r="77" spans="1:9" ht="12" thickBot="1" x14ac:dyDescent="0.25">
      <c r="A77" s="1442"/>
      <c r="B77" s="1447"/>
      <c r="C77" s="1444"/>
      <c r="D77" s="1448" t="s">
        <v>2009</v>
      </c>
      <c r="E77" s="1446" t="s">
        <v>952</v>
      </c>
      <c r="F77" s="1786">
        <f>SUM(F18:F76)</f>
        <v>9542330</v>
      </c>
      <c r="G77" s="701"/>
    </row>
    <row r="78" spans="1:9" s="728" customFormat="1" ht="12" customHeight="1" thickTop="1" thickBot="1" x14ac:dyDescent="0.25">
      <c r="A78" s="1449"/>
      <c r="B78" s="1447"/>
      <c r="C78" s="1444"/>
      <c r="D78" s="1448" t="s">
        <v>2010</v>
      </c>
      <c r="E78" s="1446"/>
      <c r="F78" s="1787">
        <f>(F14-F77)</f>
        <v>41367353</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2505.9</v>
      </c>
      <c r="G79" s="733"/>
      <c r="H79" s="705"/>
      <c r="I79" s="705"/>
    </row>
    <row r="80" spans="1:9" s="728" customFormat="1" ht="12" customHeight="1" thickBot="1" x14ac:dyDescent="0.25">
      <c r="A80" s="1451"/>
      <c r="B80" s="1447"/>
      <c r="C80" s="1444"/>
      <c r="D80" s="1448" t="s">
        <v>2011</v>
      </c>
      <c r="E80" s="1446" t="s">
        <v>952</v>
      </c>
      <c r="F80" s="1789">
        <f>IF(F79&gt;0,F78/F79," Complete Line 79")</f>
        <v>16507.98236162656</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3070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23129</v>
      </c>
      <c r="G95" s="745"/>
    </row>
    <row r="96" spans="1:7" x14ac:dyDescent="0.2">
      <c r="A96" s="741" t="s">
        <v>139</v>
      </c>
      <c r="B96" s="741" t="s">
        <v>174</v>
      </c>
      <c r="C96" s="743">
        <v>1700</v>
      </c>
      <c r="D96" s="751" t="str">
        <f>'Revenues 9-14'!A82</f>
        <v>Total District/School Activity Income</v>
      </c>
      <c r="E96" s="739"/>
      <c r="F96" s="1792">
        <f>SUM('Revenues 9-14'!C82,'Revenues 9-14'!D82)</f>
        <v>127733</v>
      </c>
      <c r="G96" s="745"/>
    </row>
    <row r="97" spans="1:7" x14ac:dyDescent="0.2">
      <c r="A97" s="741" t="s">
        <v>456</v>
      </c>
      <c r="B97" s="741" t="s">
        <v>175</v>
      </c>
      <c r="C97" s="743">
        <f>'Revenues 9-14'!B84</f>
        <v>1811</v>
      </c>
      <c r="D97" s="744" t="str">
        <f>'Revenues 9-14'!A84</f>
        <v>Rentals - Regular Textbooks</v>
      </c>
      <c r="E97" s="739"/>
      <c r="F97" s="1792">
        <f>'Revenues 9-14'!C84</f>
        <v>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42312</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329105</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62807</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1908</v>
      </c>
      <c r="C106" s="746">
        <v>3100</v>
      </c>
      <c r="D106" s="752" t="str">
        <f>'Revenues 9-14'!A132</f>
        <v>Total Special Education</v>
      </c>
      <c r="E106" s="739"/>
      <c r="F106" s="1792">
        <f>SUM('Revenues 9-14'!C132:D132,'Revenues 9-14'!F132)</f>
        <v>271136</v>
      </c>
      <c r="G106" s="745"/>
    </row>
    <row r="107" spans="1:7" x14ac:dyDescent="0.2">
      <c r="A107" s="741" t="s">
        <v>668</v>
      </c>
      <c r="B107" s="741" t="s">
        <v>1909</v>
      </c>
      <c r="C107" s="753">
        <v>3200</v>
      </c>
      <c r="D107" s="744" t="str">
        <f>'Revenues 9-14'!A141</f>
        <v>Total Career and Technical Education</v>
      </c>
      <c r="E107" s="739"/>
      <c r="F107" s="1792">
        <f>SUM('Revenues 9-14'!C141,'Revenues 9-14'!D141,'Revenues 9-14'!G141)</f>
        <v>2503</v>
      </c>
      <c r="G107" s="745"/>
    </row>
    <row r="108" spans="1:7" x14ac:dyDescent="0.2">
      <c r="A108" s="754" t="s">
        <v>659</v>
      </c>
      <c r="B108" s="741" t="s">
        <v>1910</v>
      </c>
      <c r="C108" s="753">
        <v>3300</v>
      </c>
      <c r="D108" s="744" t="str">
        <f>'Revenues 9-14'!A145</f>
        <v>Total Bilingual Ed</v>
      </c>
      <c r="E108" s="739"/>
      <c r="F108" s="1792">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92">
        <f>'Revenues 9-14'!C146</f>
        <v>17948</v>
      </c>
      <c r="G109" s="745"/>
    </row>
    <row r="110" spans="1:7" x14ac:dyDescent="0.2">
      <c r="A110" s="741" t="s">
        <v>668</v>
      </c>
      <c r="B110" s="741" t="s">
        <v>1912</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2">
        <f>SUM('Revenues 9-14'!C148,'Revenues 9-14'!D148)</f>
        <v>0</v>
      </c>
      <c r="G111" s="745"/>
    </row>
    <row r="112" spans="1:7" x14ac:dyDescent="0.2">
      <c r="A112" s="741" t="s">
        <v>663</v>
      </c>
      <c r="B112" s="741" t="s">
        <v>1914</v>
      </c>
      <c r="C112" s="755">
        <v>3500</v>
      </c>
      <c r="D112" s="744" t="str">
        <f>'Revenues 9-14'!A155</f>
        <v>Total Transportation</v>
      </c>
      <c r="E112" s="739"/>
      <c r="F112" s="1792">
        <f>SUM('Revenues 9-14'!C155,'Revenues 9-14'!D155,'Revenues 9-14'!F155,'Revenues 9-14'!G155)</f>
        <v>1019363</v>
      </c>
      <c r="G112" s="745"/>
    </row>
    <row r="113" spans="1:7" x14ac:dyDescent="0.2">
      <c r="A113" s="741" t="s">
        <v>456</v>
      </c>
      <c r="B113" s="741" t="s">
        <v>1915</v>
      </c>
      <c r="C113" s="753">
        <f>'Revenues 9-14'!B156</f>
        <v>3610</v>
      </c>
      <c r="D113" s="744" t="str">
        <f>'Revenues 9-14'!A156</f>
        <v>Learning Improvement - Change Grants</v>
      </c>
      <c r="E113" s="739"/>
      <c r="F113" s="1792">
        <f>'Revenues 9-14'!C156</f>
        <v>0</v>
      </c>
      <c r="G113" s="745"/>
    </row>
    <row r="114" spans="1:7" x14ac:dyDescent="0.2">
      <c r="A114" s="741" t="s">
        <v>663</v>
      </c>
      <c r="B114" s="741" t="s">
        <v>1916</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91">
        <f>SUM('Revenues 9-14'!C163:G163)</f>
        <v>0</v>
      </c>
      <c r="G119" s="745"/>
    </row>
    <row r="120" spans="1:7" x14ac:dyDescent="0.2">
      <c r="A120" s="756" t="s">
        <v>501</v>
      </c>
      <c r="B120" s="756" t="s">
        <v>1922</v>
      </c>
      <c r="C120" s="757">
        <f>'Revenues 9-14'!B164</f>
        <v>3815</v>
      </c>
      <c r="D120" s="758" t="str">
        <f>'Revenues 9-14'!A164</f>
        <v>State Charter Schools</v>
      </c>
      <c r="E120" s="739"/>
      <c r="F120" s="1791">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92">
        <f>'Revenues 9-14'!D167</f>
        <v>0</v>
      </c>
      <c r="G121" s="763"/>
    </row>
    <row r="122" spans="1:7" x14ac:dyDescent="0.2">
      <c r="A122" s="760" t="s">
        <v>497</v>
      </c>
      <c r="B122" s="760" t="s">
        <v>1924</v>
      </c>
      <c r="C122" s="761">
        <f>'Revenues 9-14'!B168</f>
        <v>3999</v>
      </c>
      <c r="D122" s="762" t="s">
        <v>540</v>
      </c>
      <c r="E122" s="764"/>
      <c r="F122" s="1792">
        <f>SUM('Revenues 9-14'!C168:G168,'Revenues 9-14'!J168)</f>
        <v>0</v>
      </c>
      <c r="G122" s="763"/>
    </row>
    <row r="123" spans="1:7" x14ac:dyDescent="0.2">
      <c r="A123" s="760" t="s">
        <v>456</v>
      </c>
      <c r="B123" s="760" t="s">
        <v>1925</v>
      </c>
      <c r="C123" s="765">
        <f>'Revenues 9-14'!B177</f>
        <v>4045</v>
      </c>
      <c r="D123" s="762" t="str">
        <f>'Revenues 9-14'!A177 &amp; " (Subtract)"</f>
        <v>Head Start (Subtract)</v>
      </c>
      <c r="E123" s="739"/>
      <c r="F123" s="1792">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1927</v>
      </c>
      <c r="C125" s="765">
        <v>4100</v>
      </c>
      <c r="D125" s="766" t="str">
        <f>'Revenues 9-14'!A188</f>
        <v>Total Title V</v>
      </c>
      <c r="E125" s="739"/>
      <c r="F125" s="1792">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92">
        <f>SUM('Revenues 9-14'!C198,'Revenues 9-14'!G198)</f>
        <v>1120378</v>
      </c>
      <c r="G126" s="763"/>
    </row>
    <row r="127" spans="1:7" x14ac:dyDescent="0.2">
      <c r="A127" s="760" t="s">
        <v>663</v>
      </c>
      <c r="B127" s="760" t="s">
        <v>1929</v>
      </c>
      <c r="C127" s="765">
        <v>4300</v>
      </c>
      <c r="D127" s="766" t="str">
        <f>'Revenues 9-14'!A204</f>
        <v>Total Title I</v>
      </c>
      <c r="E127" s="739"/>
      <c r="F127" s="1792">
        <f>SUM('Revenues 9-14'!C204,'Revenues 9-14'!D204,'Revenues 9-14'!F204,'Revenues 9-14'!G204)</f>
        <v>640464</v>
      </c>
      <c r="G127" s="763"/>
    </row>
    <row r="128" spans="1:7" x14ac:dyDescent="0.2">
      <c r="A128" s="760" t="s">
        <v>663</v>
      </c>
      <c r="B128" s="760" t="s">
        <v>1930</v>
      </c>
      <c r="C128" s="765">
        <v>4400</v>
      </c>
      <c r="D128" s="766" t="str">
        <f>'Revenues 9-14'!A209</f>
        <v>Total Title IV</v>
      </c>
      <c r="E128" s="739"/>
      <c r="F128" s="1792">
        <f>SUM('Revenues 9-14'!C209,'Revenues 9-14'!D209,'Revenues 9-14'!F209,'Revenues 9-14'!G209)</f>
        <v>21875</v>
      </c>
      <c r="G128" s="763"/>
    </row>
    <row r="129" spans="1:7" x14ac:dyDescent="0.2">
      <c r="A129" s="760" t="s">
        <v>663</v>
      </c>
      <c r="B129" s="760" t="s">
        <v>1931</v>
      </c>
      <c r="C129" s="765">
        <f>'Revenues 9-14'!B213</f>
        <v>4620</v>
      </c>
      <c r="D129" s="766" t="str">
        <f>'Revenues 9-14'!A213</f>
        <v>Fed - Spec Education - IDEA - Flow Through</v>
      </c>
      <c r="E129" s="739"/>
      <c r="F129" s="1792">
        <f>SUM('Revenues 9-14'!C213:D213,'Revenues 9-14'!F213:G213)</f>
        <v>407091</v>
      </c>
      <c r="G129" s="763"/>
    </row>
    <row r="130" spans="1:7" x14ac:dyDescent="0.2">
      <c r="A130" s="760" t="s">
        <v>663</v>
      </c>
      <c r="B130" s="760" t="s">
        <v>1932</v>
      </c>
      <c r="C130" s="765">
        <f>'Revenues 9-14'!B214</f>
        <v>4625</v>
      </c>
      <c r="D130" s="766" t="str">
        <f>'Revenues 9-14'!A214</f>
        <v>Fed - Spec Education - IDEA - Room &amp; Board</v>
      </c>
      <c r="E130" s="739"/>
      <c r="F130" s="1792">
        <f>SUM('Revenues 9-14'!C214,'Revenues 9-14'!D214,'Revenues 9-14'!F214,'Revenues 9-14'!G214)</f>
        <v>24982</v>
      </c>
      <c r="G130" s="763"/>
    </row>
    <row r="131" spans="1:7" x14ac:dyDescent="0.2">
      <c r="A131" s="760" t="s">
        <v>663</v>
      </c>
      <c r="B131" s="760" t="s">
        <v>1933</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1934</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2">
        <v>0</v>
      </c>
      <c r="G139" s="738"/>
    </row>
    <row r="140" spans="1:7" s="703" customFormat="1" hidden="1" x14ac:dyDescent="0.2">
      <c r="A140" s="767" t="s">
        <v>204</v>
      </c>
      <c r="B140" s="767" t="s">
        <v>1941</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1949</v>
      </c>
      <c r="C158" s="773" t="s">
        <v>836</v>
      </c>
      <c r="D158" s="774" t="s">
        <v>772</v>
      </c>
      <c r="E158" s="775"/>
      <c r="F158" s="1792">
        <f>SUM(F134:F157)</f>
        <v>0</v>
      </c>
      <c r="G158" s="738"/>
    </row>
    <row r="159" spans="1:7" s="703" customFormat="1" x14ac:dyDescent="0.2">
      <c r="A159" s="771" t="s">
        <v>456</v>
      </c>
      <c r="B159" s="772" t="s">
        <v>1950</v>
      </c>
      <c r="C159" s="773" t="s">
        <v>1410</v>
      </c>
      <c r="D159" s="774" t="s">
        <v>1411</v>
      </c>
      <c r="E159" s="775"/>
      <c r="F159" s="1792">
        <f>SUM('Revenues 9-14'!C253)</f>
        <v>0</v>
      </c>
      <c r="G159" s="738"/>
    </row>
    <row r="160" spans="1:7" s="703" customFormat="1" x14ac:dyDescent="0.2">
      <c r="A160" s="771" t="s">
        <v>497</v>
      </c>
      <c r="B160" s="772" t="s">
        <v>1951</v>
      </c>
      <c r="C160" s="773" t="s">
        <v>1449</v>
      </c>
      <c r="D160" s="774" t="s">
        <v>1450</v>
      </c>
      <c r="E160" s="775"/>
      <c r="F160" s="1792">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2">
        <f>SUM('Revenues 9-14'!C256,'Revenues 9-14'!F256,'Revenues 9-14'!G256)</f>
        <v>87766</v>
      </c>
      <c r="G162" s="776"/>
    </row>
    <row r="163" spans="1:7" x14ac:dyDescent="0.2">
      <c r="A163" s="760" t="s">
        <v>663</v>
      </c>
      <c r="B163" s="760" t="s">
        <v>1954</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91">
        <f>SUM('Revenues 9-14'!C259,'Revenues 9-14'!D259,'Revenues 9-14'!F259,'Revenues 9-14'!G259)</f>
        <v>97729</v>
      </c>
      <c r="G165" s="763"/>
    </row>
    <row r="166" spans="1:7" x14ac:dyDescent="0.2">
      <c r="A166" s="760" t="s">
        <v>663</v>
      </c>
      <c r="B166" s="760" t="s">
        <v>1957</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92">
        <f>SUM('Revenues 9-14'!C263:D263,'Revenues 9-14'!F263:G263)</f>
        <v>64879</v>
      </c>
      <c r="G169" s="780">
        <v>6320</v>
      </c>
    </row>
    <row r="170" spans="1:7" x14ac:dyDescent="0.2">
      <c r="A170" s="760" t="s">
        <v>663</v>
      </c>
      <c r="B170" s="760" t="s">
        <v>1959</v>
      </c>
      <c r="C170" s="765">
        <f>'Revenues 9-14'!B264</f>
        <v>4992</v>
      </c>
      <c r="D170" s="766" t="str">
        <f>'Revenues 9-14'!A264</f>
        <v>Medicaid Matching Funds - Fee-for-Service Program</v>
      </c>
      <c r="E170" s="739"/>
      <c r="F170" s="1792">
        <f>SUM('Revenues 9-14'!C264:D264,'Revenues 9-14'!F264:G264)</f>
        <v>204022</v>
      </c>
      <c r="G170" s="780"/>
    </row>
    <row r="171" spans="1:7" x14ac:dyDescent="0.2">
      <c r="A171" s="781" t="s">
        <v>663</v>
      </c>
      <c r="B171" s="777" t="s">
        <v>1960</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1883</v>
      </c>
      <c r="C172" s="1530">
        <v>3100</v>
      </c>
      <c r="D172" s="1531" t="s">
        <v>1885</v>
      </c>
      <c r="E172" s="739"/>
      <c r="F172" s="1793">
        <v>1039847</v>
      </c>
      <c r="G172" s="760"/>
    </row>
    <row r="173" spans="1:7" x14ac:dyDescent="0.2">
      <c r="A173" s="1528" t="s">
        <v>659</v>
      </c>
      <c r="B173" s="1529" t="s">
        <v>1883</v>
      </c>
      <c r="C173" s="1530">
        <v>3300</v>
      </c>
      <c r="D173" s="1531" t="s">
        <v>1886</v>
      </c>
      <c r="E173" s="739"/>
      <c r="F173" s="1793">
        <v>334415</v>
      </c>
      <c r="G173" s="760"/>
    </row>
    <row r="174" spans="1:7" ht="6" customHeight="1" x14ac:dyDescent="0.2">
      <c r="A174" s="760"/>
      <c r="B174" s="760"/>
      <c r="C174" s="782"/>
      <c r="D174" s="760"/>
      <c r="E174" s="739"/>
      <c r="F174" s="1794"/>
      <c r="G174" s="780"/>
    </row>
    <row r="175" spans="1:7" x14ac:dyDescent="0.2">
      <c r="A175" s="1442"/>
      <c r="B175" s="1452"/>
      <c r="C175" s="1453"/>
      <c r="D175" s="1454" t="s">
        <v>2014</v>
      </c>
      <c r="E175" s="1455" t="s">
        <v>952</v>
      </c>
      <c r="F175" s="1795">
        <f>SUM(F85:F133,F158:F173)</f>
        <v>5942554</v>
      </c>
    </row>
    <row r="176" spans="1:7" ht="12" customHeight="1" x14ac:dyDescent="0.2">
      <c r="A176" s="1442"/>
      <c r="B176" s="1452"/>
      <c r="C176" s="1453"/>
      <c r="D176" s="1454" t="s">
        <v>2012</v>
      </c>
      <c r="E176" s="1455"/>
      <c r="F176" s="1792">
        <f>'PCTC-OEPP 27-28'!F78-F175</f>
        <v>35424799</v>
      </c>
    </row>
    <row r="177" spans="1:9" ht="12" customHeight="1" x14ac:dyDescent="0.2">
      <c r="A177" s="1442"/>
      <c r="B177" s="1452"/>
      <c r="C177" s="1453"/>
      <c r="D177" s="1454" t="s">
        <v>1792</v>
      </c>
      <c r="E177" s="1455"/>
      <c r="F177" s="1792">
        <f>'Cap Outlay Deprec 26'!I18</f>
        <v>3454338.1</v>
      </c>
    </row>
    <row r="178" spans="1:9" ht="12" customHeight="1" x14ac:dyDescent="0.2">
      <c r="A178" s="1442"/>
      <c r="B178" s="1452"/>
      <c r="C178" s="1453"/>
      <c r="D178" s="1454" t="s">
        <v>2013</v>
      </c>
      <c r="E178" s="1455"/>
      <c r="F178" s="1792">
        <f>F176+F177</f>
        <v>38879137.100000001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2505.9</v>
      </c>
      <c r="G179" s="763"/>
      <c r="I179" s="701"/>
    </row>
    <row r="180" spans="1:9" ht="12" customHeight="1" thickBot="1" x14ac:dyDescent="0.25">
      <c r="A180" s="1442"/>
      <c r="B180" s="1456"/>
      <c r="C180" s="1453"/>
      <c r="D180" s="1454" t="s">
        <v>2015</v>
      </c>
      <c r="E180" s="1455" t="s">
        <v>1528</v>
      </c>
      <c r="F180" s="1797">
        <f>F178/F179</f>
        <v>15515.039347140748</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1888</v>
      </c>
      <c r="B186" s="153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1" zoomScaleNormal="100" workbookViewId="0">
      <selection activeCell="A23" sqref="A23"/>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1805</v>
      </c>
      <c r="B1" s="1859"/>
      <c r="C1" s="1860"/>
      <c r="D1" s="1860"/>
      <c r="E1" s="1860"/>
      <c r="F1" s="1860"/>
    </row>
    <row r="2" spans="1:6" x14ac:dyDescent="0.25">
      <c r="A2" s="1862"/>
      <c r="B2" s="1863"/>
      <c r="C2" s="1912" t="s">
        <v>2001</v>
      </c>
      <c r="D2" s="1862"/>
      <c r="E2" s="1862"/>
      <c r="F2" s="1862"/>
    </row>
    <row r="3" spans="1:6" ht="5.25" customHeight="1" x14ac:dyDescent="0.25">
      <c r="A3" s="1864"/>
      <c r="B3" s="1865"/>
      <c r="C3" s="1864"/>
      <c r="D3" s="1864"/>
      <c r="E3" s="1864"/>
      <c r="F3" s="1864"/>
    </row>
    <row r="4" spans="1:6" ht="18.75" customHeight="1" x14ac:dyDescent="0.25">
      <c r="A4" s="2376" t="s">
        <v>1793</v>
      </c>
      <c r="B4" s="2377"/>
      <c r="C4" s="2377"/>
      <c r="D4" s="2377"/>
      <c r="E4" s="2377"/>
      <c r="F4" s="2378"/>
    </row>
    <row r="5" spans="1:6" x14ac:dyDescent="0.25">
      <c r="A5" s="2379"/>
      <c r="B5" s="2380"/>
      <c r="C5" s="2380"/>
      <c r="D5" s="2380"/>
      <c r="E5" s="2380"/>
      <c r="F5" s="2381"/>
    </row>
    <row r="6" spans="1:6" ht="18.75" x14ac:dyDescent="0.25">
      <c r="A6" s="1866" t="s">
        <v>1794</v>
      </c>
      <c r="B6" s="1867"/>
      <c r="C6" s="1868"/>
      <c r="D6" s="1868"/>
      <c r="E6" s="1868"/>
      <c r="F6" s="1869"/>
    </row>
    <row r="7" spans="1:6" ht="47.25" customHeight="1" x14ac:dyDescent="0.25">
      <c r="A7" s="2382" t="s">
        <v>1983</v>
      </c>
      <c r="B7" s="2383"/>
      <c r="C7" s="2383"/>
      <c r="D7" s="2383"/>
      <c r="E7" s="2383"/>
      <c r="F7" s="2384"/>
    </row>
    <row r="8" spans="1:6" ht="20.25" customHeight="1" x14ac:dyDescent="0.25">
      <c r="A8" s="1901" t="s">
        <v>1985</v>
      </c>
      <c r="B8" s="1902"/>
      <c r="C8" s="1902"/>
      <c r="D8" s="1902"/>
      <c r="E8" s="1870"/>
      <c r="F8" s="1871"/>
    </row>
    <row r="9" spans="1:6" ht="18" customHeight="1" x14ac:dyDescent="0.25">
      <c r="A9" s="1872" t="s">
        <v>1982</v>
      </c>
      <c r="B9" s="1874"/>
      <c r="C9" s="1874"/>
      <c r="D9" s="1874"/>
      <c r="E9" s="1870"/>
      <c r="F9" s="1871"/>
    </row>
    <row r="10" spans="1:6" ht="15.75" customHeight="1" x14ac:dyDescent="0.25">
      <c r="A10" s="2385" t="s">
        <v>1979</v>
      </c>
      <c r="B10" s="2386"/>
      <c r="C10" s="2386"/>
      <c r="D10" s="2386"/>
      <c r="E10" s="2386"/>
      <c r="F10" s="2387"/>
    </row>
    <row r="11" spans="1:6" ht="33" customHeight="1" x14ac:dyDescent="0.25">
      <c r="A11" s="2382" t="s">
        <v>1984</v>
      </c>
      <c r="B11" s="2383"/>
      <c r="C11" s="2383"/>
      <c r="D11" s="2383"/>
      <c r="E11" s="2383"/>
      <c r="F11" s="2384"/>
    </row>
    <row r="12" spans="1:6" ht="15" customHeight="1" x14ac:dyDescent="0.25">
      <c r="A12" s="1872" t="s">
        <v>1980</v>
      </c>
      <c r="B12" s="1873"/>
      <c r="C12" s="1874"/>
      <c r="D12" s="1874"/>
      <c r="E12" s="1874"/>
      <c r="F12" s="1875"/>
    </row>
    <row r="13" spans="1:6" ht="17.25" customHeight="1" x14ac:dyDescent="0.25">
      <c r="A13" s="2382" t="s">
        <v>1981</v>
      </c>
      <c r="B13" s="2383"/>
      <c r="C13" s="2383"/>
      <c r="D13" s="2383"/>
      <c r="E13" s="2383"/>
      <c r="F13" s="2384"/>
    </row>
    <row r="14" spans="1:6" ht="15" customHeight="1" x14ac:dyDescent="0.25">
      <c r="A14" s="1872" t="s">
        <v>1798</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1799</v>
      </c>
      <c r="B16" s="1877" t="s">
        <v>1800</v>
      </c>
      <c r="C16" s="1876" t="s">
        <v>1801</v>
      </c>
      <c r="D16" s="1878" t="s">
        <v>1802</v>
      </c>
      <c r="E16" s="1878" t="s">
        <v>1803</v>
      </c>
      <c r="F16" s="1878" t="s">
        <v>1804</v>
      </c>
    </row>
    <row r="17" spans="1:7" x14ac:dyDescent="0.25">
      <c r="A17" s="1879" t="s">
        <v>1806</v>
      </c>
      <c r="B17" s="1906" t="s">
        <v>1797</v>
      </c>
      <c r="C17" s="1880" t="s">
        <v>1795</v>
      </c>
      <c r="D17" s="1881">
        <v>500000</v>
      </c>
      <c r="E17" s="1881" t="str">
        <f>IF(D17&lt;25000,D17,"25,000")</f>
        <v>25,000</v>
      </c>
      <c r="F17" s="1882">
        <f>IF(D17&gt;=25000,(D17-E17),"0")</f>
        <v>475000</v>
      </c>
    </row>
    <row r="18" spans="1:7" x14ac:dyDescent="0.25">
      <c r="A18" s="2034" t="s">
        <v>2138</v>
      </c>
      <c r="B18" s="1907">
        <v>102560300</v>
      </c>
      <c r="C18" s="2035" t="s">
        <v>2139</v>
      </c>
      <c r="D18" s="1885">
        <v>1197883</v>
      </c>
      <c r="E18" s="1905" t="str">
        <f t="shared" ref="E18:E81" si="0">IF(D18&lt;25000,D18,"25,000")</f>
        <v>25,000</v>
      </c>
      <c r="F18" s="1905">
        <f t="shared" ref="F18:F81" si="1">IF(D18&gt;=25000,(D18-E18),"0")</f>
        <v>1172883</v>
      </c>
      <c r="G18" s="1886"/>
    </row>
    <row r="19" spans="1:7" x14ac:dyDescent="0.25">
      <c r="A19" s="2034" t="s">
        <v>2140</v>
      </c>
      <c r="B19" s="1907">
        <v>402550300</v>
      </c>
      <c r="C19" s="2035" t="s">
        <v>2141</v>
      </c>
      <c r="D19" s="1885">
        <v>805184</v>
      </c>
      <c r="E19" s="1905" t="str">
        <f t="shared" si="0"/>
        <v>25,000</v>
      </c>
      <c r="F19" s="1905">
        <f t="shared" si="1"/>
        <v>780184</v>
      </c>
    </row>
    <row r="20" spans="1:7" x14ac:dyDescent="0.25">
      <c r="A20" s="2034" t="s">
        <v>2142</v>
      </c>
      <c r="B20" s="1907">
        <v>102100300</v>
      </c>
      <c r="C20" s="2035" t="s">
        <v>2143</v>
      </c>
      <c r="D20" s="1885">
        <v>32038</v>
      </c>
      <c r="E20" s="1905" t="str">
        <f t="shared" si="0"/>
        <v>25,000</v>
      </c>
      <c r="F20" s="1905">
        <f t="shared" si="1"/>
        <v>7038</v>
      </c>
    </row>
    <row r="21" spans="1:7" x14ac:dyDescent="0.25">
      <c r="A21" s="2034" t="s">
        <v>2144</v>
      </c>
      <c r="B21" s="1907">
        <v>102100300</v>
      </c>
      <c r="C21" s="2035" t="s">
        <v>2145</v>
      </c>
      <c r="D21" s="1885">
        <v>107688</v>
      </c>
      <c r="E21" s="1905" t="str">
        <f t="shared" si="0"/>
        <v>25,000</v>
      </c>
      <c r="F21" s="1905">
        <f t="shared" si="1"/>
        <v>82688</v>
      </c>
    </row>
    <row r="22" spans="1:7" x14ac:dyDescent="0.25">
      <c r="A22" s="2034" t="s">
        <v>2146</v>
      </c>
      <c r="B22" s="1907">
        <v>101000300</v>
      </c>
      <c r="C22" s="2035" t="s">
        <v>2147</v>
      </c>
      <c r="D22" s="1885">
        <v>362086</v>
      </c>
      <c r="E22" s="1905" t="str">
        <f t="shared" si="0"/>
        <v>25,000</v>
      </c>
      <c r="F22" s="1905">
        <f t="shared" si="1"/>
        <v>337086</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hidden="1" x14ac:dyDescent="0.25">
      <c r="A37" s="1887"/>
      <c r="B37" s="1907"/>
      <c r="C37" s="1888"/>
      <c r="D37" s="1885"/>
      <c r="E37" s="1905">
        <f t="shared" si="0"/>
        <v>0</v>
      </c>
      <c r="F37" s="1905" t="str">
        <f t="shared" si="1"/>
        <v>0</v>
      </c>
    </row>
    <row r="38" spans="1:6" hidden="1" x14ac:dyDescent="0.25">
      <c r="A38" s="1887"/>
      <c r="B38" s="1907"/>
      <c r="C38" s="1888"/>
      <c r="D38" s="1885"/>
      <c r="E38" s="1905">
        <f t="shared" si="0"/>
        <v>0</v>
      </c>
      <c r="F38" s="1905" t="str">
        <f t="shared" si="1"/>
        <v>0</v>
      </c>
    </row>
    <row r="39" spans="1:6" hidden="1" x14ac:dyDescent="0.25">
      <c r="A39" s="1887"/>
      <c r="B39" s="1908"/>
      <c r="C39" s="1888"/>
      <c r="D39" s="1885"/>
      <c r="E39" s="1905">
        <f t="shared" si="0"/>
        <v>0</v>
      </c>
      <c r="F39" s="1905" t="str">
        <f t="shared" si="1"/>
        <v>0</v>
      </c>
    </row>
    <row r="40" spans="1:6" hidden="1" x14ac:dyDescent="0.25">
      <c r="A40" s="1887"/>
      <c r="B40" s="1908"/>
      <c r="C40" s="1888"/>
      <c r="D40" s="1885"/>
      <c r="E40" s="1905">
        <f t="shared" si="0"/>
        <v>0</v>
      </c>
      <c r="F40" s="1905" t="str">
        <f t="shared" si="1"/>
        <v>0</v>
      </c>
    </row>
    <row r="41" spans="1:6" hidden="1" x14ac:dyDescent="0.25">
      <c r="A41" s="1887"/>
      <c r="B41" s="1908"/>
      <c r="C41" s="1888"/>
      <c r="D41" s="1885"/>
      <c r="E41" s="1905">
        <f t="shared" si="0"/>
        <v>0</v>
      </c>
      <c r="F41" s="1905" t="str">
        <f t="shared" si="1"/>
        <v>0</v>
      </c>
    </row>
    <row r="42" spans="1:6" hidden="1" x14ac:dyDescent="0.25">
      <c r="A42" s="1887"/>
      <c r="B42" s="1908"/>
      <c r="C42" s="1888"/>
      <c r="D42" s="1885"/>
      <c r="E42" s="1905">
        <f t="shared" si="0"/>
        <v>0</v>
      </c>
      <c r="F42" s="1905" t="str">
        <f t="shared" si="1"/>
        <v>0</v>
      </c>
    </row>
    <row r="43" spans="1:6" hidden="1" x14ac:dyDescent="0.25">
      <c r="A43" s="1887"/>
      <c r="B43" s="1908"/>
      <c r="C43" s="1888"/>
      <c r="D43" s="1885"/>
      <c r="E43" s="1905">
        <f t="shared" si="0"/>
        <v>0</v>
      </c>
      <c r="F43" s="1905" t="str">
        <f t="shared" si="1"/>
        <v>0</v>
      </c>
    </row>
    <row r="44" spans="1:6" hidden="1" x14ac:dyDescent="0.25">
      <c r="A44" s="1887"/>
      <c r="B44" s="1908"/>
      <c r="C44" s="1888"/>
      <c r="D44" s="1885"/>
      <c r="E44" s="1905">
        <f t="shared" si="0"/>
        <v>0</v>
      </c>
      <c r="F44" s="1905" t="str">
        <f t="shared" si="1"/>
        <v>0</v>
      </c>
    </row>
    <row r="45" spans="1:6" hidden="1" x14ac:dyDescent="0.25">
      <c r="A45" s="1887"/>
      <c r="B45" s="1908"/>
      <c r="C45" s="1888"/>
      <c r="D45" s="1885"/>
      <c r="E45" s="1905">
        <f t="shared" si="0"/>
        <v>0</v>
      </c>
      <c r="F45" s="1905" t="str">
        <f t="shared" si="1"/>
        <v>0</v>
      </c>
    </row>
    <row r="46" spans="1:6" hidden="1" x14ac:dyDescent="0.25">
      <c r="A46" s="1887"/>
      <c r="B46" s="1908"/>
      <c r="C46" s="1888"/>
      <c r="D46" s="1885"/>
      <c r="E46" s="1905">
        <f t="shared" si="0"/>
        <v>0</v>
      </c>
      <c r="F46" s="1905" t="str">
        <f t="shared" si="1"/>
        <v>0</v>
      </c>
    </row>
    <row r="47" spans="1:6" hidden="1" x14ac:dyDescent="0.25">
      <c r="A47" s="1887"/>
      <c r="B47" s="1908"/>
      <c r="C47" s="1888"/>
      <c r="D47" s="1885"/>
      <c r="E47" s="1905">
        <f t="shared" si="0"/>
        <v>0</v>
      </c>
      <c r="F47" s="1905" t="str">
        <f t="shared" si="1"/>
        <v>0</v>
      </c>
    </row>
    <row r="48" spans="1:6" hidden="1" x14ac:dyDescent="0.25">
      <c r="A48" s="1887"/>
      <c r="B48" s="1908"/>
      <c r="C48" s="1888"/>
      <c r="D48" s="1885"/>
      <c r="E48" s="1905">
        <f t="shared" si="0"/>
        <v>0</v>
      </c>
      <c r="F48" s="1905" t="str">
        <f t="shared" si="1"/>
        <v>0</v>
      </c>
    </row>
    <row r="49" spans="1:6" hidden="1" x14ac:dyDescent="0.25">
      <c r="A49" s="1887"/>
      <c r="B49" s="1908"/>
      <c r="C49" s="1888"/>
      <c r="D49" s="1885"/>
      <c r="E49" s="1905">
        <f t="shared" si="0"/>
        <v>0</v>
      </c>
      <c r="F49" s="1905" t="str">
        <f t="shared" si="1"/>
        <v>0</v>
      </c>
    </row>
    <row r="50" spans="1:6" hidden="1" x14ac:dyDescent="0.25">
      <c r="A50" s="1887"/>
      <c r="B50" s="1908"/>
      <c r="C50" s="1888"/>
      <c r="D50" s="1885"/>
      <c r="E50" s="1905">
        <f t="shared" si="0"/>
        <v>0</v>
      </c>
      <c r="F50" s="1905" t="str">
        <f t="shared" si="1"/>
        <v>0</v>
      </c>
    </row>
    <row r="51" spans="1:6" hidden="1" x14ac:dyDescent="0.25">
      <c r="A51" s="1887"/>
      <c r="B51" s="1908"/>
      <c r="C51" s="1888"/>
      <c r="D51" s="1885"/>
      <c r="E51" s="1905">
        <f t="shared" si="0"/>
        <v>0</v>
      </c>
      <c r="F51" s="1905" t="str">
        <f t="shared" si="1"/>
        <v>0</v>
      </c>
    </row>
    <row r="52" spans="1:6" hidden="1" x14ac:dyDescent="0.25">
      <c r="A52" s="1887"/>
      <c r="B52" s="1908"/>
      <c r="C52" s="1888"/>
      <c r="D52" s="1885"/>
      <c r="E52" s="1905">
        <f t="shared" si="0"/>
        <v>0</v>
      </c>
      <c r="F52" s="1905" t="str">
        <f t="shared" si="1"/>
        <v>0</v>
      </c>
    </row>
    <row r="53" spans="1:6" hidden="1" x14ac:dyDescent="0.25">
      <c r="A53" s="1887"/>
      <c r="B53" s="1908"/>
      <c r="C53" s="1888"/>
      <c r="D53" s="1885"/>
      <c r="E53" s="1905">
        <f t="shared" si="0"/>
        <v>0</v>
      </c>
      <c r="F53" s="1905" t="str">
        <f t="shared" si="1"/>
        <v>0</v>
      </c>
    </row>
    <row r="54" spans="1:6" hidden="1" x14ac:dyDescent="0.25">
      <c r="A54" s="1887"/>
      <c r="B54" s="1908"/>
      <c r="C54" s="1888"/>
      <c r="D54" s="1885"/>
      <c r="E54" s="1905">
        <f t="shared" si="0"/>
        <v>0</v>
      </c>
      <c r="F54" s="1905" t="str">
        <f t="shared" si="1"/>
        <v>0</v>
      </c>
    </row>
    <row r="55" spans="1:6" hidden="1" x14ac:dyDescent="0.25">
      <c r="A55" s="1887"/>
      <c r="B55" s="1908"/>
      <c r="C55" s="1888"/>
      <c r="D55" s="1885"/>
      <c r="E55" s="1905">
        <f t="shared" si="0"/>
        <v>0</v>
      </c>
      <c r="F55" s="1905" t="str">
        <f t="shared" si="1"/>
        <v>0</v>
      </c>
    </row>
    <row r="56" spans="1:6" hidden="1" x14ac:dyDescent="0.25">
      <c r="A56" s="1887"/>
      <c r="B56" s="1908"/>
      <c r="C56" s="1888"/>
      <c r="D56" s="1885"/>
      <c r="E56" s="1905">
        <f t="shared" si="0"/>
        <v>0</v>
      </c>
      <c r="F56" s="1905" t="str">
        <f t="shared" si="1"/>
        <v>0</v>
      </c>
    </row>
    <row r="57" spans="1:6" hidden="1" x14ac:dyDescent="0.25">
      <c r="A57" s="1887"/>
      <c r="B57" s="1908"/>
      <c r="C57" s="1888"/>
      <c r="D57" s="1885"/>
      <c r="E57" s="1905">
        <f t="shared" si="0"/>
        <v>0</v>
      </c>
      <c r="F57" s="1905" t="str">
        <f t="shared" si="1"/>
        <v>0</v>
      </c>
    </row>
    <row r="58" spans="1:6" hidden="1" x14ac:dyDescent="0.25">
      <c r="A58" s="1887"/>
      <c r="B58" s="1908"/>
      <c r="C58" s="1888"/>
      <c r="D58" s="1885"/>
      <c r="E58" s="1905">
        <f t="shared" si="0"/>
        <v>0</v>
      </c>
      <c r="F58" s="1905" t="str">
        <f t="shared" si="1"/>
        <v>0</v>
      </c>
    </row>
    <row r="59" spans="1:6" hidden="1" x14ac:dyDescent="0.25">
      <c r="A59" s="1887"/>
      <c r="B59" s="1908"/>
      <c r="C59" s="1888"/>
      <c r="D59" s="1885"/>
      <c r="E59" s="1905">
        <f t="shared" si="0"/>
        <v>0</v>
      </c>
      <c r="F59" s="1905" t="str">
        <f t="shared" si="1"/>
        <v>0</v>
      </c>
    </row>
    <row r="60" spans="1:6" hidden="1" x14ac:dyDescent="0.25">
      <c r="A60" s="1887"/>
      <c r="B60" s="1908"/>
      <c r="C60" s="1888"/>
      <c r="D60" s="1885"/>
      <c r="E60" s="1905">
        <f t="shared" si="0"/>
        <v>0</v>
      </c>
      <c r="F60" s="1905" t="str">
        <f t="shared" si="1"/>
        <v>0</v>
      </c>
    </row>
    <row r="61" spans="1:6" hidden="1" x14ac:dyDescent="0.25">
      <c r="A61" s="1887"/>
      <c r="B61" s="1908"/>
      <c r="C61" s="1888"/>
      <c r="D61" s="1885"/>
      <c r="E61" s="1905">
        <f t="shared" si="0"/>
        <v>0</v>
      </c>
      <c r="F61" s="1905" t="str">
        <f t="shared" si="1"/>
        <v>0</v>
      </c>
    </row>
    <row r="62" spans="1:6" hidden="1" x14ac:dyDescent="0.25">
      <c r="A62" s="1887"/>
      <c r="B62" s="1908"/>
      <c r="C62" s="1888"/>
      <c r="D62" s="1885"/>
      <c r="E62" s="1905">
        <f t="shared" si="0"/>
        <v>0</v>
      </c>
      <c r="F62" s="1905" t="str">
        <f t="shared" si="1"/>
        <v>0</v>
      </c>
    </row>
    <row r="63" spans="1:6" hidden="1" x14ac:dyDescent="0.25">
      <c r="A63" s="1887"/>
      <c r="B63" s="1908"/>
      <c r="C63" s="1888"/>
      <c r="D63" s="1885"/>
      <c r="E63" s="1905">
        <f t="shared" si="0"/>
        <v>0</v>
      </c>
      <c r="F63" s="1905" t="str">
        <f t="shared" si="1"/>
        <v>0</v>
      </c>
    </row>
    <row r="64" spans="1:6" hidden="1" x14ac:dyDescent="0.25">
      <c r="A64" s="1887"/>
      <c r="B64" s="1908"/>
      <c r="C64" s="1888"/>
      <c r="D64" s="1885"/>
      <c r="E64" s="1905">
        <f t="shared" si="0"/>
        <v>0</v>
      </c>
      <c r="F64" s="1905" t="str">
        <f t="shared" si="1"/>
        <v>0</v>
      </c>
    </row>
    <row r="65" spans="1:6" hidden="1" x14ac:dyDescent="0.25">
      <c r="A65" s="1883"/>
      <c r="B65" s="1908"/>
      <c r="C65" s="1884"/>
      <c r="D65" s="1885"/>
      <c r="E65" s="1905">
        <f t="shared" si="0"/>
        <v>0</v>
      </c>
      <c r="F65" s="1905" t="str">
        <f t="shared" si="1"/>
        <v>0</v>
      </c>
    </row>
    <row r="66" spans="1:6" hidden="1" x14ac:dyDescent="0.25">
      <c r="A66" s="1887"/>
      <c r="B66" s="1908"/>
      <c r="C66" s="1888"/>
      <c r="D66" s="1885"/>
      <c r="E66" s="1905">
        <f t="shared" si="0"/>
        <v>0</v>
      </c>
      <c r="F66" s="1905" t="str">
        <f t="shared" si="1"/>
        <v>0</v>
      </c>
    </row>
    <row r="67" spans="1:6" hidden="1" x14ac:dyDescent="0.25">
      <c r="A67" s="1887"/>
      <c r="B67" s="1908"/>
      <c r="C67" s="1888"/>
      <c r="D67" s="1885"/>
      <c r="E67" s="1905">
        <f t="shared" si="0"/>
        <v>0</v>
      </c>
      <c r="F67" s="1905" t="str">
        <f t="shared" si="1"/>
        <v>0</v>
      </c>
    </row>
    <row r="68" spans="1:6" hidden="1" x14ac:dyDescent="0.25">
      <c r="A68" s="1887"/>
      <c r="B68" s="1908"/>
      <c r="C68" s="1888"/>
      <c r="D68" s="1885"/>
      <c r="E68" s="1905">
        <f t="shared" si="0"/>
        <v>0</v>
      </c>
      <c r="F68" s="1905" t="str">
        <f t="shared" si="1"/>
        <v>0</v>
      </c>
    </row>
    <row r="69" spans="1:6" hidden="1" x14ac:dyDescent="0.25">
      <c r="A69" s="1887"/>
      <c r="B69" s="1908"/>
      <c r="C69" s="1888"/>
      <c r="D69" s="1885"/>
      <c r="E69" s="1905">
        <f t="shared" si="0"/>
        <v>0</v>
      </c>
      <c r="F69" s="1905" t="str">
        <f t="shared" si="1"/>
        <v>0</v>
      </c>
    </row>
    <row r="70" spans="1:6" hidden="1" x14ac:dyDescent="0.25">
      <c r="A70" s="1887"/>
      <c r="B70" s="1908"/>
      <c r="C70" s="1888"/>
      <c r="D70" s="1885"/>
      <c r="E70" s="1905">
        <f t="shared" si="0"/>
        <v>0</v>
      </c>
      <c r="F70" s="1905" t="str">
        <f t="shared" si="1"/>
        <v>0</v>
      </c>
    </row>
    <row r="71" spans="1:6" hidden="1" x14ac:dyDescent="0.25">
      <c r="A71" s="1887"/>
      <c r="B71" s="1908"/>
      <c r="C71" s="1888"/>
      <c r="D71" s="1885"/>
      <c r="E71" s="1905">
        <f t="shared" si="0"/>
        <v>0</v>
      </c>
      <c r="F71" s="1905" t="str">
        <f t="shared" si="1"/>
        <v>0</v>
      </c>
    </row>
    <row r="72" spans="1:6" hidden="1" x14ac:dyDescent="0.25">
      <c r="A72" s="1887"/>
      <c r="B72" s="1908"/>
      <c r="C72" s="1888"/>
      <c r="D72" s="1885"/>
      <c r="E72" s="1905">
        <f t="shared" si="0"/>
        <v>0</v>
      </c>
      <c r="F72" s="1905" t="str">
        <f t="shared" si="1"/>
        <v>0</v>
      </c>
    </row>
    <row r="73" spans="1:6" hidden="1" x14ac:dyDescent="0.25">
      <c r="A73" s="1887"/>
      <c r="B73" s="1908"/>
      <c r="C73" s="1888"/>
      <c r="D73" s="1885"/>
      <c r="E73" s="1905">
        <f t="shared" si="0"/>
        <v>0</v>
      </c>
      <c r="F73" s="1905" t="str">
        <f t="shared" si="1"/>
        <v>0</v>
      </c>
    </row>
    <row r="74" spans="1:6" hidden="1" x14ac:dyDescent="0.25">
      <c r="A74" s="1887"/>
      <c r="B74" s="1908"/>
      <c r="C74" s="1888"/>
      <c r="D74" s="1885"/>
      <c r="E74" s="1905">
        <f t="shared" si="0"/>
        <v>0</v>
      </c>
      <c r="F74" s="1905" t="str">
        <f t="shared" si="1"/>
        <v>0</v>
      </c>
    </row>
    <row r="75" spans="1:6" hidden="1" x14ac:dyDescent="0.25">
      <c r="A75" s="1887"/>
      <c r="B75" s="1908"/>
      <c r="C75" s="1888"/>
      <c r="D75" s="1885"/>
      <c r="E75" s="1905">
        <f t="shared" si="0"/>
        <v>0</v>
      </c>
      <c r="F75" s="1905" t="str">
        <f t="shared" si="1"/>
        <v>0</v>
      </c>
    </row>
    <row r="76" spans="1:6" hidden="1" x14ac:dyDescent="0.25">
      <c r="A76" s="1887"/>
      <c r="B76" s="1908"/>
      <c r="C76" s="1888"/>
      <c r="D76" s="1885"/>
      <c r="E76" s="1905">
        <f t="shared" si="0"/>
        <v>0</v>
      </c>
      <c r="F76" s="1905" t="str">
        <f t="shared" si="1"/>
        <v>0</v>
      </c>
    </row>
    <row r="77" spans="1:6" hidden="1" x14ac:dyDescent="0.25">
      <c r="A77" s="1887"/>
      <c r="B77" s="1908"/>
      <c r="C77" s="1888"/>
      <c r="D77" s="1885"/>
      <c r="E77" s="1905">
        <f t="shared" si="0"/>
        <v>0</v>
      </c>
      <c r="F77" s="1905" t="str">
        <f t="shared" si="1"/>
        <v>0</v>
      </c>
    </row>
    <row r="78" spans="1:6" hidden="1" x14ac:dyDescent="0.25">
      <c r="A78" s="1887"/>
      <c r="B78" s="1908"/>
      <c r="C78" s="1888"/>
      <c r="D78" s="1885"/>
      <c r="E78" s="1905">
        <f t="shared" si="0"/>
        <v>0</v>
      </c>
      <c r="F78" s="1905" t="str">
        <f t="shared" si="1"/>
        <v>0</v>
      </c>
    </row>
    <row r="79" spans="1:6" hidden="1" x14ac:dyDescent="0.25">
      <c r="A79" s="1887"/>
      <c r="B79" s="1908"/>
      <c r="C79" s="1888"/>
      <c r="D79" s="1885"/>
      <c r="E79" s="1905">
        <f t="shared" si="0"/>
        <v>0</v>
      </c>
      <c r="F79" s="1905" t="str">
        <f t="shared" si="1"/>
        <v>0</v>
      </c>
    </row>
    <row r="80" spans="1:6" hidden="1" x14ac:dyDescent="0.25">
      <c r="A80" s="1887"/>
      <c r="B80" s="1908"/>
      <c r="C80" s="1888"/>
      <c r="D80" s="1885"/>
      <c r="E80" s="1905">
        <f t="shared" si="0"/>
        <v>0</v>
      </c>
      <c r="F80" s="1905" t="str">
        <f t="shared" si="1"/>
        <v>0</v>
      </c>
    </row>
    <row r="81" spans="1:6" hidden="1" x14ac:dyDescent="0.25">
      <c r="A81" s="1887"/>
      <c r="B81" s="1908"/>
      <c r="C81" s="1888"/>
      <c r="D81" s="1885"/>
      <c r="E81" s="1905">
        <f t="shared" si="0"/>
        <v>0</v>
      </c>
      <c r="F81" s="1905" t="str">
        <f t="shared" si="1"/>
        <v>0</v>
      </c>
    </row>
    <row r="82" spans="1:6" hidden="1" x14ac:dyDescent="0.25">
      <c r="A82" s="1887"/>
      <c r="B82" s="1908"/>
      <c r="C82" s="1888"/>
      <c r="D82" s="1885"/>
      <c r="E82" s="1905">
        <f t="shared" ref="E82:E141" si="2">IF(D82&lt;25000,D82,"25,000")</f>
        <v>0</v>
      </c>
      <c r="F82" s="1905" t="str">
        <f t="shared" ref="F82:F141" si="3">IF(D82&gt;=25000,(D82-E82),"0")</f>
        <v>0</v>
      </c>
    </row>
    <row r="83" spans="1:6" hidden="1" x14ac:dyDescent="0.25">
      <c r="A83" s="1887"/>
      <c r="B83" s="1908"/>
      <c r="C83" s="1888"/>
      <c r="D83" s="1885"/>
      <c r="E83" s="1905">
        <f t="shared" si="2"/>
        <v>0</v>
      </c>
      <c r="F83" s="1905" t="str">
        <f t="shared" si="3"/>
        <v>0</v>
      </c>
    </row>
    <row r="84" spans="1:6" hidden="1" x14ac:dyDescent="0.25">
      <c r="A84" s="1887"/>
      <c r="B84" s="1908"/>
      <c r="C84" s="1888"/>
      <c r="D84" s="1885"/>
      <c r="E84" s="1905">
        <f t="shared" si="2"/>
        <v>0</v>
      </c>
      <c r="F84" s="1905" t="str">
        <f t="shared" si="3"/>
        <v>0</v>
      </c>
    </row>
    <row r="85" spans="1:6" hidden="1" x14ac:dyDescent="0.25">
      <c r="A85" s="1887"/>
      <c r="B85" s="1908"/>
      <c r="C85" s="1888"/>
      <c r="D85" s="1885"/>
      <c r="E85" s="1905">
        <f t="shared" si="2"/>
        <v>0</v>
      </c>
      <c r="F85" s="1905" t="str">
        <f t="shared" si="3"/>
        <v>0</v>
      </c>
    </row>
    <row r="86" spans="1:6" hidden="1" x14ac:dyDescent="0.25">
      <c r="A86" s="1887"/>
      <c r="B86" s="1908"/>
      <c r="C86" s="1888"/>
      <c r="D86" s="1885"/>
      <c r="E86" s="1905">
        <f t="shared" si="2"/>
        <v>0</v>
      </c>
      <c r="F86" s="1905" t="str">
        <f t="shared" si="3"/>
        <v>0</v>
      </c>
    </row>
    <row r="87" spans="1:6" hidden="1" x14ac:dyDescent="0.25">
      <c r="A87" s="1887"/>
      <c r="B87" s="1908"/>
      <c r="C87" s="1888"/>
      <c r="D87" s="1885"/>
      <c r="E87" s="1905">
        <f t="shared" si="2"/>
        <v>0</v>
      </c>
      <c r="F87" s="1905" t="str">
        <f t="shared" si="3"/>
        <v>0</v>
      </c>
    </row>
    <row r="88" spans="1:6" hidden="1" x14ac:dyDescent="0.25">
      <c r="A88" s="1887"/>
      <c r="B88" s="1908"/>
      <c r="C88" s="1888"/>
      <c r="D88" s="1885"/>
      <c r="E88" s="1905">
        <f t="shared" si="2"/>
        <v>0</v>
      </c>
      <c r="F88" s="1905" t="str">
        <f t="shared" si="3"/>
        <v>0</v>
      </c>
    </row>
    <row r="89" spans="1:6" hidden="1" x14ac:dyDescent="0.25">
      <c r="A89" s="1887"/>
      <c r="B89" s="1908"/>
      <c r="C89" s="1888"/>
      <c r="D89" s="1885"/>
      <c r="E89" s="1905">
        <f t="shared" si="2"/>
        <v>0</v>
      </c>
      <c r="F89" s="1905" t="str">
        <f t="shared" si="3"/>
        <v>0</v>
      </c>
    </row>
    <row r="90" spans="1:6" hidden="1" x14ac:dyDescent="0.25">
      <c r="A90" s="1887"/>
      <c r="B90" s="1908"/>
      <c r="C90" s="1888"/>
      <c r="D90" s="1885"/>
      <c r="E90" s="1905">
        <f t="shared" si="2"/>
        <v>0</v>
      </c>
      <c r="F90" s="1905" t="str">
        <f t="shared" si="3"/>
        <v>0</v>
      </c>
    </row>
    <row r="91" spans="1:6" hidden="1" x14ac:dyDescent="0.25">
      <c r="A91" s="1887"/>
      <c r="B91" s="1908"/>
      <c r="C91" s="1888"/>
      <c r="D91" s="1885"/>
      <c r="E91" s="1905">
        <f t="shared" si="2"/>
        <v>0</v>
      </c>
      <c r="F91" s="1905" t="str">
        <f t="shared" si="3"/>
        <v>0</v>
      </c>
    </row>
    <row r="92" spans="1:6" hidden="1" x14ac:dyDescent="0.25">
      <c r="A92" s="1887"/>
      <c r="B92" s="1908"/>
      <c r="C92" s="1888"/>
      <c r="D92" s="1885"/>
      <c r="E92" s="1905">
        <f t="shared" si="2"/>
        <v>0</v>
      </c>
      <c r="F92" s="1905" t="str">
        <f t="shared" si="3"/>
        <v>0</v>
      </c>
    </row>
    <row r="93" spans="1:6" hidden="1" x14ac:dyDescent="0.25">
      <c r="A93" s="1887"/>
      <c r="B93" s="1908"/>
      <c r="C93" s="1888"/>
      <c r="D93" s="1885"/>
      <c r="E93" s="1905">
        <f t="shared" si="2"/>
        <v>0</v>
      </c>
      <c r="F93" s="1905" t="str">
        <f t="shared" si="3"/>
        <v>0</v>
      </c>
    </row>
    <row r="94" spans="1:6" hidden="1" x14ac:dyDescent="0.25">
      <c r="A94" s="1887"/>
      <c r="B94" s="1908"/>
      <c r="C94" s="1888"/>
      <c r="D94" s="1885"/>
      <c r="E94" s="1905">
        <f t="shared" si="2"/>
        <v>0</v>
      </c>
      <c r="F94" s="1905" t="str">
        <f t="shared" si="3"/>
        <v>0</v>
      </c>
    </row>
    <row r="95" spans="1:6" hidden="1" x14ac:dyDescent="0.25">
      <c r="A95" s="1887"/>
      <c r="B95" s="1908"/>
      <c r="C95" s="1888"/>
      <c r="D95" s="1885"/>
      <c r="E95" s="1905">
        <f t="shared" si="2"/>
        <v>0</v>
      </c>
      <c r="F95" s="1905" t="str">
        <f t="shared" si="3"/>
        <v>0</v>
      </c>
    </row>
    <row r="96" spans="1:6" hidden="1" x14ac:dyDescent="0.25">
      <c r="A96" s="1887"/>
      <c r="B96" s="1908"/>
      <c r="C96" s="1888"/>
      <c r="D96" s="1885"/>
      <c r="E96" s="1905">
        <f t="shared" si="2"/>
        <v>0</v>
      </c>
      <c r="F96" s="1905" t="str">
        <f t="shared" si="3"/>
        <v>0</v>
      </c>
    </row>
    <row r="97" spans="1:6" hidden="1" x14ac:dyDescent="0.25">
      <c r="A97" s="1887"/>
      <c r="B97" s="1908"/>
      <c r="C97" s="1888"/>
      <c r="D97" s="1885"/>
      <c r="E97" s="1905">
        <f t="shared" si="2"/>
        <v>0</v>
      </c>
      <c r="F97" s="1905" t="str">
        <f t="shared" si="3"/>
        <v>0</v>
      </c>
    </row>
    <row r="98" spans="1:6" hidden="1" x14ac:dyDescent="0.25">
      <c r="A98" s="1887"/>
      <c r="B98" s="1908"/>
      <c r="C98" s="1888"/>
      <c r="D98" s="1885"/>
      <c r="E98" s="1905">
        <f t="shared" si="2"/>
        <v>0</v>
      </c>
      <c r="F98" s="1905" t="str">
        <f t="shared" si="3"/>
        <v>0</v>
      </c>
    </row>
    <row r="99" spans="1:6" hidden="1" x14ac:dyDescent="0.25">
      <c r="A99" s="1887"/>
      <c r="B99" s="1908"/>
      <c r="C99" s="1888"/>
      <c r="D99" s="1885"/>
      <c r="E99" s="1905">
        <f t="shared" si="2"/>
        <v>0</v>
      </c>
      <c r="F99" s="1905" t="str">
        <f t="shared" si="3"/>
        <v>0</v>
      </c>
    </row>
    <row r="100" spans="1:6" hidden="1" x14ac:dyDescent="0.25">
      <c r="A100" s="1887"/>
      <c r="B100" s="1908"/>
      <c r="C100" s="1888"/>
      <c r="D100" s="1885"/>
      <c r="E100" s="1905">
        <f t="shared" si="2"/>
        <v>0</v>
      </c>
      <c r="F100" s="1905" t="str">
        <f t="shared" si="3"/>
        <v>0</v>
      </c>
    </row>
    <row r="101" spans="1:6" hidden="1" x14ac:dyDescent="0.25">
      <c r="A101" s="1887"/>
      <c r="B101" s="1908"/>
      <c r="C101" s="1888"/>
      <c r="D101" s="1885"/>
      <c r="E101" s="1905">
        <f t="shared" si="2"/>
        <v>0</v>
      </c>
      <c r="F101" s="1905" t="str">
        <f t="shared" si="3"/>
        <v>0</v>
      </c>
    </row>
    <row r="102" spans="1:6" hidden="1" x14ac:dyDescent="0.25">
      <c r="A102" s="1887"/>
      <c r="B102" s="1908"/>
      <c r="C102" s="1888"/>
      <c r="D102" s="1885"/>
      <c r="E102" s="1905">
        <f t="shared" si="2"/>
        <v>0</v>
      </c>
      <c r="F102" s="1905" t="str">
        <f t="shared" si="3"/>
        <v>0</v>
      </c>
    </row>
    <row r="103" spans="1:6" hidden="1" x14ac:dyDescent="0.25">
      <c r="A103" s="1887"/>
      <c r="B103" s="1908"/>
      <c r="C103" s="1888"/>
      <c r="D103" s="1885"/>
      <c r="E103" s="1905">
        <f t="shared" si="2"/>
        <v>0</v>
      </c>
      <c r="F103" s="1905" t="str">
        <f t="shared" si="3"/>
        <v>0</v>
      </c>
    </row>
    <row r="104" spans="1:6" hidden="1" x14ac:dyDescent="0.25">
      <c r="A104" s="1887"/>
      <c r="B104" s="1908"/>
      <c r="C104" s="1888"/>
      <c r="D104" s="1885"/>
      <c r="E104" s="1905">
        <f t="shared" si="2"/>
        <v>0</v>
      </c>
      <c r="F104" s="1905" t="str">
        <f t="shared" si="3"/>
        <v>0</v>
      </c>
    </row>
    <row r="105" spans="1:6" hidden="1" x14ac:dyDescent="0.25">
      <c r="A105" s="1887"/>
      <c r="B105" s="1908"/>
      <c r="C105" s="1888"/>
      <c r="D105" s="1885"/>
      <c r="E105" s="1905">
        <f t="shared" si="2"/>
        <v>0</v>
      </c>
      <c r="F105" s="1905" t="str">
        <f t="shared" si="3"/>
        <v>0</v>
      </c>
    </row>
    <row r="106" spans="1:6" hidden="1" x14ac:dyDescent="0.25">
      <c r="A106" s="1887"/>
      <c r="B106" s="1908"/>
      <c r="C106" s="1888"/>
      <c r="D106" s="1885"/>
      <c r="E106" s="1905">
        <f t="shared" si="2"/>
        <v>0</v>
      </c>
      <c r="F106" s="1905" t="str">
        <f t="shared" si="3"/>
        <v>0</v>
      </c>
    </row>
    <row r="107" spans="1:6" hidden="1" x14ac:dyDescent="0.25">
      <c r="A107" s="1887"/>
      <c r="B107" s="1908"/>
      <c r="C107" s="1888"/>
      <c r="D107" s="1885"/>
      <c r="E107" s="1905">
        <f t="shared" si="2"/>
        <v>0</v>
      </c>
      <c r="F107" s="1905" t="str">
        <f t="shared" si="3"/>
        <v>0</v>
      </c>
    </row>
    <row r="108" spans="1:6" hidden="1" x14ac:dyDescent="0.25">
      <c r="A108" s="1887"/>
      <c r="B108" s="1908"/>
      <c r="C108" s="1888"/>
      <c r="D108" s="1885"/>
      <c r="E108" s="1905">
        <f t="shared" si="2"/>
        <v>0</v>
      </c>
      <c r="F108" s="1905" t="str">
        <f t="shared" si="3"/>
        <v>0</v>
      </c>
    </row>
    <row r="109" spans="1:6" hidden="1" x14ac:dyDescent="0.25">
      <c r="A109" s="1887"/>
      <c r="B109" s="1908"/>
      <c r="C109" s="1888"/>
      <c r="D109" s="1885"/>
      <c r="E109" s="1905">
        <f t="shared" si="2"/>
        <v>0</v>
      </c>
      <c r="F109" s="1905" t="str">
        <f t="shared" si="3"/>
        <v>0</v>
      </c>
    </row>
    <row r="110" spans="1:6" hidden="1" x14ac:dyDescent="0.25">
      <c r="A110" s="1887"/>
      <c r="B110" s="1908"/>
      <c r="C110" s="1888"/>
      <c r="D110" s="1885"/>
      <c r="E110" s="1905">
        <f t="shared" si="2"/>
        <v>0</v>
      </c>
      <c r="F110" s="1905" t="str">
        <f t="shared" si="3"/>
        <v>0</v>
      </c>
    </row>
    <row r="111" spans="1:6" hidden="1" x14ac:dyDescent="0.25">
      <c r="A111" s="1887"/>
      <c r="B111" s="1908"/>
      <c r="C111" s="1888"/>
      <c r="D111" s="1885"/>
      <c r="E111" s="1905">
        <f t="shared" si="2"/>
        <v>0</v>
      </c>
      <c r="F111" s="1905" t="str">
        <f t="shared" si="3"/>
        <v>0</v>
      </c>
    </row>
    <row r="112" spans="1:6" hidden="1" x14ac:dyDescent="0.25">
      <c r="A112" s="1887"/>
      <c r="B112" s="1908"/>
      <c r="C112" s="1888"/>
      <c r="D112" s="1885"/>
      <c r="E112" s="1905">
        <f t="shared" si="2"/>
        <v>0</v>
      </c>
      <c r="F112" s="1905" t="str">
        <f t="shared" si="3"/>
        <v>0</v>
      </c>
    </row>
    <row r="113" spans="1:6" hidden="1" x14ac:dyDescent="0.25">
      <c r="A113" s="1887"/>
      <c r="B113" s="1908"/>
      <c r="C113" s="1888"/>
      <c r="D113" s="1885"/>
      <c r="E113" s="1905">
        <f t="shared" si="2"/>
        <v>0</v>
      </c>
      <c r="F113" s="1905" t="str">
        <f t="shared" si="3"/>
        <v>0</v>
      </c>
    </row>
    <row r="114" spans="1:6" hidden="1" x14ac:dyDescent="0.25">
      <c r="A114" s="1887"/>
      <c r="B114" s="1908"/>
      <c r="C114" s="1888"/>
      <c r="D114" s="1885"/>
      <c r="E114" s="1905">
        <f t="shared" si="2"/>
        <v>0</v>
      </c>
      <c r="F114" s="1905" t="str">
        <f t="shared" si="3"/>
        <v>0</v>
      </c>
    </row>
    <row r="115" spans="1:6" hidden="1" x14ac:dyDescent="0.25">
      <c r="A115" s="1887"/>
      <c r="B115" s="1908"/>
      <c r="C115" s="1888"/>
      <c r="D115" s="1885"/>
      <c r="E115" s="1905">
        <f t="shared" si="2"/>
        <v>0</v>
      </c>
      <c r="F115" s="1905" t="str">
        <f t="shared" si="3"/>
        <v>0</v>
      </c>
    </row>
    <row r="116" spans="1:6" hidden="1" x14ac:dyDescent="0.25">
      <c r="A116" s="1887"/>
      <c r="B116" s="1908"/>
      <c r="C116" s="1888"/>
      <c r="D116" s="1885"/>
      <c r="E116" s="1905">
        <f t="shared" si="2"/>
        <v>0</v>
      </c>
      <c r="F116" s="1905" t="str">
        <f t="shared" si="3"/>
        <v>0</v>
      </c>
    </row>
    <row r="117" spans="1:6" hidden="1" x14ac:dyDescent="0.25">
      <c r="A117" s="1887"/>
      <c r="B117" s="1908"/>
      <c r="C117" s="1888"/>
      <c r="D117" s="1885"/>
      <c r="E117" s="1905">
        <f t="shared" si="2"/>
        <v>0</v>
      </c>
      <c r="F117" s="1905" t="str">
        <f t="shared" si="3"/>
        <v>0</v>
      </c>
    </row>
    <row r="118" spans="1:6" hidden="1" x14ac:dyDescent="0.25">
      <c r="A118" s="1887"/>
      <c r="B118" s="1908"/>
      <c r="C118" s="1888"/>
      <c r="D118" s="1885"/>
      <c r="E118" s="1905">
        <f t="shared" si="2"/>
        <v>0</v>
      </c>
      <c r="F118" s="1905" t="str">
        <f t="shared" si="3"/>
        <v>0</v>
      </c>
    </row>
    <row r="119" spans="1:6" hidden="1" x14ac:dyDescent="0.25">
      <c r="A119" s="1887"/>
      <c r="B119" s="1908"/>
      <c r="C119" s="1888"/>
      <c r="D119" s="1885"/>
      <c r="E119" s="1905">
        <f t="shared" si="2"/>
        <v>0</v>
      </c>
      <c r="F119" s="1905" t="str">
        <f t="shared" si="3"/>
        <v>0</v>
      </c>
    </row>
    <row r="120" spans="1:6" hidden="1" x14ac:dyDescent="0.25">
      <c r="A120" s="1887"/>
      <c r="B120" s="1908"/>
      <c r="C120" s="1888"/>
      <c r="D120" s="1885"/>
      <c r="E120" s="1905">
        <f t="shared" si="2"/>
        <v>0</v>
      </c>
      <c r="F120" s="1905" t="str">
        <f t="shared" si="3"/>
        <v>0</v>
      </c>
    </row>
    <row r="121" spans="1:6" hidden="1" x14ac:dyDescent="0.25">
      <c r="A121" s="1887"/>
      <c r="B121" s="1908"/>
      <c r="C121" s="1888"/>
      <c r="D121" s="1885"/>
      <c r="E121" s="1905">
        <f t="shared" si="2"/>
        <v>0</v>
      </c>
      <c r="F121" s="1905" t="str">
        <f t="shared" si="3"/>
        <v>0</v>
      </c>
    </row>
    <row r="122" spans="1:6" hidden="1" x14ac:dyDescent="0.25">
      <c r="A122" s="1887"/>
      <c r="B122" s="1908"/>
      <c r="C122" s="1888"/>
      <c r="D122" s="1885"/>
      <c r="E122" s="1905">
        <f t="shared" si="2"/>
        <v>0</v>
      </c>
      <c r="F122" s="1905" t="str">
        <f t="shared" si="3"/>
        <v>0</v>
      </c>
    </row>
    <row r="123" spans="1:6" hidden="1" x14ac:dyDescent="0.25">
      <c r="A123" s="1887"/>
      <c r="B123" s="1908"/>
      <c r="C123" s="1888"/>
      <c r="D123" s="1885"/>
      <c r="E123" s="1905">
        <f t="shared" si="2"/>
        <v>0</v>
      </c>
      <c r="F123" s="1905" t="str">
        <f t="shared" si="3"/>
        <v>0</v>
      </c>
    </row>
    <row r="124" spans="1:6" hidden="1" x14ac:dyDescent="0.25">
      <c r="A124" s="1887"/>
      <c r="B124" s="1908"/>
      <c r="C124" s="1888"/>
      <c r="D124" s="1885"/>
      <c r="E124" s="1905">
        <f t="shared" si="2"/>
        <v>0</v>
      </c>
      <c r="F124" s="1905" t="str">
        <f t="shared" si="3"/>
        <v>0</v>
      </c>
    </row>
    <row r="125" spans="1:6" hidden="1" x14ac:dyDescent="0.25">
      <c r="A125" s="1887"/>
      <c r="B125" s="1908"/>
      <c r="C125" s="1888"/>
      <c r="D125" s="1885"/>
      <c r="E125" s="1905">
        <f t="shared" si="2"/>
        <v>0</v>
      </c>
      <c r="F125" s="1905" t="str">
        <f t="shared" si="3"/>
        <v>0</v>
      </c>
    </row>
    <row r="126" spans="1:6" hidden="1" x14ac:dyDescent="0.25">
      <c r="A126" s="1887"/>
      <c r="B126" s="1908"/>
      <c r="C126" s="1888"/>
      <c r="D126" s="1885"/>
      <c r="E126" s="1905">
        <f t="shared" si="2"/>
        <v>0</v>
      </c>
      <c r="F126" s="1905" t="str">
        <f t="shared" si="3"/>
        <v>0</v>
      </c>
    </row>
    <row r="127" spans="1:6" hidden="1" x14ac:dyDescent="0.25">
      <c r="A127" s="1887"/>
      <c r="B127" s="1908"/>
      <c r="C127" s="1888"/>
      <c r="D127" s="1885"/>
      <c r="E127" s="1905">
        <f t="shared" si="2"/>
        <v>0</v>
      </c>
      <c r="F127" s="1905" t="str">
        <f t="shared" si="3"/>
        <v>0</v>
      </c>
    </row>
    <row r="128" spans="1:6" hidden="1" x14ac:dyDescent="0.25">
      <c r="A128" s="1887"/>
      <c r="B128" s="1908"/>
      <c r="C128" s="1888"/>
      <c r="D128" s="1885"/>
      <c r="E128" s="1905">
        <f t="shared" si="2"/>
        <v>0</v>
      </c>
      <c r="F128" s="1905" t="str">
        <f t="shared" si="3"/>
        <v>0</v>
      </c>
    </row>
    <row r="129" spans="1:6" hidden="1" x14ac:dyDescent="0.25">
      <c r="A129" s="1887"/>
      <c r="B129" s="1908"/>
      <c r="C129" s="1888"/>
      <c r="D129" s="1885"/>
      <c r="E129" s="1905">
        <f t="shared" si="2"/>
        <v>0</v>
      </c>
      <c r="F129" s="1905" t="str">
        <f t="shared" si="3"/>
        <v>0</v>
      </c>
    </row>
    <row r="130" spans="1:6" hidden="1" x14ac:dyDescent="0.25">
      <c r="A130" s="1887"/>
      <c r="B130" s="1908"/>
      <c r="C130" s="1888"/>
      <c r="D130" s="1885"/>
      <c r="E130" s="1905">
        <f t="shared" si="2"/>
        <v>0</v>
      </c>
      <c r="F130" s="1905" t="str">
        <f t="shared" si="3"/>
        <v>0</v>
      </c>
    </row>
    <row r="131" spans="1:6" hidden="1" x14ac:dyDescent="0.25">
      <c r="A131" s="1887"/>
      <c r="B131" s="1908"/>
      <c r="C131" s="1888"/>
      <c r="D131" s="1885"/>
      <c r="E131" s="1905">
        <f t="shared" si="2"/>
        <v>0</v>
      </c>
      <c r="F131" s="1905" t="str">
        <f t="shared" si="3"/>
        <v>0</v>
      </c>
    </row>
    <row r="132" spans="1:6" hidden="1" x14ac:dyDescent="0.25">
      <c r="A132" s="1887"/>
      <c r="B132" s="1908"/>
      <c r="C132" s="1888"/>
      <c r="D132" s="1885"/>
      <c r="E132" s="1905">
        <f t="shared" si="2"/>
        <v>0</v>
      </c>
      <c r="F132" s="1905" t="str">
        <f t="shared" si="3"/>
        <v>0</v>
      </c>
    </row>
    <row r="133" spans="1:6" hidden="1" x14ac:dyDescent="0.25">
      <c r="A133" s="1887"/>
      <c r="B133" s="1908"/>
      <c r="C133" s="1888"/>
      <c r="D133" s="1885"/>
      <c r="E133" s="1905">
        <f t="shared" si="2"/>
        <v>0</v>
      </c>
      <c r="F133" s="1905" t="str">
        <f t="shared" si="3"/>
        <v>0</v>
      </c>
    </row>
    <row r="134" spans="1:6" hidden="1" x14ac:dyDescent="0.25">
      <c r="A134" s="1887"/>
      <c r="B134" s="1908"/>
      <c r="C134" s="1888"/>
      <c r="D134" s="1885"/>
      <c r="E134" s="1905">
        <f t="shared" si="2"/>
        <v>0</v>
      </c>
      <c r="F134" s="1905" t="str">
        <f t="shared" si="3"/>
        <v>0</v>
      </c>
    </row>
    <row r="135" spans="1:6" hidden="1" x14ac:dyDescent="0.25">
      <c r="A135" s="1887"/>
      <c r="B135" s="1908"/>
      <c r="C135" s="1888"/>
      <c r="D135" s="1885"/>
      <c r="E135" s="1905">
        <f t="shared" si="2"/>
        <v>0</v>
      </c>
      <c r="F135" s="1905" t="str">
        <f t="shared" si="3"/>
        <v>0</v>
      </c>
    </row>
    <row r="136" spans="1:6" hidden="1" x14ac:dyDescent="0.25">
      <c r="A136" s="1887"/>
      <c r="B136" s="1908"/>
      <c r="C136" s="1888"/>
      <c r="D136" s="1885"/>
      <c r="E136" s="1905">
        <f t="shared" si="2"/>
        <v>0</v>
      </c>
      <c r="F136" s="1905" t="str">
        <f t="shared" si="3"/>
        <v>0</v>
      </c>
    </row>
    <row r="137" spans="1:6" hidden="1" x14ac:dyDescent="0.25">
      <c r="A137" s="1887"/>
      <c r="B137" s="1908"/>
      <c r="C137" s="1888"/>
      <c r="D137" s="1885"/>
      <c r="E137" s="1905">
        <f t="shared" si="2"/>
        <v>0</v>
      </c>
      <c r="F137" s="1905" t="str">
        <f t="shared" si="3"/>
        <v>0</v>
      </c>
    </row>
    <row r="138" spans="1:6" hidden="1" x14ac:dyDescent="0.25">
      <c r="A138" s="1887"/>
      <c r="B138" s="1908"/>
      <c r="C138" s="1888"/>
      <c r="D138" s="1885"/>
      <c r="E138" s="1905">
        <f t="shared" si="2"/>
        <v>0</v>
      </c>
      <c r="F138" s="1905" t="str">
        <f t="shared" si="3"/>
        <v>0</v>
      </c>
    </row>
    <row r="139" spans="1:6" hidden="1" x14ac:dyDescent="0.25">
      <c r="A139" s="1887"/>
      <c r="B139" s="1908"/>
      <c r="C139" s="1888"/>
      <c r="D139" s="1885"/>
      <c r="E139" s="1905">
        <f t="shared" si="2"/>
        <v>0</v>
      </c>
      <c r="F139" s="1905" t="str">
        <f t="shared" si="3"/>
        <v>0</v>
      </c>
    </row>
    <row r="140" spans="1:6" hidden="1"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2504879</v>
      </c>
      <c r="E142" s="1892">
        <f>SUM(E18:E141)</f>
        <v>0</v>
      </c>
      <c r="F142" s="1893">
        <f>SUM(F18:F141)</f>
        <v>2379879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F10" sqref="F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1892</v>
      </c>
      <c r="B10" s="803"/>
      <c r="C10" s="807"/>
      <c r="D10" s="804"/>
      <c r="E10" s="1799">
        <v>1033256</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98365</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24787906</v>
      </c>
      <c r="F19" s="1801"/>
      <c r="G19" s="1803">
        <f>'Expenditures 15-22'!K33-SUM('Expenditures 15-22'!G33,'Expenditures 15-22'!I33)+'Expenditures 15-22'!D229</f>
        <v>24787906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1695793</v>
      </c>
      <c r="F21" s="1804"/>
      <c r="G21" s="1807">
        <f>'Expenditures 15-22'!K42-SUM('Expenditures 15-22'!G42,'Expenditures 15-22'!I42)+'Expenditures 15-22'!K120-SUM('Expenditures 15-22'!G120,'Expenditures 15-22'!I120)+'Expenditures 15-22'!K180-SUM('Expenditures 15-22'!G180,'Expenditures 15-22'!I180)+'Expenditures 15-22'!D238</f>
        <v>1695793</v>
      </c>
      <c r="H21" s="817"/>
      <c r="I21" s="157"/>
    </row>
    <row r="22" spans="1:9" s="542" customFormat="1" ht="12" customHeight="1" x14ac:dyDescent="0.2">
      <c r="A22" s="824" t="s">
        <v>560</v>
      </c>
      <c r="B22" s="825"/>
      <c r="C22" s="823">
        <v>2200</v>
      </c>
      <c r="D22" s="1804"/>
      <c r="E22" s="1806">
        <f>'Expenditures 15-22'!K47-SUM('Expenditures 15-22'!G47,'Expenditures 15-22'!I47)+'Expenditures 15-22'!D243</f>
        <v>2625310</v>
      </c>
      <c r="F22" s="1804"/>
      <c r="G22" s="1807">
        <f>'Expenditures 15-22'!K47-SUM('Expenditures 15-22'!G47,'Expenditures 15-22'!I47)+'Expenditures 15-22'!D243</f>
        <v>2625310</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911242</v>
      </c>
      <c r="F23" s="1804"/>
      <c r="G23" s="1806">
        <f>'Expenditures 15-22'!K53-SUM('Expenditures 15-22'!G53,'Expenditures 15-22'!I53)+'Expenditures 15-22'!D257+'Expenditures 15-22'!K330-SUM('Expenditures 15-22'!G330,'Expenditures 15-22'!I330)</f>
        <v>911242</v>
      </c>
      <c r="H23" s="817"/>
      <c r="I23" s="157"/>
    </row>
    <row r="24" spans="1:9" s="542" customFormat="1" ht="12" customHeight="1" x14ac:dyDescent="0.2">
      <c r="A24" s="824" t="s">
        <v>562</v>
      </c>
      <c r="B24" s="825"/>
      <c r="C24" s="823">
        <v>2400</v>
      </c>
      <c r="D24" s="1804"/>
      <c r="E24" s="1806">
        <f>'Expenditures 15-22'!K57-SUM('Expenditures 15-22'!G57,'Expenditures 15-22'!I57)+'Expenditures 15-22'!D261</f>
        <v>2439550</v>
      </c>
      <c r="F24" s="1804"/>
      <c r="G24" s="1807">
        <f>'Expenditures 15-22'!K57-SUM('Expenditures 15-22'!G57,'Expenditures 15-22'!I57)+'Expenditures 15-22'!D261</f>
        <v>2439550</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182295</v>
      </c>
      <c r="E26" s="1806">
        <f>'Expenditures 15-22'!K122-SUM('Expenditures 15-22'!G122,'Expenditures 15-22'!I122)+E7</f>
        <v>0</v>
      </c>
      <c r="F26" s="1806">
        <f>'Expenditures 15-22'!K59-SUM('Expenditures 15-22'!G59,'Expenditures 15-22'!I59)+'Expenditures 15-22'!D263-E7</f>
        <v>182295</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507218</v>
      </c>
      <c r="E27" s="1806">
        <f>E8</f>
        <v>0</v>
      </c>
      <c r="F27" s="1806">
        <f>'Expenditures 15-22'!K60-SUM('Expenditures 15-22'!G60,'Expenditures 15-22'!I60)+'Expenditures 15-22'!D264-E8</f>
        <v>507218</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4230636</v>
      </c>
      <c r="F28" s="1808">
        <f>'Expenditures 15-22'!K61-SUM('Expenditures 15-22'!G61,'Expenditures 15-22'!I61)+'Expenditures 15-22'!K124-SUM('Expenditures 15-22'!G124,'Expenditures 15-22'!I124)+'Expenditures 15-22'!D266-E9</f>
        <v>4230636</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2039779</v>
      </c>
      <c r="F29" s="1804"/>
      <c r="G29" s="1807">
        <f>'Expenditures 15-22'!K62-SUM('Expenditures 15-22'!G62,'Expenditures 15-22'!I62)+'Expenditures 15-22'!K125-SUM('Expenditures 15-22'!G125,'Expenditures 15-22'!I125)+'Expenditures 15-22'!K182-SUM('Expenditures 15-22'!G182,'Expenditures 15-22'!I182)+'Expenditures 15-22'!D267</f>
        <v>2039779</v>
      </c>
      <c r="H29" s="815"/>
    </row>
    <row r="30" spans="1:9" ht="12" customHeight="1" x14ac:dyDescent="0.2">
      <c r="A30" s="824" t="s">
        <v>100</v>
      </c>
      <c r="B30" s="827"/>
      <c r="C30" s="823">
        <v>2560</v>
      </c>
      <c r="D30" s="1804"/>
      <c r="E30" s="1806">
        <f>'Expenditures 15-22'!K63-SUM('Expenditures 15-22'!G63,'Expenditures 15-22'!I63)+'Expenditures 15-22'!D268-E10</f>
        <v>461663</v>
      </c>
      <c r="F30" s="1804"/>
      <c r="G30" s="1806">
        <f>'Expenditures 15-22'!K63-SUM('Expenditures 15-22'!G63,'Expenditures 15-22'!I63)+'Expenditures 15-22'!D268-E10</f>
        <v>461663</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49665</v>
      </c>
      <c r="E36" s="1806">
        <f>E13</f>
        <v>0</v>
      </c>
      <c r="F36" s="1806">
        <f>'Expenditures 15-22'!K70-SUM('Expenditures 15-22'!G70,'Expenditures 15-22'!I70)+'Expenditures 15-22'!D275-E13</f>
        <v>49665</v>
      </c>
      <c r="G36" s="1806">
        <f>E13</f>
        <v>0</v>
      </c>
    </row>
    <row r="37" spans="1:7" ht="12" customHeight="1" x14ac:dyDescent="0.2">
      <c r="A37" s="824" t="s">
        <v>401</v>
      </c>
      <c r="B37" s="827"/>
      <c r="C37" s="823">
        <v>2660</v>
      </c>
      <c r="D37" s="1806">
        <f>'Expenditures 15-22'!K71-SUM('Expenditures 15-22'!G71,'Expenditures 15-22'!I71)+'Expenditures 15-22'!D276-E14</f>
        <v>339879</v>
      </c>
      <c r="E37" s="1806">
        <f>E14</f>
        <v>0</v>
      </c>
      <c r="F37" s="1806">
        <f>'Expenditures 15-22'!K71-SUM('Expenditures 15-22'!G71,'Expenditures 15-22'!I71)+'Expenditures 15-22'!D276-E14</f>
        <v>339879</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6767</v>
      </c>
      <c r="F38" s="1804"/>
      <c r="G38" s="1806">
        <f>'Expenditures 15-22'!K73-SUM('Expenditures 15-22'!G73,'Expenditures 15-22'!I73)+'Expenditures 15-22'!K128-SUM('Expenditures 15-22'!G128,'Expenditures 15-22'!I128)+'Expenditures 15-22'!K183-SUM('Expenditures 15-22'!G183,'Expenditures 15-22'!I183)+'Expenditures 15-22'!D278</f>
        <v>6767</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25525</v>
      </c>
      <c r="F39" s="1804"/>
      <c r="G39" s="1806">
        <f>'Expenditures 15-22'!K75-SUM('Expenditures 15-22'!G75,'Expenditures 15-22'!I75)+'Expenditures 15-22'!K130-SUM('Expenditures 15-22'!G130,'Expenditures 15-22'!I130)+'Expenditures 15-22'!K185-SUM('Expenditures 15-22'!G185,'Expenditures 15-22'!I185)+'Expenditures 15-22'!D280</f>
        <v>25525</v>
      </c>
    </row>
    <row r="40" spans="1:7" ht="12" customHeight="1" x14ac:dyDescent="0.2">
      <c r="A40" s="820" t="s">
        <v>1796</v>
      </c>
      <c r="B40" s="821"/>
      <c r="C40" s="823"/>
      <c r="D40" s="1804"/>
      <c r="E40" s="1808">
        <f>-'Contracts Paid in CY 29'!F142</f>
        <v>-2379879</v>
      </c>
      <c r="F40" s="1804"/>
      <c r="G40" s="1808">
        <f>-'Contracts Paid in CY 29'!F142</f>
        <v>-2379879</v>
      </c>
    </row>
    <row r="41" spans="1:7" ht="12" customHeight="1" x14ac:dyDescent="0.2">
      <c r="A41" s="828" t="s">
        <v>155</v>
      </c>
      <c r="B41" s="829"/>
      <c r="C41" s="830"/>
      <c r="D41" s="1808">
        <f>SUM(D19:D39)</f>
        <v>1079057</v>
      </c>
      <c r="E41" s="1808">
        <f>SUM(E19:E40)</f>
        <v>36844292</v>
      </c>
      <c r="F41" s="1808">
        <f>SUM(F19:F39)</f>
        <v>5309693</v>
      </c>
      <c r="G41" s="1808">
        <f>SUM(G19:G40)</f>
        <v>32613656</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1079057</v>
      </c>
      <c r="F43" s="1457" t="s">
        <v>470</v>
      </c>
      <c r="G43" s="1809">
        <f>F41</f>
        <v>5309693</v>
      </c>
    </row>
    <row r="44" spans="1:7" ht="12" customHeight="1" x14ac:dyDescent="0.2">
      <c r="A44" s="817"/>
      <c r="B44" s="157"/>
      <c r="C44" s="831"/>
      <c r="D44" s="1457" t="s">
        <v>471</v>
      </c>
      <c r="E44" s="1809">
        <f>E41</f>
        <v>36844292</v>
      </c>
      <c r="F44" s="1457" t="s">
        <v>471</v>
      </c>
      <c r="G44" s="1809">
        <f>G41</f>
        <v>32613656</v>
      </c>
    </row>
    <row r="45" spans="1:7" ht="12" customHeight="1" x14ac:dyDescent="0.2">
      <c r="A45" s="817"/>
      <c r="B45" s="157"/>
      <c r="C45" s="157"/>
      <c r="D45" s="1458" t="s">
        <v>999</v>
      </c>
      <c r="E45" s="1810">
        <f>(E43/E44)</f>
        <v>2.9286951693901459E-2</v>
      </c>
      <c r="F45" s="1458" t="s">
        <v>999</v>
      </c>
      <c r="G45" s="1810">
        <f>(G43/G44)</f>
        <v>0.16280581974618238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H23" sqref="H2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1363</v>
      </c>
      <c r="B1" s="2410"/>
      <c r="C1" s="2410"/>
      <c r="D1" s="2410"/>
      <c r="E1" s="2410"/>
      <c r="F1" s="2410"/>
    </row>
    <row r="2" spans="1:15" x14ac:dyDescent="0.2">
      <c r="A2" s="1512" t="s">
        <v>1876</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1529</v>
      </c>
      <c r="B5" s="2412"/>
      <c r="C5" s="2413"/>
      <c r="D5" s="2413"/>
      <c r="E5" s="2413"/>
      <c r="F5" s="2413"/>
      <c r="G5" s="1506"/>
      <c r="L5" s="1506"/>
      <c r="M5" s="1854"/>
      <c r="N5" s="1854"/>
      <c r="O5" s="1854"/>
    </row>
    <row r="6" spans="1:15" ht="12" customHeight="1" x14ac:dyDescent="0.25">
      <c r="A6" s="1479"/>
      <c r="B6" s="1480"/>
      <c r="C6" s="2414" t="str">
        <f>COVER!A17</f>
        <v xml:space="preserve"> Mannheim SD 83</v>
      </c>
      <c r="D6" s="2414"/>
      <c r="E6" s="2414"/>
      <c r="F6" s="1481"/>
      <c r="G6" s="1506"/>
      <c r="L6" s="1506"/>
      <c r="M6" s="1854"/>
      <c r="N6" s="1854"/>
      <c r="O6" s="1854"/>
    </row>
    <row r="7" spans="1:15" ht="11.25" customHeight="1" thickBot="1" x14ac:dyDescent="0.3">
      <c r="A7" s="1479"/>
      <c r="B7" s="1480"/>
      <c r="C7" s="2415">
        <f>COVER!A13</f>
        <v>6016083002</v>
      </c>
      <c r="D7" s="2415"/>
      <c r="E7" s="2415"/>
      <c r="F7" s="1481"/>
      <c r="G7" s="1506"/>
      <c r="L7" s="1506"/>
      <c r="M7" s="1854"/>
      <c r="N7" s="1854"/>
      <c r="O7" s="1854"/>
    </row>
    <row r="8" spans="1:15" ht="25.5" customHeight="1" thickBot="1" x14ac:dyDescent="0.25">
      <c r="A8" s="1518" t="s">
        <v>1872</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t="s">
        <v>2049</v>
      </c>
      <c r="D14" s="1494" t="s">
        <v>2049</v>
      </c>
      <c r="E14" s="1497"/>
      <c r="F14" s="1496" t="s">
        <v>2073</v>
      </c>
      <c r="G14" s="1506"/>
      <c r="H14" s="1506">
        <f t="shared" si="0"/>
        <v>5</v>
      </c>
      <c r="I14" s="1506">
        <f t="shared" si="1"/>
        <v>5</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2049</v>
      </c>
      <c r="D19" s="1494" t="s">
        <v>2049</v>
      </c>
      <c r="E19" s="1497"/>
      <c r="F19" s="1496" t="s">
        <v>2074</v>
      </c>
      <c r="G19" s="1506"/>
      <c r="H19" s="1506">
        <f t="shared" si="0"/>
        <v>5</v>
      </c>
      <c r="I19" s="1506">
        <f t="shared" si="1"/>
        <v>5</v>
      </c>
      <c r="J19" s="1506">
        <f t="shared" si="2"/>
        <v>0</v>
      </c>
      <c r="L19" s="1506"/>
      <c r="M19" s="1854"/>
      <c r="N19" s="1854"/>
      <c r="O19" s="1854"/>
    </row>
    <row r="20" spans="1:15" ht="12" customHeight="1" x14ac:dyDescent="0.2">
      <c r="A20" s="1492" t="s">
        <v>1511</v>
      </c>
      <c r="B20" s="1493"/>
      <c r="C20" s="1494" t="s">
        <v>2049</v>
      </c>
      <c r="D20" s="1494" t="s">
        <v>2049</v>
      </c>
      <c r="E20" s="1497"/>
      <c r="F20" s="1496" t="s">
        <v>2075</v>
      </c>
      <c r="G20" s="1506"/>
      <c r="H20" s="1506">
        <f t="shared" si="0"/>
        <v>5</v>
      </c>
      <c r="I20" s="1506">
        <f t="shared" si="1"/>
        <v>5</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2049</v>
      </c>
      <c r="D26" s="1494" t="s">
        <v>2049</v>
      </c>
      <c r="E26" s="1497"/>
      <c r="F26" s="1496" t="s">
        <v>2072</v>
      </c>
      <c r="G26" s="1506"/>
      <c r="H26" s="1506">
        <f t="shared" si="0"/>
        <v>5</v>
      </c>
      <c r="I26" s="1506">
        <f t="shared" si="1"/>
        <v>5</v>
      </c>
      <c r="J26" s="1506">
        <f t="shared" si="2"/>
        <v>0</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20</v>
      </c>
      <c r="I34" s="1506">
        <f>SUM(I11:I32)</f>
        <v>20</v>
      </c>
      <c r="J34" s="1506">
        <f>SUM(J11:J32)</f>
        <v>0</v>
      </c>
      <c r="K34" s="1506">
        <f>SUM(H34:J34)</f>
        <v>40</v>
      </c>
      <c r="L34" s="1506"/>
      <c r="M34" s="1854"/>
      <c r="N34" s="1854"/>
      <c r="O34" s="1854"/>
    </row>
    <row r="35" spans="1:15" ht="12" customHeight="1" x14ac:dyDescent="0.2">
      <c r="A35" s="1499" t="s">
        <v>1376</v>
      </c>
      <c r="B35" s="1500"/>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1375</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2" sqref="M62"/>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2000</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6"/>
      <c r="C6" s="1376"/>
      <c r="D6" s="1376"/>
      <c r="E6" s="1377"/>
      <c r="F6" s="1921"/>
      <c r="G6" s="1922"/>
      <c r="H6" s="838"/>
      <c r="I6" s="1923" t="s">
        <v>1021</v>
      </c>
      <c r="J6" s="2436" t="str">
        <f>COVER!A17</f>
        <v xml:space="preserve"> Mannheim SD 83</v>
      </c>
      <c r="K6" s="2436"/>
      <c r="L6" s="2450"/>
      <c r="M6" s="838"/>
      <c r="N6" s="1997"/>
    </row>
    <row r="7" spans="1:14" x14ac:dyDescent="0.2">
      <c r="A7" s="2451" t="s">
        <v>864</v>
      </c>
      <c r="B7" s="2452"/>
      <c r="C7" s="2452"/>
      <c r="D7" s="2452"/>
      <c r="E7" s="2453"/>
      <c r="F7" s="839"/>
      <c r="G7" s="838"/>
      <c r="H7" s="838"/>
      <c r="I7" s="1923" t="s">
        <v>369</v>
      </c>
      <c r="J7" s="2438">
        <f>COVER!A13</f>
        <v>6016083002</v>
      </c>
      <c r="K7" s="2438"/>
      <c r="L7" s="243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2016</v>
      </c>
      <c r="F9" s="1856"/>
      <c r="G9" s="1856"/>
      <c r="H9" s="1856"/>
      <c r="I9" s="1928" t="s">
        <v>2017</v>
      </c>
      <c r="J9" s="1856"/>
      <c r="K9" s="1856"/>
      <c r="L9" s="1857"/>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54" t="s">
        <v>478</v>
      </c>
      <c r="B11" s="2455"/>
      <c r="C11" s="2456"/>
      <c r="D11" s="1936" t="s">
        <v>866</v>
      </c>
      <c r="E11" s="1936" t="s">
        <v>64</v>
      </c>
      <c r="F11" s="1936" t="s">
        <v>6</v>
      </c>
      <c r="G11" s="1937" t="s">
        <v>2018</v>
      </c>
      <c r="H11" s="1938" t="s">
        <v>155</v>
      </c>
      <c r="I11" s="1936" t="s">
        <v>64</v>
      </c>
      <c r="J11" s="1936" t="s">
        <v>6</v>
      </c>
      <c r="K11" s="1937" t="s">
        <v>1999</v>
      </c>
      <c r="L11" s="1938" t="s">
        <v>155</v>
      </c>
      <c r="M11" s="838"/>
      <c r="N11" s="1997"/>
    </row>
    <row r="12" spans="1:14" x14ac:dyDescent="0.2">
      <c r="A12" s="2002">
        <v>1</v>
      </c>
      <c r="B12" s="1939" t="s">
        <v>813</v>
      </c>
      <c r="C12" s="842"/>
      <c r="D12" s="1940">
        <v>2320</v>
      </c>
      <c r="E12" s="1943">
        <f>'Expenditures 15-22'!K50</f>
        <v>373438</v>
      </c>
      <c r="F12" s="1941"/>
      <c r="G12" s="1967">
        <f>G68</f>
        <v>0</v>
      </c>
      <c r="H12" s="1943">
        <f t="shared" ref="H12:H18" si="0">SUM(E12:G12)</f>
        <v>373438</v>
      </c>
      <c r="I12" s="1942">
        <v>393429</v>
      </c>
      <c r="J12" s="1941"/>
      <c r="K12" s="1942"/>
      <c r="L12" s="1943">
        <f t="shared" ref="L12:L18" si="1">SUM(I12:K12)</f>
        <v>393429</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311438</v>
      </c>
      <c r="F14" s="1941"/>
      <c r="G14" s="1967">
        <f>I68</f>
        <v>0</v>
      </c>
      <c r="H14" s="1943">
        <f t="shared" si="0"/>
        <v>311438</v>
      </c>
      <c r="I14" s="1942">
        <v>214933</v>
      </c>
      <c r="J14" s="1941"/>
      <c r="K14" s="1942"/>
      <c r="L14" s="1943">
        <f t="shared" si="1"/>
        <v>214933</v>
      </c>
      <c r="M14" s="838"/>
      <c r="N14" s="1997"/>
    </row>
    <row r="15" spans="1:14" x14ac:dyDescent="0.2">
      <c r="A15" s="2002">
        <v>4</v>
      </c>
      <c r="B15" s="1939" t="s">
        <v>1059</v>
      </c>
      <c r="C15" s="842"/>
      <c r="D15" s="1940">
        <v>2510</v>
      </c>
      <c r="E15" s="1943">
        <f>'Expenditures 15-22'!K59</f>
        <v>180392</v>
      </c>
      <c r="F15" s="1943">
        <f>'Expenditures 15-22'!K122</f>
        <v>0</v>
      </c>
      <c r="G15" s="1967">
        <f>J68</f>
        <v>0</v>
      </c>
      <c r="H15" s="1943">
        <f t="shared" si="0"/>
        <v>180392</v>
      </c>
      <c r="I15" s="1942">
        <v>187692</v>
      </c>
      <c r="J15" s="1942"/>
      <c r="K15" s="1942"/>
      <c r="L15" s="1943">
        <f t="shared" si="1"/>
        <v>187692</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57" t="s">
        <v>7</v>
      </c>
      <c r="C18" s="2458"/>
      <c r="D18" s="2459"/>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865268</v>
      </c>
      <c r="F19" s="1949">
        <f t="shared" si="2"/>
        <v>0</v>
      </c>
      <c r="G19" s="1949">
        <f t="shared" ref="G19" si="3">SUM(G12:G17)-G18</f>
        <v>0</v>
      </c>
      <c r="H19" s="1949">
        <f t="shared" si="2"/>
        <v>865268</v>
      </c>
      <c r="I19" s="1949">
        <f t="shared" si="2"/>
        <v>796054</v>
      </c>
      <c r="J19" s="1949">
        <f t="shared" si="2"/>
        <v>0</v>
      </c>
      <c r="K19" s="1949">
        <f t="shared" si="2"/>
        <v>0</v>
      </c>
      <c r="L19" s="1949">
        <f t="shared" si="2"/>
        <v>796054</v>
      </c>
      <c r="M19" s="838"/>
      <c r="N19" s="1997"/>
    </row>
    <row r="20" spans="1:14" ht="13.5" thickTop="1" x14ac:dyDescent="0.2">
      <c r="A20" s="2002">
        <v>9</v>
      </c>
      <c r="B20" s="2460" t="s">
        <v>2019</v>
      </c>
      <c r="C20" s="2460"/>
      <c r="D20" s="2461"/>
      <c r="E20" s="1950"/>
      <c r="F20" s="1950"/>
      <c r="G20" s="1950"/>
      <c r="H20" s="1950"/>
      <c r="I20" s="1950"/>
      <c r="J20" s="1950"/>
      <c r="K20" s="1950"/>
      <c r="L20" s="1951">
        <f>IF(AND(H19&gt;0,L19&gt;0),(((L19-H19)/H19)),"Enter Budget Data")</f>
        <v>-7.9991401507972099E-2</v>
      </c>
      <c r="M20" s="838"/>
      <c r="N20" s="1997"/>
    </row>
    <row r="21" spans="1:14" x14ac:dyDescent="0.2">
      <c r="A21" s="2004" t="s">
        <v>194</v>
      </c>
      <c r="B21" s="2005" t="s">
        <v>2044</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2020</v>
      </c>
      <c r="B24" s="2009"/>
      <c r="C24" s="2010"/>
      <c r="D24" s="2010"/>
      <c r="E24" s="2010"/>
      <c r="F24" s="2010"/>
      <c r="G24" s="2010"/>
      <c r="H24" s="2010"/>
      <c r="I24" s="2010"/>
      <c r="J24" s="2010"/>
      <c r="K24" s="2010"/>
      <c r="L24" s="838"/>
      <c r="M24" s="838"/>
      <c r="N24" s="1997"/>
    </row>
    <row r="25" spans="1:14" x14ac:dyDescent="0.2">
      <c r="A25" s="2008" t="s">
        <v>2021</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62"/>
      <c r="D27" s="2462"/>
      <c r="E27" s="843"/>
      <c r="F27" s="2463"/>
      <c r="G27" s="2463"/>
      <c r="H27" s="2463"/>
      <c r="I27" s="838"/>
      <c r="J27" s="838"/>
      <c r="K27" s="838"/>
      <c r="L27" s="838"/>
      <c r="M27" s="838"/>
      <c r="N27" s="1997"/>
    </row>
    <row r="28" spans="1:14" x14ac:dyDescent="0.2">
      <c r="A28" s="1996"/>
      <c r="B28" s="2006"/>
      <c r="C28" s="1956" t="s">
        <v>1026</v>
      </c>
      <c r="D28" s="844"/>
      <c r="E28" s="1957"/>
      <c r="F28" s="2464" t="s">
        <v>1492</v>
      </c>
      <c r="G28" s="2464"/>
      <c r="H28" s="2464"/>
      <c r="I28" s="838"/>
      <c r="J28" s="838"/>
      <c r="K28" s="838"/>
      <c r="L28" s="838"/>
      <c r="M28" s="838"/>
      <c r="N28" s="1997"/>
    </row>
    <row r="29" spans="1:14" x14ac:dyDescent="0.2">
      <c r="A29" s="1996"/>
      <c r="B29" s="2006"/>
      <c r="C29" s="2465"/>
      <c r="D29" s="2465"/>
      <c r="E29" s="845"/>
      <c r="F29" s="2465"/>
      <c r="G29" s="2465"/>
      <c r="H29" s="2465"/>
      <c r="I29" s="838"/>
      <c r="J29" s="838"/>
      <c r="K29" s="838"/>
      <c r="L29" s="838"/>
      <c r="M29" s="838"/>
      <c r="N29" s="1997"/>
    </row>
    <row r="30" spans="1:14" x14ac:dyDescent="0.2">
      <c r="A30" s="1996"/>
      <c r="B30" s="2006"/>
      <c r="C30" s="1959" t="s">
        <v>1544</v>
      </c>
      <c r="D30" s="838"/>
      <c r="E30" s="1958"/>
      <c r="F30" s="2449" t="s">
        <v>1493</v>
      </c>
      <c r="G30" s="2449"/>
      <c r="H30" s="244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26" t="s">
        <v>2022</v>
      </c>
      <c r="D34" s="2427"/>
      <c r="E34" s="2427"/>
      <c r="F34" s="2427"/>
      <c r="G34" s="2427"/>
      <c r="H34" s="2427"/>
      <c r="I34" s="2427"/>
      <c r="J34" s="2427"/>
      <c r="K34" s="2015"/>
      <c r="L34" s="838"/>
      <c r="M34" s="838"/>
      <c r="N34" s="1997"/>
    </row>
    <row r="35" spans="1:14" x14ac:dyDescent="0.2">
      <c r="A35" s="1996"/>
      <c r="B35" s="838"/>
      <c r="C35" s="2427"/>
      <c r="D35" s="2427"/>
      <c r="E35" s="2427"/>
      <c r="F35" s="2427"/>
      <c r="G35" s="2427"/>
      <c r="H35" s="2427"/>
      <c r="I35" s="2427"/>
      <c r="J35" s="242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26" t="s">
        <v>2023</v>
      </c>
      <c r="D37" s="2427"/>
      <c r="E37" s="2427"/>
      <c r="F37" s="2427"/>
      <c r="G37" s="2427"/>
      <c r="H37" s="2427"/>
      <c r="I37" s="2427"/>
      <c r="J37" s="2427"/>
      <c r="K37" s="2015"/>
      <c r="L37" s="2017"/>
      <c r="M37" s="838"/>
      <c r="N37" s="1997"/>
    </row>
    <row r="38" spans="1:14" x14ac:dyDescent="0.2">
      <c r="A38" s="1996"/>
      <c r="B38" s="838"/>
      <c r="C38" s="2427"/>
      <c r="D38" s="2427"/>
      <c r="E38" s="2427"/>
      <c r="F38" s="2427"/>
      <c r="G38" s="2427"/>
      <c r="H38" s="2427"/>
      <c r="I38" s="2427"/>
      <c r="J38" s="242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28" t="s">
        <v>2024</v>
      </c>
      <c r="D40" s="2429"/>
      <c r="E40" s="2429"/>
      <c r="F40" s="2429"/>
      <c r="G40" s="2429"/>
      <c r="H40" s="2429"/>
      <c r="I40" s="2429"/>
      <c r="J40" s="242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30" t="s">
        <v>2025</v>
      </c>
      <c r="B43" s="2431"/>
      <c r="C43" s="2431"/>
      <c r="D43" s="2431"/>
      <c r="E43" s="2431"/>
      <c r="F43" s="2431"/>
      <c r="G43" s="2431"/>
      <c r="H43" s="2431"/>
      <c r="I43" s="2431"/>
      <c r="J43" s="2431"/>
      <c r="K43" s="2431"/>
      <c r="L43" s="2431"/>
      <c r="M43" s="2431"/>
      <c r="N43" s="243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2026</v>
      </c>
      <c r="B45" s="1982"/>
      <c r="C45" s="1982"/>
      <c r="D45" s="1982"/>
      <c r="E45" s="1982"/>
      <c r="F45" s="1982"/>
      <c r="G45" s="1982"/>
      <c r="H45" s="1982"/>
      <c r="I45" s="1982"/>
      <c r="J45" s="1982"/>
      <c r="K45" s="1982"/>
      <c r="L45" s="1982"/>
      <c r="M45" s="1982"/>
      <c r="N45" s="1983"/>
    </row>
    <row r="46" spans="1:14" x14ac:dyDescent="0.2">
      <c r="A46" s="2433" t="s">
        <v>2027</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2043</v>
      </c>
      <c r="B49" s="2023"/>
      <c r="C49" s="2023"/>
      <c r="D49" s="2024"/>
      <c r="E49" s="2024"/>
      <c r="F49" s="2024"/>
      <c r="G49" s="2024"/>
      <c r="H49" s="2024"/>
      <c r="I49" s="2024"/>
      <c r="J49" s="2024"/>
      <c r="K49" s="2024"/>
      <c r="L49" s="2024"/>
      <c r="M49" s="2024"/>
      <c r="N49" s="2025"/>
    </row>
    <row r="50" spans="1:14" ht="15" x14ac:dyDescent="0.25">
      <c r="A50" s="2027" t="s">
        <v>2042</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36" t="str">
        <f>J6</f>
        <v xml:space="preserve"> Mannheim SD 83</v>
      </c>
      <c r="M52" s="2436"/>
      <c r="N52" s="2437"/>
    </row>
    <row r="53" spans="1:14" x14ac:dyDescent="0.2">
      <c r="A53" s="1981"/>
      <c r="B53" s="1982"/>
      <c r="C53" s="1982"/>
      <c r="D53" s="1982"/>
      <c r="E53" s="1982"/>
      <c r="F53" s="1982"/>
      <c r="G53" s="1982"/>
      <c r="H53" s="1982"/>
      <c r="I53" s="1982"/>
      <c r="J53" s="1982"/>
      <c r="K53" s="1923" t="s">
        <v>369</v>
      </c>
      <c r="L53" s="2438">
        <f>J7</f>
        <v>6016083002</v>
      </c>
      <c r="M53" s="2438"/>
      <c r="N53" s="243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40"/>
      <c r="B55" s="2441"/>
      <c r="C55" s="2441"/>
      <c r="D55" s="1969"/>
      <c r="E55" s="1969"/>
      <c r="F55" s="1969"/>
      <c r="G55" s="2442" t="s">
        <v>2028</v>
      </c>
      <c r="H55" s="2442"/>
      <c r="I55" s="2442"/>
      <c r="J55" s="2442"/>
      <c r="K55" s="2442"/>
      <c r="L55" s="2442"/>
      <c r="M55" s="2442"/>
      <c r="N55" s="2443"/>
    </row>
    <row r="56" spans="1:14" ht="63.75" x14ac:dyDescent="0.2">
      <c r="A56" s="2444" t="s">
        <v>2029</v>
      </c>
      <c r="B56" s="2445"/>
      <c r="C56" s="2446"/>
      <c r="D56" s="1963" t="s">
        <v>2030</v>
      </c>
      <c r="E56" s="1963" t="s">
        <v>2031</v>
      </c>
      <c r="F56" s="1970"/>
      <c r="G56" s="1963" t="s">
        <v>2032</v>
      </c>
      <c r="H56" s="1963" t="s">
        <v>2033</v>
      </c>
      <c r="I56" s="1963" t="s">
        <v>2034</v>
      </c>
      <c r="J56" s="1963" t="s">
        <v>2035</v>
      </c>
      <c r="K56" s="1963" t="s">
        <v>2036</v>
      </c>
      <c r="L56" s="1963" t="s">
        <v>2037</v>
      </c>
      <c r="M56" s="1963" t="s">
        <v>2038</v>
      </c>
      <c r="N56" s="1964" t="s">
        <v>2045</v>
      </c>
    </row>
    <row r="57" spans="1:14" ht="24.75" customHeight="1" x14ac:dyDescent="0.2">
      <c r="A57" s="2447" t="s">
        <v>296</v>
      </c>
      <c r="B57" s="2448"/>
      <c r="C57" s="244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24" t="s">
        <v>2039</v>
      </c>
      <c r="B58" s="2425"/>
      <c r="C58" s="2425"/>
      <c r="D58" s="1966">
        <v>2362</v>
      </c>
      <c r="E58" s="1976">
        <f>'Expenditures 15-22'!K320</f>
        <v>129897</v>
      </c>
      <c r="F58" s="1971"/>
      <c r="G58" s="2030"/>
      <c r="H58" s="2031"/>
      <c r="I58" s="2031"/>
      <c r="J58" s="2031"/>
      <c r="K58" s="2031"/>
      <c r="L58" s="2031"/>
      <c r="M58" s="2031">
        <v>129897</v>
      </c>
      <c r="N58" s="1974">
        <f>IF((SUM(G58:M58))=E58,SUM(G58:M58),"Column N does not agree with Column E")</f>
        <v>129897</v>
      </c>
    </row>
    <row r="59" spans="1:14" ht="24.75" customHeight="1" x14ac:dyDescent="0.2">
      <c r="A59" s="2418" t="s">
        <v>297</v>
      </c>
      <c r="B59" s="2419"/>
      <c r="C59" s="2419"/>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18" t="s">
        <v>236</v>
      </c>
      <c r="B60" s="2419"/>
      <c r="C60" s="2419"/>
      <c r="D60" s="1966">
        <v>2364</v>
      </c>
      <c r="E60" s="1976">
        <f>'Expenditures 15-22'!K322</f>
        <v>88980</v>
      </c>
      <c r="F60" s="1971"/>
      <c r="G60" s="2030"/>
      <c r="H60" s="2031"/>
      <c r="I60" s="2031"/>
      <c r="J60" s="2031"/>
      <c r="K60" s="2031"/>
      <c r="L60" s="2031"/>
      <c r="M60" s="2031">
        <v>88980</v>
      </c>
      <c r="N60" s="1974">
        <f t="shared" ref="N60:N67" si="4">IF((SUM(G60:M60))=E60,SUM(G60:M60),"Column N does not agree with Column E")</f>
        <v>88980</v>
      </c>
    </row>
    <row r="61" spans="1:14" ht="24.75" customHeight="1" x14ac:dyDescent="0.2">
      <c r="A61" s="2418" t="s">
        <v>697</v>
      </c>
      <c r="B61" s="2419"/>
      <c r="C61" s="2419"/>
      <c r="D61" s="1966">
        <v>2365</v>
      </c>
      <c r="E61" s="1976">
        <f>'Expenditures 15-22'!K323</f>
        <v>0</v>
      </c>
      <c r="F61" s="1971"/>
      <c r="G61" s="2030"/>
      <c r="H61" s="2031"/>
      <c r="I61" s="2031"/>
      <c r="J61" s="2031"/>
      <c r="K61" s="2031"/>
      <c r="L61" s="2031"/>
      <c r="M61" s="2031"/>
      <c r="N61" s="1974">
        <f t="shared" si="4"/>
        <v>0</v>
      </c>
    </row>
    <row r="62" spans="1:14" ht="24" customHeight="1" x14ac:dyDescent="0.2">
      <c r="A62" s="2418" t="s">
        <v>237</v>
      </c>
      <c r="B62" s="2419"/>
      <c r="C62" s="2419"/>
      <c r="D62" s="1966">
        <v>2366</v>
      </c>
      <c r="E62" s="1976">
        <f>'Expenditures 15-22'!K324</f>
        <v>0</v>
      </c>
      <c r="F62" s="1971"/>
      <c r="G62" s="2030"/>
      <c r="H62" s="2031"/>
      <c r="I62" s="2031"/>
      <c r="J62" s="2031"/>
      <c r="K62" s="2031"/>
      <c r="L62" s="2031"/>
      <c r="M62" s="2031"/>
      <c r="N62" s="1974">
        <f t="shared" si="4"/>
        <v>0</v>
      </c>
    </row>
    <row r="63" spans="1:14" ht="24" customHeight="1" x14ac:dyDescent="0.2">
      <c r="A63" s="2424" t="s">
        <v>1022</v>
      </c>
      <c r="B63" s="2425"/>
      <c r="C63" s="2425"/>
      <c r="D63" s="1966">
        <v>2367</v>
      </c>
      <c r="E63" s="1976">
        <f>'Expenditures 15-22'!K325</f>
        <v>0</v>
      </c>
      <c r="F63" s="1971"/>
      <c r="G63" s="2030"/>
      <c r="H63" s="2031"/>
      <c r="I63" s="2031"/>
      <c r="J63" s="2031"/>
      <c r="K63" s="2031"/>
      <c r="L63" s="2031"/>
      <c r="M63" s="2031"/>
      <c r="N63" s="1974">
        <f t="shared" si="4"/>
        <v>0</v>
      </c>
    </row>
    <row r="64" spans="1:14" ht="24" customHeight="1" x14ac:dyDescent="0.2">
      <c r="A64" s="2418" t="s">
        <v>1023</v>
      </c>
      <c r="B64" s="2419"/>
      <c r="C64" s="2419"/>
      <c r="D64" s="1966">
        <v>2368</v>
      </c>
      <c r="E64" s="1976">
        <f>'Expenditures 15-22'!K326</f>
        <v>0</v>
      </c>
      <c r="F64" s="1971"/>
      <c r="G64" s="2030"/>
      <c r="H64" s="2031"/>
      <c r="I64" s="2031"/>
      <c r="J64" s="2031"/>
      <c r="K64" s="2031"/>
      <c r="L64" s="2031"/>
      <c r="M64" s="2031"/>
      <c r="N64" s="1974">
        <f t="shared" si="4"/>
        <v>0</v>
      </c>
    </row>
    <row r="65" spans="1:14" ht="24" customHeight="1" x14ac:dyDescent="0.2">
      <c r="A65" s="2418" t="s">
        <v>965</v>
      </c>
      <c r="B65" s="2419"/>
      <c r="C65" s="2419"/>
      <c r="D65" s="1966">
        <v>2369</v>
      </c>
      <c r="E65" s="1976">
        <f>'Expenditures 15-22'!K327</f>
        <v>0</v>
      </c>
      <c r="F65" s="1971"/>
      <c r="G65" s="2030"/>
      <c r="H65" s="2031"/>
      <c r="I65" s="2031"/>
      <c r="J65" s="2031"/>
      <c r="K65" s="2031"/>
      <c r="L65" s="2031"/>
      <c r="M65" s="2031"/>
      <c r="N65" s="1974">
        <f t="shared" si="4"/>
        <v>0</v>
      </c>
    </row>
    <row r="66" spans="1:14" ht="24" customHeight="1" x14ac:dyDescent="0.2">
      <c r="A66" s="2418" t="s">
        <v>469</v>
      </c>
      <c r="B66" s="2419"/>
      <c r="C66" s="2419"/>
      <c r="D66" s="1966">
        <v>2371</v>
      </c>
      <c r="E66" s="1976">
        <f>'Expenditures 15-22'!K328</f>
        <v>32700</v>
      </c>
      <c r="F66" s="1971"/>
      <c r="G66" s="2030"/>
      <c r="H66" s="2031"/>
      <c r="I66" s="2031"/>
      <c r="J66" s="2031"/>
      <c r="K66" s="2031"/>
      <c r="L66" s="2031"/>
      <c r="M66" s="2031">
        <v>32700</v>
      </c>
      <c r="N66" s="1974">
        <f t="shared" si="4"/>
        <v>32700</v>
      </c>
    </row>
    <row r="67" spans="1:14" ht="24.75" customHeight="1" x14ac:dyDescent="0.2">
      <c r="A67" s="2420" t="s">
        <v>2040</v>
      </c>
      <c r="B67" s="2421"/>
      <c r="C67" s="2421"/>
      <c r="D67" s="1968">
        <v>2372</v>
      </c>
      <c r="E67" s="1977">
        <f>'Expenditures 15-22'!K329</f>
        <v>7697</v>
      </c>
      <c r="F67" s="1971"/>
      <c r="G67" s="2032"/>
      <c r="H67" s="2033"/>
      <c r="I67" s="2033"/>
      <c r="J67" s="2033"/>
      <c r="K67" s="2033"/>
      <c r="L67" s="2033"/>
      <c r="M67" s="2033">
        <v>7697</v>
      </c>
      <c r="N67" s="1974">
        <f t="shared" si="4"/>
        <v>7697</v>
      </c>
    </row>
    <row r="68" spans="1:14" x14ac:dyDescent="0.2">
      <c r="A68" s="2422" t="s">
        <v>1151</v>
      </c>
      <c r="B68" s="2423"/>
      <c r="C68" s="2423"/>
      <c r="D68" s="1969"/>
      <c r="E68" s="1973">
        <f>SUM(E57:E67)</f>
        <v>259274</v>
      </c>
      <c r="F68" s="1972"/>
      <c r="G68" s="1973">
        <f t="shared" ref="G68:N68" si="5">SUM(G57:G67)</f>
        <v>0</v>
      </c>
      <c r="H68" s="1973">
        <f t="shared" si="5"/>
        <v>0</v>
      </c>
      <c r="I68" s="1973">
        <f t="shared" si="5"/>
        <v>0</v>
      </c>
      <c r="J68" s="1973">
        <f t="shared" si="5"/>
        <v>0</v>
      </c>
      <c r="K68" s="1973">
        <f t="shared" si="5"/>
        <v>0</v>
      </c>
      <c r="L68" s="1973">
        <f t="shared" si="5"/>
        <v>0</v>
      </c>
      <c r="M68" s="1973">
        <f t="shared" si="5"/>
        <v>259274</v>
      </c>
      <c r="N68" s="1987">
        <f t="shared" si="5"/>
        <v>259274</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2041</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38" sqref="H38"/>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Mannheim SD 83</v>
      </c>
    </row>
    <row r="65" spans="2:2" x14ac:dyDescent="0.2">
      <c r="B65" s="849">
        <f>COVER!A13</f>
        <v>6016083002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10" r:id="rId4">
          <objectPr defaultSize="0" r:id="rId5">
            <anchor moveWithCells="1">
              <from>
                <xdr:col>1</xdr:col>
                <xdr:colOff>0</xdr:colOff>
                <xdr:row>3</xdr:row>
                <xdr:rowOff>0</xdr:rowOff>
              </from>
              <to>
                <xdr:col>1</xdr:col>
                <xdr:colOff>876300</xdr:colOff>
                <xdr:row>6</xdr:row>
                <xdr:rowOff>28575</xdr:rowOff>
              </to>
            </anchor>
          </objectPr>
        </oleObject>
      </mc:Choice>
      <mc:Fallback>
        <oleObject progId="Packager Shell Object" dvAspect="DVASPECT_ICON"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1970</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1670</v>
      </c>
      <c r="B6" s="2484"/>
      <c r="C6" s="2484"/>
      <c r="D6" s="2484"/>
      <c r="E6" s="2484"/>
      <c r="F6" s="2485"/>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2">
        <f>'Acct Summary 7-8'!C8</f>
        <v>43595102</v>
      </c>
      <c r="C8" s="1812">
        <f>'Acct Summary 7-8'!D8</f>
        <v>7472839</v>
      </c>
      <c r="D8" s="1812">
        <f>'Acct Summary 7-8'!F8</f>
        <v>1577868</v>
      </c>
      <c r="E8" s="1812">
        <f>'Acct Summary 7-8'!I8</f>
        <v>143379</v>
      </c>
      <c r="F8" s="1812">
        <f>SUM(B8:E8)</f>
        <v>52789188</v>
      </c>
    </row>
    <row r="9" spans="1:8" s="858" customFormat="1" ht="14.25" customHeight="1" thickBot="1" x14ac:dyDescent="0.25">
      <c r="A9" s="857" t="s">
        <v>1353</v>
      </c>
      <c r="B9" s="1813">
        <f>'Acct Summary 7-8'!C17</f>
        <v>37792270</v>
      </c>
      <c r="C9" s="1813">
        <f>'Acct Summary 7-8'!D17</f>
        <v>5653883</v>
      </c>
      <c r="D9" s="1813">
        <f>'Acct Summary 7-8'!F17</f>
        <v>2125539</v>
      </c>
      <c r="E9" s="1812"/>
      <c r="F9" s="1812">
        <f>SUM(B9:E9)</f>
        <v>45571692</v>
      </c>
    </row>
    <row r="10" spans="1:8" s="858" customFormat="1" ht="14.25" thickTop="1" thickBot="1" x14ac:dyDescent="0.25">
      <c r="A10" s="859" t="s">
        <v>1354</v>
      </c>
      <c r="B10" s="1814">
        <f>(B8-B9)</f>
        <v>5802832</v>
      </c>
      <c r="C10" s="1814">
        <f>(C8-C9)</f>
        <v>1818956</v>
      </c>
      <c r="D10" s="1814">
        <f>(D8-D9)</f>
        <v>-547671</v>
      </c>
      <c r="E10" s="1813">
        <f>(E8-E9)</f>
        <v>143379</v>
      </c>
      <c r="F10" s="1815">
        <f>SUM(F8-F9)</f>
        <v>7217496</v>
      </c>
    </row>
    <row r="11" spans="1:8" s="858" customFormat="1" ht="14.25" thickTop="1" thickBot="1" x14ac:dyDescent="0.25">
      <c r="A11" s="860" t="s">
        <v>1901</v>
      </c>
      <c r="B11" s="1816">
        <f>'Acct Summary 7-8'!C81</f>
        <v>44170629</v>
      </c>
      <c r="C11" s="1816">
        <f>'Acct Summary 7-8'!D81</f>
        <v>6743885</v>
      </c>
      <c r="D11" s="1816">
        <f>'Acct Summary 7-8'!F81</f>
        <v>12612195</v>
      </c>
      <c r="E11" s="1816">
        <f>'Acct Summary 7-8'!I81</f>
        <v>2219575</v>
      </c>
      <c r="F11" s="1817">
        <f>SUM(B11:E11)</f>
        <v>65746284</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1666</v>
      </c>
      <c r="B16" s="2470"/>
      <c r="C16" s="2470"/>
      <c r="D16" s="2470"/>
      <c r="E16" s="2470"/>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C58" sqref="C5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492" t="s">
        <v>660</v>
      </c>
      <c r="B3" s="2493"/>
      <c r="C3" s="2493"/>
      <c r="D3" s="2494"/>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3" t="s">
        <v>1487</v>
      </c>
      <c r="D7" s="2504"/>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7" t="s">
        <v>311</v>
      </c>
      <c r="D21" s="2508"/>
    </row>
    <row r="22" spans="1:10" ht="12.75" x14ac:dyDescent="0.2">
      <c r="A22" s="918"/>
      <c r="B22" s="919">
        <v>2</v>
      </c>
      <c r="C22" s="2505" t="s">
        <v>1507</v>
      </c>
      <c r="D22" s="2506"/>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9" t="s">
        <v>533</v>
      </c>
      <c r="D43" s="2510"/>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1" t="s">
        <v>779</v>
      </c>
      <c r="D56" s="2502"/>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01" t="s">
        <v>1674</v>
      </c>
      <c r="D70" s="2502"/>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900"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1965</v>
      </c>
      <c r="F1" s="1542" t="s">
        <v>1966</v>
      </c>
      <c r="G1" s="1899" t="s">
        <v>1976</v>
      </c>
    </row>
    <row r="2" spans="1:7" ht="15.75" x14ac:dyDescent="0.25">
      <c r="A2" t="s">
        <v>260</v>
      </c>
      <c r="B2" s="135">
        <f>COVER!A13</f>
        <v>6016083002</v>
      </c>
      <c r="E2" s="1541">
        <v>2020</v>
      </c>
      <c r="F2" s="1541">
        <v>1</v>
      </c>
      <c r="G2" s="1898">
        <v>101000300</v>
      </c>
    </row>
    <row r="3" spans="1:7" ht="15" x14ac:dyDescent="0.25">
      <c r="A3" t="s">
        <v>950</v>
      </c>
      <c r="B3" s="135" t="str">
        <f>COVER!A15</f>
        <v>COOK</v>
      </c>
      <c r="E3" s="1829" t="s">
        <v>1969</v>
      </c>
      <c r="F3" s="1829" t="s">
        <v>1968</v>
      </c>
      <c r="G3" s="1898">
        <v>101000400</v>
      </c>
    </row>
    <row r="4" spans="1:7" ht="15" x14ac:dyDescent="0.25">
      <c r="A4" t="s">
        <v>1000</v>
      </c>
      <c r="B4" s="135" t="str">
        <f>COVER!A17</f>
        <v xml:space="preserve"> Mannheim SD 83</v>
      </c>
      <c r="E4" s="1827">
        <v>44119</v>
      </c>
      <c r="F4" s="1828">
        <v>44151</v>
      </c>
      <c r="G4" s="1898">
        <v>101000600</v>
      </c>
    </row>
    <row r="5" spans="1:7" ht="15" x14ac:dyDescent="0.25">
      <c r="A5" t="s">
        <v>699</v>
      </c>
      <c r="B5" s="135">
        <f>COVER!A38</f>
        <v>0</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 xml:space="preserve">ACCRUAL </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Yes</v>
      </c>
      <c r="G12" s="1898">
        <v>202100600</v>
      </c>
    </row>
    <row r="13" spans="1:7" ht="15" x14ac:dyDescent="0.25">
      <c r="A13" s="1" t="s">
        <v>1527</v>
      </c>
      <c r="B13" s="135" t="str">
        <f>IF(COVER!J30="x","Yes",IF(COVER!L30="x","No",0))</f>
        <v>Yes</v>
      </c>
      <c r="G13" s="1898">
        <v>202100800</v>
      </c>
    </row>
    <row r="14" spans="1:7" ht="15" x14ac:dyDescent="0.25">
      <c r="A14" t="s">
        <v>473</v>
      </c>
      <c r="B14" s="135" t="str">
        <f>IF(COVER!J31="x","Yes",IF(COVER!L31="x","No",0))</f>
        <v>No</v>
      </c>
      <c r="G14" s="1898">
        <v>402100300</v>
      </c>
    </row>
    <row r="15" spans="1:7" ht="15" x14ac:dyDescent="0.25">
      <c r="A15" t="s">
        <v>573</v>
      </c>
      <c r="B15" s="135" t="str">
        <f>COVER!T23</f>
        <v>066-003289</v>
      </c>
      <c r="G15" s="1898">
        <v>402100400</v>
      </c>
    </row>
    <row r="16" spans="1:7" ht="15" x14ac:dyDescent="0.25">
      <c r="A16" t="s">
        <v>419</v>
      </c>
      <c r="B16" s="135" t="str">
        <f>COVER!T13</f>
        <v>EVOY, KAMSCHULTE, JACOBS &amp; CO. LLP</v>
      </c>
      <c r="G16" s="1898">
        <v>402100600</v>
      </c>
    </row>
    <row r="17" spans="1:7" ht="15" x14ac:dyDescent="0.25">
      <c r="A17" t="s">
        <v>878</v>
      </c>
      <c r="B17" s="135" t="str">
        <f>COVER!T15</f>
        <v>JAMES HENRY, CPA</v>
      </c>
      <c r="G17" s="1898">
        <v>402100800</v>
      </c>
    </row>
    <row r="18" spans="1:7" ht="15" x14ac:dyDescent="0.25">
      <c r="A18" t="s">
        <v>1140</v>
      </c>
      <c r="B18" s="135" t="str">
        <f>COVER!T17</f>
        <v>2122 YEOMAN STREET</v>
      </c>
      <c r="G18" s="1898">
        <v>102200300</v>
      </c>
    </row>
    <row r="19" spans="1:7" ht="15" x14ac:dyDescent="0.25">
      <c r="A19" t="s">
        <v>880</v>
      </c>
      <c r="B19" s="135" t="str">
        <f>COVER!T25</f>
        <v>JHENRY@EKJLLP.COM</v>
      </c>
      <c r="G19" s="1898">
        <v>102200400</v>
      </c>
    </row>
    <row r="20" spans="1:7" ht="15" x14ac:dyDescent="0.25">
      <c r="A20" t="s">
        <v>881</v>
      </c>
      <c r="B20" s="135" t="str">
        <f>COVER!T19</f>
        <v>WAUKEGAN</v>
      </c>
      <c r="G20" s="1898">
        <v>102200600</v>
      </c>
    </row>
    <row r="21" spans="1:7" ht="15" x14ac:dyDescent="0.25">
      <c r="A21" t="s">
        <v>476</v>
      </c>
      <c r="B21" s="135" t="str">
        <f>COVER!X19</f>
        <v>IL</v>
      </c>
      <c r="G21" s="1898">
        <v>102200800</v>
      </c>
    </row>
    <row r="22" spans="1:7" ht="15" x14ac:dyDescent="0.25">
      <c r="A22" t="s">
        <v>882</v>
      </c>
      <c r="B22" s="135">
        <f>COVER!Z19</f>
        <v>60087</v>
      </c>
      <c r="G22" s="1898">
        <v>102300300</v>
      </c>
    </row>
    <row r="23" spans="1:7" ht="15" x14ac:dyDescent="0.25">
      <c r="A23" t="s">
        <v>1142</v>
      </c>
      <c r="B23" s="135" t="str">
        <f>COVER!T21</f>
        <v>847-662-8300</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Yes</v>
      </c>
      <c r="G49" s="1898">
        <v>102540800</v>
      </c>
    </row>
    <row r="50" spans="1:7" ht="15" x14ac:dyDescent="0.25">
      <c r="A50" s="1" t="s">
        <v>1463</v>
      </c>
      <c r="B50" s="146">
        <f>'Aud Quest 2'!H53</f>
        <v>34700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17392124</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61850684</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17392124</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17680055</v>
      </c>
      <c r="C91" s="2" t="s">
        <v>569</v>
      </c>
      <c r="D91" s="2" t="str">
        <f t="shared" si="0"/>
        <v>Error?</v>
      </c>
      <c r="G91" s="1898">
        <v>102640400</v>
      </c>
    </row>
    <row r="92" spans="1:7" ht="15" x14ac:dyDescent="0.25">
      <c r="A92" s="5">
        <v>31</v>
      </c>
      <c r="B92" s="1831">
        <f>'Assets-Liab 5-6'!C39</f>
        <v>44170629</v>
      </c>
      <c r="D92" s="2" t="str">
        <f t="shared" si="0"/>
        <v>Error?</v>
      </c>
      <c r="G92" s="1898">
        <v>102640600</v>
      </c>
    </row>
    <row r="93" spans="1:7" ht="15" x14ac:dyDescent="0.25">
      <c r="A93" s="5">
        <v>32</v>
      </c>
      <c r="B93" s="1831">
        <f>'Assets-Liab 5-6'!C41</f>
        <v>61850684</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2059472</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8803357</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2059472</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2059472</v>
      </c>
      <c r="C122" s="2" t="s">
        <v>569</v>
      </c>
      <c r="D122" s="2" t="str">
        <f t="shared" si="0"/>
        <v>Error?</v>
      </c>
      <c r="G122" s="1898">
        <v>203000300</v>
      </c>
    </row>
    <row r="123" spans="1:7" ht="15" x14ac:dyDescent="0.25">
      <c r="A123" s="5">
        <v>62</v>
      </c>
      <c r="B123" s="1831">
        <f>'Assets-Liab 5-6'!D39</f>
        <v>6743885</v>
      </c>
      <c r="D123" s="2" t="str">
        <f t="shared" si="0"/>
        <v>Error?</v>
      </c>
      <c r="G123" s="1898">
        <v>203000400</v>
      </c>
    </row>
    <row r="124" spans="1:7" ht="15" x14ac:dyDescent="0.25">
      <c r="A124" s="5">
        <v>63</v>
      </c>
      <c r="B124" s="1831">
        <f>'Assets-Liab 5-6'!D41</f>
        <v>8803357</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1135077</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3404317</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1135077</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1135077</v>
      </c>
      <c r="C139" s="2" t="s">
        <v>569</v>
      </c>
      <c r="D139" s="2" t="str">
        <f t="shared" si="1"/>
        <v>Error?</v>
      </c>
    </row>
    <row r="140" spans="1:7" x14ac:dyDescent="0.2">
      <c r="A140" s="5">
        <v>79</v>
      </c>
      <c r="B140" s="1831">
        <f>'Assets-Liab 5-6'!E39</f>
        <v>2269240</v>
      </c>
      <c r="D140" s="2" t="str">
        <f t="shared" si="1"/>
        <v>Error?</v>
      </c>
    </row>
    <row r="141" spans="1:7" x14ac:dyDescent="0.2">
      <c r="A141" s="5">
        <v>80</v>
      </c>
      <c r="B141" s="1831">
        <f>'Assets-Liab 5-6'!E41</f>
        <v>3404317</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151498</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12764223</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151498</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152028</v>
      </c>
      <c r="C169" s="2" t="s">
        <v>569</v>
      </c>
      <c r="D169" s="2" t="str">
        <f t="shared" si="1"/>
        <v>Error?</v>
      </c>
    </row>
    <row r="170" spans="1:4" x14ac:dyDescent="0.2">
      <c r="A170" s="5">
        <v>109</v>
      </c>
      <c r="B170" s="1831">
        <f>'Assets-Liab 5-6'!F39</f>
        <v>12612195</v>
      </c>
      <c r="D170" s="2" t="str">
        <f t="shared" si="1"/>
        <v>Error?</v>
      </c>
    </row>
    <row r="171" spans="1:4" x14ac:dyDescent="0.2">
      <c r="A171" s="5">
        <v>110</v>
      </c>
      <c r="B171" s="1831">
        <f>'Assets-Liab 5-6'!F41</f>
        <v>12764223</v>
      </c>
      <c r="C171" s="2" t="s">
        <v>569</v>
      </c>
      <c r="D171" s="2" t="str">
        <f t="shared" si="1"/>
        <v>Error?</v>
      </c>
    </row>
    <row r="172" spans="1:4" x14ac:dyDescent="0.2">
      <c r="A172" s="10">
        <v>111</v>
      </c>
      <c r="B172" s="1831"/>
      <c r="D172" s="2" t="str">
        <f t="shared" si="1"/>
        <v>OK</v>
      </c>
    </row>
    <row r="173" spans="1:4" x14ac:dyDescent="0.2">
      <c r="A173" s="5">
        <v>112</v>
      </c>
      <c r="B173" s="1831">
        <f>'Assets-Liab 5-6'!G6</f>
        <v>260816</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3309905</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260816</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260816</v>
      </c>
      <c r="C188" s="2" t="s">
        <v>569</v>
      </c>
      <c r="D188" s="2" t="str">
        <f t="shared" si="1"/>
        <v>Error?</v>
      </c>
    </row>
    <row r="189" spans="1:4" x14ac:dyDescent="0.2">
      <c r="A189" s="5">
        <v>128</v>
      </c>
      <c r="B189" s="1831">
        <f>'Assets-Liab 5-6'!G39</f>
        <v>3049089</v>
      </c>
      <c r="D189" s="2" t="str">
        <f t="shared" si="1"/>
        <v>Error?</v>
      </c>
    </row>
    <row r="190" spans="1:4" x14ac:dyDescent="0.2">
      <c r="A190" s="5">
        <v>129</v>
      </c>
      <c r="B190" s="1831">
        <f>'Assets-Liab 5-6'!G41</f>
        <v>3309905</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323860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323860</v>
      </c>
      <c r="D212" s="2" t="str">
        <f t="shared" si="2"/>
        <v>Error?</v>
      </c>
    </row>
    <row r="213" spans="1:4" x14ac:dyDescent="0.2">
      <c r="A213" s="12">
        <v>152</v>
      </c>
      <c r="B213" s="1831">
        <f>'Assets-Liab 5-6'!H41</f>
        <v>323860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5203303</v>
      </c>
      <c r="D273" s="2" t="str">
        <f t="shared" si="3"/>
        <v>Error?</v>
      </c>
    </row>
    <row r="274" spans="1:4" x14ac:dyDescent="0.2">
      <c r="A274" s="5">
        <v>213</v>
      </c>
      <c r="B274" s="1831">
        <f>'Assets-Liab 5-6'!M17</f>
        <v>74599943</v>
      </c>
      <c r="D274" s="2" t="str">
        <f t="shared" si="3"/>
        <v>Error?</v>
      </c>
    </row>
    <row r="275" spans="1:4" x14ac:dyDescent="0.2">
      <c r="A275" s="5">
        <v>214</v>
      </c>
      <c r="B275" s="1831">
        <f>'Assets-Liab 5-6'!M18</f>
        <v>2344208</v>
      </c>
      <c r="D275" s="2" t="str">
        <f t="shared" si="3"/>
        <v>Error?</v>
      </c>
    </row>
    <row r="276" spans="1:4" x14ac:dyDescent="0.2">
      <c r="A276" s="5">
        <v>215</v>
      </c>
      <c r="B276" s="1831">
        <f>'Assets-Liab 5-6'!M19</f>
        <v>3587005</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88825912</v>
      </c>
      <c r="C279" s="2" t="s">
        <v>569</v>
      </c>
      <c r="D279" s="2" t="str">
        <f t="shared" si="3"/>
        <v>Error?</v>
      </c>
    </row>
    <row r="280" spans="1:4" x14ac:dyDescent="0.2">
      <c r="A280" s="5">
        <v>219</v>
      </c>
      <c r="B280" s="1831">
        <f>'Assets-Liab 5-6'!M40</f>
        <v>88825912</v>
      </c>
      <c r="D280" s="2" t="str">
        <f t="shared" si="3"/>
        <v>Error?</v>
      </c>
    </row>
    <row r="281" spans="1:4" x14ac:dyDescent="0.2">
      <c r="A281" s="5">
        <v>220</v>
      </c>
      <c r="B281" s="1831">
        <f>'Assets-Liab 5-6'!M41</f>
        <v>88825912</v>
      </c>
      <c r="C281" s="2" t="s">
        <v>569</v>
      </c>
      <c r="D281" s="2" t="str">
        <f t="shared" si="3"/>
        <v>Error?</v>
      </c>
    </row>
    <row r="282" spans="1:4" x14ac:dyDescent="0.2">
      <c r="A282" s="5">
        <v>221</v>
      </c>
      <c r="B282" s="1831">
        <f>'Assets-Liab 5-6'!N21</f>
        <v>2269240</v>
      </c>
      <c r="D282" s="2" t="str">
        <f t="shared" si="3"/>
        <v>Error?</v>
      </c>
    </row>
    <row r="283" spans="1:4" x14ac:dyDescent="0.2">
      <c r="A283" s="5">
        <v>222</v>
      </c>
      <c r="B283" s="1831">
        <f>'Assets-Liab 5-6'!N22</f>
        <v>31755760</v>
      </c>
      <c r="D283" s="2" t="str">
        <f t="shared" si="3"/>
        <v>Error?</v>
      </c>
    </row>
    <row r="284" spans="1:4" x14ac:dyDescent="0.2">
      <c r="A284" s="5">
        <v>223</v>
      </c>
      <c r="B284" s="1831">
        <f>'Assets-Liab 5-6'!N23</f>
        <v>34025000</v>
      </c>
      <c r="C284" s="2" t="s">
        <v>569</v>
      </c>
      <c r="D284" s="2" t="str">
        <f t="shared" si="3"/>
        <v>Error?</v>
      </c>
    </row>
    <row r="285" spans="1:4" x14ac:dyDescent="0.2">
      <c r="A285" s="5">
        <v>224</v>
      </c>
      <c r="B285" s="1831">
        <f>'Assets-Liab 5-6'!N36</f>
        <v>34025000</v>
      </c>
      <c r="D285" s="2" t="str">
        <f t="shared" si="3"/>
        <v>Error?</v>
      </c>
    </row>
    <row r="286" spans="1:4" x14ac:dyDescent="0.2">
      <c r="A286" s="10">
        <v>225</v>
      </c>
      <c r="B286" s="1831"/>
      <c r="D286" s="2" t="str">
        <f t="shared" si="3"/>
        <v>OK</v>
      </c>
    </row>
    <row r="287" spans="1:4" x14ac:dyDescent="0.2">
      <c r="A287" s="5">
        <v>226</v>
      </c>
      <c r="B287" s="1831">
        <f>'Assets-Liab 5-6'!N37</f>
        <v>34025000</v>
      </c>
      <c r="C287" s="2" t="s">
        <v>569</v>
      </c>
      <c r="D287" s="2" t="str">
        <f t="shared" si="3"/>
        <v>Error?</v>
      </c>
    </row>
    <row r="288" spans="1:4" x14ac:dyDescent="0.2">
      <c r="A288" s="5">
        <v>227</v>
      </c>
      <c r="B288" s="1831">
        <f>'Assets-Liab 5-6'!N41</f>
        <v>34025000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10193494</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2491332</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234585</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17771099</v>
      </c>
      <c r="C720" s="2" t="s">
        <v>569</v>
      </c>
      <c r="D720" s="2" t="str">
        <f t="shared" si="10"/>
        <v>Error?</v>
      </c>
    </row>
    <row r="721" spans="1:4" x14ac:dyDescent="0.2">
      <c r="A721" s="5">
        <v>660</v>
      </c>
      <c r="B721" s="1831">
        <f>'Expenditures 15-22'!C36</f>
        <v>469933</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175803</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531779</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1177515</v>
      </c>
      <c r="C727" s="2" t="s">
        <v>569</v>
      </c>
      <c r="D727" s="2" t="str">
        <f t="shared" si="10"/>
        <v>Error?</v>
      </c>
    </row>
    <row r="728" spans="1:4" x14ac:dyDescent="0.2">
      <c r="A728" s="5">
        <v>667</v>
      </c>
      <c r="B728" s="1831">
        <f>'Expenditures 15-22'!C44</f>
        <v>151427</v>
      </c>
      <c r="D728" s="2" t="str">
        <f t="shared" si="10"/>
        <v>Error?</v>
      </c>
    </row>
    <row r="729" spans="1:4" x14ac:dyDescent="0.2">
      <c r="A729" s="5">
        <v>668</v>
      </c>
      <c r="B729" s="1831">
        <f>'Expenditures 15-22'!C45</f>
        <v>1236791</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1388218</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298251</v>
      </c>
      <c r="D733" s="2" t="str">
        <f t="shared" si="10"/>
        <v>Error?</v>
      </c>
    </row>
    <row r="734" spans="1:4" x14ac:dyDescent="0.2">
      <c r="A734" s="5">
        <v>673</v>
      </c>
      <c r="B734" s="1831">
        <f>'Expenditures 15-22'!C53</f>
        <v>298251</v>
      </c>
      <c r="C734" s="2" t="s">
        <v>569</v>
      </c>
      <c r="D734" s="2" t="str">
        <f t="shared" si="10"/>
        <v>Error?</v>
      </c>
    </row>
    <row r="735" spans="1:4" x14ac:dyDescent="0.2">
      <c r="A735" s="5">
        <v>674</v>
      </c>
      <c r="B735" s="1831">
        <f>'Expenditures 15-22'!C55</f>
        <v>1533851</v>
      </c>
      <c r="D735" s="2" t="str">
        <f t="shared" si="10"/>
        <v>Error?</v>
      </c>
    </row>
    <row r="736" spans="1:4" x14ac:dyDescent="0.2">
      <c r="A736" s="5">
        <v>675</v>
      </c>
      <c r="B736" s="1831">
        <f>'Expenditures 15-22'!C56</f>
        <v>246497</v>
      </c>
      <c r="D736" s="2" t="str">
        <f t="shared" si="10"/>
        <v>Error?</v>
      </c>
    </row>
    <row r="737" spans="1:4" x14ac:dyDescent="0.2">
      <c r="A737" s="5">
        <v>676</v>
      </c>
      <c r="B737" s="1831">
        <f>'Expenditures 15-22'!C57</f>
        <v>1780348</v>
      </c>
      <c r="C737" s="2" t="s">
        <v>569</v>
      </c>
      <c r="D737" s="2" t="str">
        <f t="shared" si="10"/>
        <v>Error?</v>
      </c>
    </row>
    <row r="738" spans="1:4" x14ac:dyDescent="0.2">
      <c r="A738" s="5">
        <v>677</v>
      </c>
      <c r="B738" s="1831">
        <f>'Expenditures 15-22'!C59</f>
        <v>136448</v>
      </c>
      <c r="D738" s="2" t="str">
        <f t="shared" si="10"/>
        <v>Error?</v>
      </c>
    </row>
    <row r="739" spans="1:4" x14ac:dyDescent="0.2">
      <c r="A739" s="5">
        <v>678</v>
      </c>
      <c r="B739" s="1831">
        <f>'Expenditures 15-22'!C60</f>
        <v>312369</v>
      </c>
      <c r="D739" s="2" t="str">
        <f t="shared" si="10"/>
        <v>Error?</v>
      </c>
    </row>
    <row r="740" spans="1:4" x14ac:dyDescent="0.2">
      <c r="A740" s="5">
        <v>679</v>
      </c>
      <c r="B740" s="1831">
        <f>'Expenditures 15-22'!C61</f>
        <v>1362784</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392209</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2203810</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124648</v>
      </c>
      <c r="D751" s="2" t="str">
        <f t="shared" si="10"/>
        <v>Error?</v>
      </c>
    </row>
    <row r="752" spans="1:4" x14ac:dyDescent="0.2">
      <c r="A752" s="10">
        <v>691</v>
      </c>
      <c r="B752" s="1831"/>
      <c r="D752" s="2" t="str">
        <f t="shared" si="10"/>
        <v>OK</v>
      </c>
    </row>
    <row r="753" spans="1:4" x14ac:dyDescent="0.2">
      <c r="A753" s="5">
        <v>692</v>
      </c>
      <c r="B753" s="1831">
        <f>'Expenditures 15-22'!C72</f>
        <v>124648</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6972790</v>
      </c>
      <c r="C755" s="2" t="s">
        <v>569</v>
      </c>
      <c r="D755" s="2" t="str">
        <f t="shared" si="10"/>
        <v>Error?</v>
      </c>
    </row>
    <row r="756" spans="1:4" x14ac:dyDescent="0.2">
      <c r="A756" s="5">
        <v>695</v>
      </c>
      <c r="B756" s="1831">
        <f>'Expenditures 15-22'!C75</f>
        <v>12109</v>
      </c>
      <c r="D756" s="2" t="str">
        <f t="shared" si="10"/>
        <v>Error?</v>
      </c>
    </row>
    <row r="757" spans="1:4" x14ac:dyDescent="0.2">
      <c r="A757" s="5">
        <v>696</v>
      </c>
      <c r="B757" s="1831">
        <f>'Expenditures 15-22'!C114</f>
        <v>24755998</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2339374</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603364</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3285</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4386285</v>
      </c>
      <c r="C778" s="2" t="s">
        <v>569</v>
      </c>
      <c r="D778" s="2" t="str">
        <f t="shared" si="11"/>
        <v>Error?</v>
      </c>
    </row>
    <row r="779" spans="1:4" x14ac:dyDescent="0.2">
      <c r="A779" s="5">
        <v>718</v>
      </c>
      <c r="B779" s="1831">
        <f>'Expenditures 15-22'!D36</f>
        <v>97170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76028</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117995</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291193</v>
      </c>
      <c r="C785" s="2" t="s">
        <v>569</v>
      </c>
      <c r="D785" s="2" t="str">
        <f t="shared" si="11"/>
        <v>Error?</v>
      </c>
    </row>
    <row r="786" spans="1:4" x14ac:dyDescent="0.2">
      <c r="A786" s="5">
        <v>725</v>
      </c>
      <c r="B786" s="1831">
        <f>'Expenditures 15-22'!D44</f>
        <v>58114</v>
      </c>
      <c r="D786" s="2" t="str">
        <f t="shared" si="11"/>
        <v>Error?</v>
      </c>
    </row>
    <row r="787" spans="1:4" x14ac:dyDescent="0.2">
      <c r="A787" s="5">
        <v>726</v>
      </c>
      <c r="B787" s="1831">
        <f>'Expenditures 15-22'!D45</f>
        <v>333973</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392087</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50623</v>
      </c>
      <c r="D791" s="2" t="str">
        <f t="shared" si="11"/>
        <v>Error?</v>
      </c>
    </row>
    <row r="792" spans="1:4" x14ac:dyDescent="0.2">
      <c r="A792" s="5">
        <v>731</v>
      </c>
      <c r="B792" s="1831">
        <f>'Expenditures 15-22'!D53</f>
        <v>50623</v>
      </c>
      <c r="C792" s="2" t="s">
        <v>569</v>
      </c>
      <c r="D792" s="2" t="str">
        <f t="shared" si="11"/>
        <v>Error?</v>
      </c>
    </row>
    <row r="793" spans="1:4" x14ac:dyDescent="0.2">
      <c r="A793" s="5">
        <v>732</v>
      </c>
      <c r="B793" s="1831">
        <f>'Expenditures 15-22'!D55</f>
        <v>478719</v>
      </c>
      <c r="D793" s="2" t="str">
        <f t="shared" si="11"/>
        <v>Error?</v>
      </c>
    </row>
    <row r="794" spans="1:4" x14ac:dyDescent="0.2">
      <c r="A794" s="5">
        <v>733</v>
      </c>
      <c r="B794" s="1831">
        <f>'Expenditures 15-22'!D56</f>
        <v>63755</v>
      </c>
      <c r="D794" s="2" t="str">
        <f t="shared" si="11"/>
        <v>Error?</v>
      </c>
    </row>
    <row r="795" spans="1:4" x14ac:dyDescent="0.2">
      <c r="A795" s="5">
        <v>734</v>
      </c>
      <c r="B795" s="1831">
        <f>'Expenditures 15-22'!D57</f>
        <v>542474</v>
      </c>
      <c r="C795" s="2" t="s">
        <v>569</v>
      </c>
      <c r="D795" s="2" t="str">
        <f t="shared" si="11"/>
        <v>Error?</v>
      </c>
    </row>
    <row r="796" spans="1:4" x14ac:dyDescent="0.2">
      <c r="A796" s="5">
        <v>735</v>
      </c>
      <c r="B796" s="1831">
        <f>'Expenditures 15-22'!D59</f>
        <v>41805</v>
      </c>
      <c r="D796" s="2" t="str">
        <f t="shared" si="11"/>
        <v>Error?</v>
      </c>
    </row>
    <row r="797" spans="1:4" x14ac:dyDescent="0.2">
      <c r="A797" s="5">
        <v>736</v>
      </c>
      <c r="B797" s="1831">
        <f>'Expenditures 15-22'!D60</f>
        <v>59673</v>
      </c>
      <c r="D797" s="2" t="str">
        <f t="shared" si="11"/>
        <v>Error?</v>
      </c>
    </row>
    <row r="798" spans="1:4" x14ac:dyDescent="0.2">
      <c r="A798" s="5">
        <v>737</v>
      </c>
      <c r="B798" s="1831">
        <f>'Expenditures 15-22'!D61</f>
        <v>372577</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23495</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497550</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17231</v>
      </c>
      <c r="D809" s="2" t="str">
        <f t="shared" si="11"/>
        <v>Error?</v>
      </c>
    </row>
    <row r="810" spans="1:4" x14ac:dyDescent="0.2">
      <c r="A810" s="10">
        <v>749</v>
      </c>
      <c r="B810" s="1831"/>
      <c r="D810" s="2" t="str">
        <f t="shared" si="11"/>
        <v>OK</v>
      </c>
    </row>
    <row r="811" spans="1:4" x14ac:dyDescent="0.2">
      <c r="A811" s="5">
        <v>750</v>
      </c>
      <c r="B811" s="1831">
        <f>'Expenditures 15-22'!D72</f>
        <v>17231</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1791158</v>
      </c>
      <c r="C813" s="2" t="s">
        <v>569</v>
      </c>
      <c r="D813" s="2" t="str">
        <f t="shared" si="11"/>
        <v>Error?</v>
      </c>
    </row>
    <row r="814" spans="1:4" x14ac:dyDescent="0.2">
      <c r="A814" s="5">
        <v>753</v>
      </c>
      <c r="B814" s="1831">
        <f>'Expenditures 15-22'!D75</f>
        <v>4555</v>
      </c>
      <c r="D814" s="2" t="str">
        <f t="shared" si="11"/>
        <v>Error?</v>
      </c>
    </row>
    <row r="815" spans="1:4" x14ac:dyDescent="0.2">
      <c r="A815" s="5">
        <v>754</v>
      </c>
      <c r="B815" s="1831">
        <f>'Expenditures 15-22'!D114</f>
        <v>6181998</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591915</v>
      </c>
      <c r="D821" s="2" t="str">
        <f t="shared" si="11"/>
        <v>Error?</v>
      </c>
    </row>
    <row r="822" spans="1:4" x14ac:dyDescent="0.2">
      <c r="A822" s="5">
        <v>761</v>
      </c>
      <c r="B822" s="1831">
        <f>'Expenditures 15-22'!E16</f>
        <v>21420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913</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1175</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696963</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26495</v>
      </c>
      <c r="D839" s="2" t="str">
        <f t="shared" si="12"/>
        <v>Error?</v>
      </c>
    </row>
    <row r="840" spans="1:4" x14ac:dyDescent="0.2">
      <c r="A840" s="5">
        <v>779</v>
      </c>
      <c r="B840" s="1831">
        <f>'Expenditures 15-22'!E39</f>
        <v>18600</v>
      </c>
      <c r="D840" s="2" t="str">
        <f t="shared" si="12"/>
        <v>Error?</v>
      </c>
    </row>
    <row r="841" spans="1:4" x14ac:dyDescent="0.2">
      <c r="A841" s="5">
        <v>780</v>
      </c>
      <c r="B841" s="1831">
        <f>'Expenditures 15-22'!E40</f>
        <v>133759</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178854</v>
      </c>
      <c r="C843" s="2" t="s">
        <v>569</v>
      </c>
      <c r="D843" s="2" t="str">
        <f t="shared" si="12"/>
        <v>Error?</v>
      </c>
    </row>
    <row r="844" spans="1:4" x14ac:dyDescent="0.2">
      <c r="A844" s="5">
        <v>783</v>
      </c>
      <c r="B844" s="1831">
        <f>'Expenditures 15-22'!E44</f>
        <v>289176</v>
      </c>
      <c r="D844" s="2" t="str">
        <f t="shared" si="12"/>
        <v>Error?</v>
      </c>
    </row>
    <row r="845" spans="1:4" x14ac:dyDescent="0.2">
      <c r="A845" s="5">
        <v>784</v>
      </c>
      <c r="B845" s="1831">
        <f>'Expenditures 15-22'!E45</f>
        <v>265807</v>
      </c>
      <c r="D845" s="2" t="str">
        <f t="shared" si="12"/>
        <v>Error?</v>
      </c>
    </row>
    <row r="846" spans="1:4" x14ac:dyDescent="0.2">
      <c r="A846" s="5">
        <v>785</v>
      </c>
      <c r="B846" s="1831">
        <f>'Expenditures 15-22'!E46</f>
        <v>52061</v>
      </c>
      <c r="D846" s="2" t="str">
        <f t="shared" si="12"/>
        <v>Error?</v>
      </c>
    </row>
    <row r="847" spans="1:4" x14ac:dyDescent="0.2">
      <c r="A847" s="5">
        <v>786</v>
      </c>
      <c r="B847" s="1831">
        <f>'Expenditures 15-22'!E47</f>
        <v>607044</v>
      </c>
      <c r="C847" s="2" t="s">
        <v>569</v>
      </c>
      <c r="D847" s="2" t="str">
        <f t="shared" si="12"/>
        <v>Error?</v>
      </c>
    </row>
    <row r="848" spans="1:4" x14ac:dyDescent="0.2">
      <c r="A848" s="5">
        <v>787</v>
      </c>
      <c r="B848" s="1831">
        <f>'Expenditures 15-22'!E49</f>
        <v>133937</v>
      </c>
      <c r="D848" s="2" t="str">
        <f t="shared" si="12"/>
        <v>Error?</v>
      </c>
    </row>
    <row r="849" spans="1:4" x14ac:dyDescent="0.2">
      <c r="A849" s="5">
        <v>788</v>
      </c>
      <c r="B849" s="1831">
        <f>'Expenditures 15-22'!E50</f>
        <v>7681</v>
      </c>
      <c r="D849" s="2" t="str">
        <f t="shared" si="12"/>
        <v>Error?</v>
      </c>
    </row>
    <row r="850" spans="1:4" x14ac:dyDescent="0.2">
      <c r="A850" s="5">
        <v>789</v>
      </c>
      <c r="B850" s="1831">
        <f>'Expenditures 15-22'!E53</f>
        <v>232212</v>
      </c>
      <c r="C850" s="2" t="s">
        <v>569</v>
      </c>
      <c r="D850" s="2" t="str">
        <f t="shared" si="12"/>
        <v>Error?</v>
      </c>
    </row>
    <row r="851" spans="1:4" x14ac:dyDescent="0.2">
      <c r="A851" s="5">
        <v>790</v>
      </c>
      <c r="B851" s="1831">
        <f>'Expenditures 15-22'!E55</f>
        <v>10273</v>
      </c>
      <c r="D851" s="2" t="str">
        <f t="shared" si="12"/>
        <v>Error?</v>
      </c>
    </row>
    <row r="852" spans="1:4" x14ac:dyDescent="0.2">
      <c r="A852" s="5">
        <v>791</v>
      </c>
      <c r="B852" s="1831">
        <f>'Expenditures 15-22'!E56</f>
        <v>625</v>
      </c>
      <c r="D852" s="2" t="str">
        <f t="shared" si="12"/>
        <v>Error?</v>
      </c>
    </row>
    <row r="853" spans="1:4" x14ac:dyDescent="0.2">
      <c r="A853" s="5">
        <v>792</v>
      </c>
      <c r="B853" s="1831">
        <f>'Expenditures 15-22'!E57</f>
        <v>10898</v>
      </c>
      <c r="C853" s="2" t="s">
        <v>569</v>
      </c>
      <c r="D853" s="2" t="str">
        <f t="shared" si="12"/>
        <v>Error?</v>
      </c>
    </row>
    <row r="854" spans="1:4" x14ac:dyDescent="0.2">
      <c r="A854" s="5">
        <v>793</v>
      </c>
      <c r="B854" s="1831">
        <f>'Expenditures 15-22'!E59</f>
        <v>917</v>
      </c>
      <c r="D854" s="2" t="str">
        <f t="shared" si="12"/>
        <v>Error?</v>
      </c>
    </row>
    <row r="855" spans="1:4" x14ac:dyDescent="0.2">
      <c r="A855" s="5">
        <v>794</v>
      </c>
      <c r="B855" s="1831">
        <f>'Expenditures 15-22'!E60</f>
        <v>96281</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942795</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1039993</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20591</v>
      </c>
      <c r="D865" s="2" t="str">
        <f t="shared" si="12"/>
        <v>Error?</v>
      </c>
    </row>
    <row r="866" spans="1:4" x14ac:dyDescent="0.2">
      <c r="A866" s="10">
        <v>805</v>
      </c>
      <c r="B866" s="1831"/>
      <c r="D866" s="2" t="str">
        <f t="shared" si="12"/>
        <v>OK</v>
      </c>
    </row>
    <row r="867" spans="1:4" x14ac:dyDescent="0.2">
      <c r="A867" s="5">
        <v>806</v>
      </c>
      <c r="B867" s="1831">
        <f>'Expenditures 15-22'!E71</f>
        <v>172870</v>
      </c>
      <c r="D867" s="2" t="str">
        <f t="shared" si="12"/>
        <v>Error?</v>
      </c>
    </row>
    <row r="868" spans="1:4" x14ac:dyDescent="0.2">
      <c r="A868" s="10">
        <v>807</v>
      </c>
      <c r="B868" s="1831"/>
      <c r="D868" s="2" t="str">
        <f t="shared" si="12"/>
        <v>OK</v>
      </c>
    </row>
    <row r="869" spans="1:4" x14ac:dyDescent="0.2">
      <c r="A869" s="5">
        <v>808</v>
      </c>
      <c r="B869" s="1831">
        <f>'Expenditures 15-22'!E72</f>
        <v>193461</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2262462</v>
      </c>
      <c r="C871" s="2" t="s">
        <v>569</v>
      </c>
      <c r="D871" s="2" t="str">
        <f t="shared" si="12"/>
        <v>Error?</v>
      </c>
    </row>
    <row r="872" spans="1:4" x14ac:dyDescent="0.2">
      <c r="A872" s="5">
        <v>811</v>
      </c>
      <c r="B872" s="1831">
        <f>'Expenditures 15-22'!E75</f>
        <v>1194</v>
      </c>
      <c r="D872" s="2" t="str">
        <f t="shared" si="12"/>
        <v>Error?</v>
      </c>
    </row>
    <row r="873" spans="1:4" x14ac:dyDescent="0.2">
      <c r="A873" s="5">
        <v>812</v>
      </c>
      <c r="B873" s="1831">
        <f>'Expenditures 15-22'!E114</f>
        <v>3362016</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479653</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13312</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6038</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563722</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7565</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7565</v>
      </c>
      <c r="C901" s="2" t="s">
        <v>569</v>
      </c>
      <c r="D901" s="2" t="str">
        <f t="shared" si="13"/>
        <v>Error?</v>
      </c>
    </row>
    <row r="902" spans="1:4" x14ac:dyDescent="0.2">
      <c r="A902" s="5">
        <v>841</v>
      </c>
      <c r="B902" s="1831">
        <f>'Expenditures 15-22'!F44</f>
        <v>6746</v>
      </c>
      <c r="D902" s="2" t="str">
        <f t="shared" si="13"/>
        <v>Error?</v>
      </c>
    </row>
    <row r="903" spans="1:4" x14ac:dyDescent="0.2">
      <c r="A903" s="5">
        <v>842</v>
      </c>
      <c r="B903" s="1831">
        <f>'Expenditures 15-22'!F45</f>
        <v>132748</v>
      </c>
      <c r="D903" s="2" t="str">
        <f t="shared" si="13"/>
        <v>Error?</v>
      </c>
    </row>
    <row r="904" spans="1:4" x14ac:dyDescent="0.2">
      <c r="A904" s="5">
        <v>843</v>
      </c>
      <c r="B904" s="1831">
        <f>'Expenditures 15-22'!F46</f>
        <v>2687</v>
      </c>
      <c r="D904" s="2" t="str">
        <f t="shared" si="13"/>
        <v>Error?</v>
      </c>
    </row>
    <row r="905" spans="1:4" x14ac:dyDescent="0.2">
      <c r="A905" s="5">
        <v>844</v>
      </c>
      <c r="B905" s="1831">
        <f>'Expenditures 15-22'!F47</f>
        <v>142181</v>
      </c>
      <c r="C905" s="2" t="s">
        <v>569</v>
      </c>
      <c r="D905" s="2" t="str">
        <f t="shared" si="13"/>
        <v>Error?</v>
      </c>
    </row>
    <row r="906" spans="1:4" x14ac:dyDescent="0.2">
      <c r="A906" s="5">
        <v>845</v>
      </c>
      <c r="B906" s="1831">
        <f>'Expenditures 15-22'!F49</f>
        <v>30270</v>
      </c>
      <c r="D906" s="2" t="str">
        <f t="shared" si="13"/>
        <v>Error?</v>
      </c>
    </row>
    <row r="907" spans="1:4" x14ac:dyDescent="0.2">
      <c r="A907" s="5">
        <v>846</v>
      </c>
      <c r="B907" s="1831">
        <f>'Expenditures 15-22'!F50</f>
        <v>9418</v>
      </c>
      <c r="D907" s="2" t="str">
        <f t="shared" si="13"/>
        <v>Error?</v>
      </c>
    </row>
    <row r="908" spans="1:4" x14ac:dyDescent="0.2">
      <c r="A908" s="5">
        <v>847</v>
      </c>
      <c r="B908" s="1831">
        <f>'Expenditures 15-22'!F53</f>
        <v>39688</v>
      </c>
      <c r="C908" s="2" t="s">
        <v>569</v>
      </c>
      <c r="D908" s="2" t="str">
        <f t="shared" si="13"/>
        <v>Error?</v>
      </c>
    </row>
    <row r="909" spans="1:4" x14ac:dyDescent="0.2">
      <c r="A909" s="5">
        <v>848</v>
      </c>
      <c r="B909" s="1831">
        <f>'Expenditures 15-22'!F55</f>
        <v>4366</v>
      </c>
      <c r="D909" s="2" t="str">
        <f t="shared" si="13"/>
        <v>Error?</v>
      </c>
    </row>
    <row r="910" spans="1:4" x14ac:dyDescent="0.2">
      <c r="A910" s="5">
        <v>849</v>
      </c>
      <c r="B910" s="1831">
        <f>'Expenditures 15-22'!F56</f>
        <v>561</v>
      </c>
      <c r="D910" s="2" t="str">
        <f t="shared" si="13"/>
        <v>Error?</v>
      </c>
    </row>
    <row r="911" spans="1:4" x14ac:dyDescent="0.2">
      <c r="A911" s="5">
        <v>850</v>
      </c>
      <c r="B911" s="1831">
        <f>'Expenditures 15-22'!F57</f>
        <v>4927</v>
      </c>
      <c r="C911" s="2" t="s">
        <v>569</v>
      </c>
      <c r="D911" s="2" t="str">
        <f t="shared" si="13"/>
        <v>Error?</v>
      </c>
    </row>
    <row r="912" spans="1:4" x14ac:dyDescent="0.2">
      <c r="A912" s="5">
        <v>851</v>
      </c>
      <c r="B912" s="1831">
        <f>'Expenditures 15-22'!F59</f>
        <v>137</v>
      </c>
      <c r="D912" s="2" t="str">
        <f t="shared" si="13"/>
        <v>Error?</v>
      </c>
    </row>
    <row r="913" spans="1:4" x14ac:dyDescent="0.2">
      <c r="A913" s="5">
        <v>852</v>
      </c>
      <c r="B913" s="1831">
        <f>'Expenditures 15-22'!F60</f>
        <v>5145</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90461</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95743</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29074</v>
      </c>
      <c r="D923" s="2" t="str">
        <f t="shared" si="13"/>
        <v>Error?</v>
      </c>
    </row>
    <row r="924" spans="1:4" x14ac:dyDescent="0.2">
      <c r="A924" s="10">
        <v>863</v>
      </c>
      <c r="B924" s="1831"/>
      <c r="D924" s="2" t="str">
        <f t="shared" si="13"/>
        <v>OK</v>
      </c>
    </row>
    <row r="925" spans="1:4" x14ac:dyDescent="0.2">
      <c r="A925" s="5">
        <v>864</v>
      </c>
      <c r="B925" s="1831">
        <f>'Expenditures 15-22'!F71</f>
        <v>3360</v>
      </c>
      <c r="D925" s="2" t="str">
        <f t="shared" si="13"/>
        <v>Error?</v>
      </c>
    </row>
    <row r="926" spans="1:4" x14ac:dyDescent="0.2">
      <c r="A926" s="10">
        <v>865</v>
      </c>
      <c r="B926" s="1831"/>
      <c r="D926" s="2" t="str">
        <f t="shared" si="13"/>
        <v>OK</v>
      </c>
    </row>
    <row r="927" spans="1:4" x14ac:dyDescent="0.2">
      <c r="A927" s="5">
        <v>866</v>
      </c>
      <c r="B927" s="1831">
        <f>'Expenditures 15-22'!F72</f>
        <v>32434</v>
      </c>
      <c r="C927" s="2" t="s">
        <v>569</v>
      </c>
      <c r="D927" s="2" t="str">
        <f t="shared" si="13"/>
        <v>Error?</v>
      </c>
    </row>
    <row r="928" spans="1:4" x14ac:dyDescent="0.2">
      <c r="A928" s="5">
        <v>867</v>
      </c>
      <c r="B928" s="1831">
        <f>'Expenditures 15-22'!F73</f>
        <v>6767</v>
      </c>
      <c r="D928" s="2" t="str">
        <f t="shared" si="13"/>
        <v>Error?</v>
      </c>
    </row>
    <row r="929" spans="1:4" x14ac:dyDescent="0.2">
      <c r="A929" s="5">
        <v>868</v>
      </c>
      <c r="B929" s="1831">
        <f>'Expenditures 15-22'!F74</f>
        <v>329305</v>
      </c>
      <c r="C929" s="2" t="s">
        <v>569</v>
      </c>
      <c r="D929" s="2" t="str">
        <f t="shared" si="13"/>
        <v>Error?</v>
      </c>
    </row>
    <row r="930" spans="1:4" x14ac:dyDescent="0.2">
      <c r="A930" s="5">
        <v>869</v>
      </c>
      <c r="B930" s="1831">
        <f>'Expenditures 15-22'!F75</f>
        <v>5861</v>
      </c>
      <c r="D930" s="2" t="str">
        <f t="shared" si="13"/>
        <v>Error?</v>
      </c>
    </row>
    <row r="931" spans="1:4" x14ac:dyDescent="0.2">
      <c r="A931" s="5">
        <v>870</v>
      </c>
      <c r="B931" s="1831">
        <f>'Expenditures 15-22'!F114</f>
        <v>898888</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12258</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16471</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1091829</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1091829</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775</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775</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103012</v>
      </c>
      <c r="D983" s="2" t="str">
        <f t="shared" si="14"/>
        <v>Error?</v>
      </c>
    </row>
    <row r="984" spans="1:4" x14ac:dyDescent="0.2">
      <c r="A984" s="10">
        <v>923</v>
      </c>
      <c r="B984" s="1831"/>
      <c r="D984" s="2" t="str">
        <f t="shared" si="14"/>
        <v>OK</v>
      </c>
    </row>
    <row r="985" spans="1:4" x14ac:dyDescent="0.2">
      <c r="A985" s="5">
        <v>924</v>
      </c>
      <c r="B985" s="1831">
        <f>'Expenditures 15-22'!G72</f>
        <v>103012</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1195616</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1212087</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29</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837827</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8571</v>
      </c>
      <c r="D1022" s="2" t="str">
        <f t="shared" si="14"/>
        <v>Error?</v>
      </c>
    </row>
    <row r="1023" spans="1:4" x14ac:dyDescent="0.2">
      <c r="A1023" s="5">
        <v>962</v>
      </c>
      <c r="B1023" s="1831">
        <f>'Expenditures 15-22'!H50</f>
        <v>7465</v>
      </c>
      <c r="D1023" s="2" t="str">
        <f t="shared" ref="D1023:D1086" si="15">IF(ISBLANK(B1023),"OK",IF(A1023-B1023=0,"OK","Error?"))</f>
        <v>Error?</v>
      </c>
    </row>
    <row r="1024" spans="1:4" x14ac:dyDescent="0.2">
      <c r="A1024" s="5">
        <v>963</v>
      </c>
      <c r="B1024" s="1831">
        <f>'Expenditures 15-22'!H53</f>
        <v>16036</v>
      </c>
      <c r="C1024" s="2" t="s">
        <v>569</v>
      </c>
      <c r="D1024" s="2" t="str">
        <f t="shared" si="15"/>
        <v>Error?</v>
      </c>
    </row>
    <row r="1025" spans="1:4" x14ac:dyDescent="0.2">
      <c r="A1025" s="5">
        <v>964</v>
      </c>
      <c r="B1025" s="1831">
        <f>'Expenditures 15-22'!H55</f>
        <v>3064</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3064</v>
      </c>
      <c r="C1027" s="2" t="s">
        <v>569</v>
      </c>
      <c r="D1027" s="2" t="str">
        <f t="shared" si="15"/>
        <v>Error?</v>
      </c>
    </row>
    <row r="1028" spans="1:4" x14ac:dyDescent="0.2">
      <c r="A1028" s="5">
        <v>967</v>
      </c>
      <c r="B1028" s="1831">
        <f>'Expenditures 15-22'!H59</f>
        <v>1085</v>
      </c>
      <c r="D1028" s="2" t="str">
        <f t="shared" si="15"/>
        <v>Error?</v>
      </c>
    </row>
    <row r="1029" spans="1:4" x14ac:dyDescent="0.2">
      <c r="A1029" s="5">
        <v>968</v>
      </c>
      <c r="B1029" s="1831">
        <f>'Expenditures 15-22'!H60</f>
        <v>1707</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2792</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80</v>
      </c>
      <c r="D1041" s="2" t="str">
        <f t="shared" si="15"/>
        <v>Error?</v>
      </c>
    </row>
    <row r="1042" spans="1:5" x14ac:dyDescent="0.2">
      <c r="A1042" s="10">
        <v>981</v>
      </c>
      <c r="B1042" s="1831"/>
      <c r="D1042" s="2" t="str">
        <f t="shared" si="15"/>
        <v>OK</v>
      </c>
    </row>
    <row r="1043" spans="1:5" x14ac:dyDescent="0.2">
      <c r="A1043" s="5">
        <v>982</v>
      </c>
      <c r="B1043" s="1831">
        <f>'Expenditures 15-22'!H72</f>
        <v>80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21972</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505353</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1365152</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1995</v>
      </c>
      <c r="E1056" s="4" t="s">
        <v>1994</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13618108</v>
      </c>
      <c r="C1093" s="2" t="s">
        <v>569</v>
      </c>
      <c r="D1093" s="2" t="str">
        <f t="shared" si="16"/>
        <v>Error?</v>
      </c>
    </row>
    <row r="1094" spans="1:4" x14ac:dyDescent="0.2">
      <c r="A1094" s="5">
        <v>1033</v>
      </c>
      <c r="B1094" s="1831">
        <f>'Expenditures 15-22'!K16</f>
        <v>21420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3108950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245083</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24275881</v>
      </c>
      <c r="C1108" s="2" t="s">
        <v>569</v>
      </c>
      <c r="D1108" s="2" t="str">
        <f t="shared" si="16"/>
        <v>Error?</v>
      </c>
    </row>
    <row r="1109" spans="1:4" x14ac:dyDescent="0.2">
      <c r="A1109" s="5">
        <v>1048</v>
      </c>
      <c r="B1109" s="1831">
        <f>'Expenditures 15-22'!K36</f>
        <v>567103</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285891</v>
      </c>
      <c r="C1111" s="2" t="s">
        <v>569</v>
      </c>
      <c r="D1111" s="2" t="str">
        <f t="shared" si="16"/>
        <v>Error?</v>
      </c>
    </row>
    <row r="1112" spans="1:4" x14ac:dyDescent="0.2">
      <c r="A1112" s="5">
        <v>1051</v>
      </c>
      <c r="B1112" s="1831">
        <f>'Expenditures 15-22'!K39</f>
        <v>18600</v>
      </c>
      <c r="C1112" s="2" t="s">
        <v>569</v>
      </c>
      <c r="D1112" s="2" t="str">
        <f t="shared" si="16"/>
        <v>Error?</v>
      </c>
    </row>
    <row r="1113" spans="1:4" x14ac:dyDescent="0.2">
      <c r="A1113" s="5">
        <v>1052</v>
      </c>
      <c r="B1113" s="1831">
        <f>'Expenditures 15-22'!K40</f>
        <v>783533</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1655127</v>
      </c>
      <c r="C1115" s="2" t="s">
        <v>569</v>
      </c>
      <c r="D1115" s="2" t="str">
        <f t="shared" si="16"/>
        <v>Error?</v>
      </c>
    </row>
    <row r="1116" spans="1:4" x14ac:dyDescent="0.2">
      <c r="A1116" s="5">
        <v>1055</v>
      </c>
      <c r="B1116" s="1831">
        <f>'Expenditures 15-22'!K44</f>
        <v>505463</v>
      </c>
      <c r="C1116" s="2" t="s">
        <v>569</v>
      </c>
      <c r="D1116" s="2" t="str">
        <f t="shared" si="16"/>
        <v>Error?</v>
      </c>
    </row>
    <row r="1117" spans="1:4" x14ac:dyDescent="0.2">
      <c r="A1117" s="5">
        <v>1056</v>
      </c>
      <c r="B1117" s="1831">
        <f>'Expenditures 15-22'!K45</f>
        <v>3061148</v>
      </c>
      <c r="C1117" s="2" t="s">
        <v>569</v>
      </c>
      <c r="D1117" s="2" t="str">
        <f t="shared" si="16"/>
        <v>Error?</v>
      </c>
    </row>
    <row r="1118" spans="1:4" x14ac:dyDescent="0.2">
      <c r="A1118" s="5">
        <v>1057</v>
      </c>
      <c r="B1118" s="1831">
        <f>'Expenditures 15-22'!K46</f>
        <v>54748</v>
      </c>
      <c r="C1118" s="2" t="s">
        <v>569</v>
      </c>
      <c r="D1118" s="2" t="str">
        <f t="shared" si="16"/>
        <v>Error?</v>
      </c>
    </row>
    <row r="1119" spans="1:4" x14ac:dyDescent="0.2">
      <c r="A1119" s="5">
        <v>1058</v>
      </c>
      <c r="B1119" s="1831">
        <f>'Expenditures 15-22'!K47</f>
        <v>3621359</v>
      </c>
      <c r="C1119" s="2" t="s">
        <v>569</v>
      </c>
      <c r="D1119" s="2" t="str">
        <f t="shared" si="16"/>
        <v>Error?</v>
      </c>
    </row>
    <row r="1120" spans="1:4" x14ac:dyDescent="0.2">
      <c r="A1120" s="5">
        <v>1059</v>
      </c>
      <c r="B1120" s="1831">
        <f>'Expenditures 15-22'!K49</f>
        <v>172778</v>
      </c>
      <c r="C1120" s="2" t="s">
        <v>569</v>
      </c>
      <c r="D1120" s="2" t="str">
        <f t="shared" si="16"/>
        <v>Error?</v>
      </c>
    </row>
    <row r="1121" spans="1:4" x14ac:dyDescent="0.2">
      <c r="A1121" s="5">
        <v>1060</v>
      </c>
      <c r="B1121" s="1831">
        <f>'Expenditures 15-22'!K50</f>
        <v>373438</v>
      </c>
      <c r="C1121" s="2" t="s">
        <v>569</v>
      </c>
      <c r="D1121" s="2" t="str">
        <f t="shared" si="16"/>
        <v>Error?</v>
      </c>
    </row>
    <row r="1122" spans="1:4" x14ac:dyDescent="0.2">
      <c r="A1122" s="5">
        <v>1061</v>
      </c>
      <c r="B1122" s="1831">
        <f>'Expenditures 15-22'!K53</f>
        <v>636810</v>
      </c>
      <c r="C1122" s="2" t="s">
        <v>569</v>
      </c>
      <c r="D1122" s="2" t="str">
        <f t="shared" si="16"/>
        <v>Error?</v>
      </c>
    </row>
    <row r="1123" spans="1:4" x14ac:dyDescent="0.2">
      <c r="A1123" s="5">
        <v>1062</v>
      </c>
      <c r="B1123" s="1831">
        <f>'Expenditures 15-22'!K55</f>
        <v>2030273</v>
      </c>
      <c r="C1123" s="2" t="s">
        <v>569</v>
      </c>
      <c r="D1123" s="2" t="str">
        <f t="shared" si="16"/>
        <v>Error?</v>
      </c>
    </row>
    <row r="1124" spans="1:4" x14ac:dyDescent="0.2">
      <c r="A1124" s="5">
        <v>1063</v>
      </c>
      <c r="B1124" s="1831">
        <f>'Expenditures 15-22'!K56</f>
        <v>311438</v>
      </c>
      <c r="C1124" s="2" t="s">
        <v>569</v>
      </c>
      <c r="D1124" s="2" t="str">
        <f t="shared" si="16"/>
        <v>Error?</v>
      </c>
    </row>
    <row r="1125" spans="1:4" x14ac:dyDescent="0.2">
      <c r="A1125" s="5">
        <v>1064</v>
      </c>
      <c r="B1125" s="1831">
        <f>'Expenditures 15-22'!K57</f>
        <v>2341711</v>
      </c>
      <c r="C1125" s="2" t="s">
        <v>569</v>
      </c>
      <c r="D1125" s="2" t="str">
        <f t="shared" si="16"/>
        <v>Error?</v>
      </c>
    </row>
    <row r="1126" spans="1:4" x14ac:dyDescent="0.2">
      <c r="A1126" s="5">
        <v>1065</v>
      </c>
      <c r="B1126" s="1831">
        <f>'Expenditures 15-22'!K59</f>
        <v>180392</v>
      </c>
      <c r="C1126" s="2" t="s">
        <v>569</v>
      </c>
      <c r="D1126" s="2" t="str">
        <f t="shared" si="16"/>
        <v>Error?</v>
      </c>
    </row>
    <row r="1127" spans="1:4" x14ac:dyDescent="0.2">
      <c r="A1127" s="5">
        <v>1066</v>
      </c>
      <c r="B1127" s="1831">
        <f>'Expenditures 15-22'!K60</f>
        <v>475175</v>
      </c>
      <c r="C1127" s="2" t="s">
        <v>569</v>
      </c>
      <c r="D1127" s="2" t="str">
        <f t="shared" si="16"/>
        <v>Error?</v>
      </c>
    </row>
    <row r="1128" spans="1:4" x14ac:dyDescent="0.2">
      <c r="A1128" s="5">
        <v>1067</v>
      </c>
      <c r="B1128" s="1831">
        <f>'Expenditures 15-22'!K61</f>
        <v>1736136</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1448960</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3840663</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49665</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433818</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483483</v>
      </c>
      <c r="C1141" s="2" t="s">
        <v>569</v>
      </c>
      <c r="D1141" s="2" t="str">
        <f t="shared" si="16"/>
        <v>Error?</v>
      </c>
    </row>
    <row r="1142" spans="1:4" x14ac:dyDescent="0.2">
      <c r="A1142" s="5">
        <v>1081</v>
      </c>
      <c r="B1142" s="1831">
        <f>'Expenditures 15-22'!K73</f>
        <v>6767</v>
      </c>
      <c r="C1142" s="2" t="s">
        <v>569</v>
      </c>
      <c r="D1142" s="2" t="str">
        <f t="shared" si="16"/>
        <v>Error?</v>
      </c>
    </row>
    <row r="1143" spans="1:4" x14ac:dyDescent="0.2">
      <c r="A1143" s="5">
        <v>1082</v>
      </c>
      <c r="B1143" s="1831">
        <f>'Expenditures 15-22'!K74</f>
        <v>12585920</v>
      </c>
      <c r="C1143" s="2" t="s">
        <v>569</v>
      </c>
      <c r="D1143" s="2" t="str">
        <f t="shared" si="16"/>
        <v>Error?</v>
      </c>
    </row>
    <row r="1144" spans="1:4" x14ac:dyDescent="0.2">
      <c r="A1144" s="5">
        <v>1083</v>
      </c>
      <c r="B1144" s="1831">
        <f>'Expenditures 15-22'!K75</f>
        <v>23719</v>
      </c>
      <c r="C1144" s="2" t="s">
        <v>569</v>
      </c>
      <c r="D1144" s="2" t="str">
        <f t="shared" si="16"/>
        <v>Error?</v>
      </c>
    </row>
    <row r="1145" spans="1:4" x14ac:dyDescent="0.2">
      <c r="A1145" s="5">
        <v>1084</v>
      </c>
      <c r="B1145" s="1831">
        <f>'Expenditures 15-22'!K102</f>
        <v>906750</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37792270</v>
      </c>
      <c r="C1152" s="2" t="s">
        <v>569</v>
      </c>
      <c r="D1152" s="2" t="str">
        <f t="shared" si="17"/>
        <v>Error?</v>
      </c>
    </row>
    <row r="1153" spans="1:4" x14ac:dyDescent="0.2">
      <c r="A1153" s="5">
        <v>1092</v>
      </c>
      <c r="B1153" s="1831">
        <f>'Expenditures 15-22'!K115</f>
        <v>5802832</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442942</v>
      </c>
      <c r="D1221" s="2" t="str">
        <f t="shared" si="18"/>
        <v>Error?</v>
      </c>
    </row>
    <row r="1222" spans="1:4" x14ac:dyDescent="0.2">
      <c r="A1222" s="10">
        <v>1161</v>
      </c>
      <c r="B1222" s="1831"/>
      <c r="D1222" s="2" t="str">
        <f t="shared" si="18"/>
        <v>OK</v>
      </c>
    </row>
    <row r="1223" spans="1:4" x14ac:dyDescent="0.2">
      <c r="A1223" s="5">
        <v>1162</v>
      </c>
      <c r="B1223" s="1831">
        <f>'Expenditures 15-22'!C127</f>
        <v>442942</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442942</v>
      </c>
      <c r="C1225" s="2" t="s">
        <v>569</v>
      </c>
      <c r="D1225" s="2" t="str">
        <f t="shared" si="18"/>
        <v>Error?</v>
      </c>
    </row>
    <row r="1226" spans="1:4" x14ac:dyDescent="0.2">
      <c r="A1226" s="5">
        <v>1165</v>
      </c>
      <c r="B1226" s="1831">
        <f>'Expenditures 15-22'!C151</f>
        <v>442942</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71629</v>
      </c>
      <c r="D1229" s="2" t="str">
        <f t="shared" si="18"/>
        <v>Error?</v>
      </c>
    </row>
    <row r="1230" spans="1:4" x14ac:dyDescent="0.2">
      <c r="A1230" s="10">
        <v>1169</v>
      </c>
      <c r="B1230" s="1831"/>
      <c r="D1230" s="2" t="str">
        <f t="shared" si="18"/>
        <v>OK</v>
      </c>
    </row>
    <row r="1231" spans="1:4" x14ac:dyDescent="0.2">
      <c r="A1231" s="5">
        <v>1170</v>
      </c>
      <c r="B1231" s="1831">
        <f>'Expenditures 15-22'!D127</f>
        <v>71629</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71629</v>
      </c>
      <c r="C1233" s="2" t="s">
        <v>569</v>
      </c>
      <c r="D1233" s="2" t="str">
        <f t="shared" si="18"/>
        <v>Error?</v>
      </c>
    </row>
    <row r="1234" spans="1:4" x14ac:dyDescent="0.2">
      <c r="A1234" s="5">
        <v>1173</v>
      </c>
      <c r="B1234" s="1831">
        <f>'Expenditures 15-22'!D151</f>
        <v>71629</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18126</v>
      </c>
      <c r="D1236" s="2" t="str">
        <f t="shared" si="18"/>
        <v>Error?</v>
      </c>
    </row>
    <row r="1237" spans="1:4" x14ac:dyDescent="0.2">
      <c r="A1237" s="5">
        <v>1176</v>
      </c>
      <c r="B1237" s="1831">
        <f>'Expenditures 15-22'!E124</f>
        <v>736354</v>
      </c>
      <c r="D1237" s="2" t="str">
        <f t="shared" si="18"/>
        <v>Error?</v>
      </c>
    </row>
    <row r="1238" spans="1:4" x14ac:dyDescent="0.2">
      <c r="A1238" s="10">
        <v>1177</v>
      </c>
      <c r="B1238" s="1831"/>
      <c r="D1238" s="2" t="str">
        <f t="shared" si="18"/>
        <v>OK</v>
      </c>
    </row>
    <row r="1239" spans="1:4" x14ac:dyDescent="0.2">
      <c r="A1239" s="5">
        <v>1178</v>
      </c>
      <c r="B1239" s="1831">
        <f>'Expenditures 15-22'!E127</f>
        <v>754480</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754480</v>
      </c>
      <c r="C1241" s="2" t="s">
        <v>569</v>
      </c>
      <c r="D1241" s="2" t="str">
        <f t="shared" si="18"/>
        <v>Error?</v>
      </c>
    </row>
    <row r="1242" spans="1:4" x14ac:dyDescent="0.2">
      <c r="A1242" s="5">
        <v>1181</v>
      </c>
      <c r="B1242" s="1831">
        <f>'Expenditures 15-22'!E151</f>
        <v>754480</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933512</v>
      </c>
      <c r="D1245" s="2" t="str">
        <f t="shared" si="18"/>
        <v>Error?</v>
      </c>
    </row>
    <row r="1246" spans="1:4" x14ac:dyDescent="0.2">
      <c r="A1246" s="10">
        <v>1185</v>
      </c>
      <c r="B1246" s="1831"/>
      <c r="D1246" s="2" t="str">
        <f t="shared" si="18"/>
        <v>OK</v>
      </c>
    </row>
    <row r="1247" spans="1:4" x14ac:dyDescent="0.2">
      <c r="A1247" s="5">
        <v>1186</v>
      </c>
      <c r="B1247" s="1831">
        <f>'Expenditures 15-22'!F127</f>
        <v>944711</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944711</v>
      </c>
      <c r="C1249" s="2" t="s">
        <v>569</v>
      </c>
      <c r="D1249" s="2" t="str">
        <f t="shared" si="18"/>
        <v>Error?</v>
      </c>
    </row>
    <row r="1250" spans="1:4" x14ac:dyDescent="0.2">
      <c r="A1250" s="5">
        <v>1189</v>
      </c>
      <c r="B1250" s="1831">
        <f>'Expenditures 15-22'!F151</f>
        <v>944711</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3373617</v>
      </c>
      <c r="D1252" s="2" t="str">
        <f t="shared" si="18"/>
        <v>Error?</v>
      </c>
    </row>
    <row r="1253" spans="1:4" x14ac:dyDescent="0.2">
      <c r="A1253" s="5">
        <v>1192</v>
      </c>
      <c r="B1253" s="1831">
        <f>'Expenditures 15-22'!G124</f>
        <v>57209</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3430826</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3430826</v>
      </c>
      <c r="C1258" s="2" t="s">
        <v>569</v>
      </c>
      <c r="D1258" s="2" t="str">
        <f t="shared" si="18"/>
        <v>Error?</v>
      </c>
    </row>
    <row r="1259" spans="1:4" x14ac:dyDescent="0.2">
      <c r="A1259" s="5">
        <v>1198</v>
      </c>
      <c r="B1259" s="1831">
        <f>'Expenditures 15-22'!G151</f>
        <v>3430826</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9220</v>
      </c>
      <c r="D1261" s="2" t="str">
        <f t="shared" si="18"/>
        <v>Error?</v>
      </c>
    </row>
    <row r="1262" spans="1:4" x14ac:dyDescent="0.2">
      <c r="A1262" s="5">
        <v>1201</v>
      </c>
      <c r="B1262" s="1831">
        <f>'Expenditures 15-22'!H124</f>
        <v>75</v>
      </c>
      <c r="D1262" s="2" t="str">
        <f t="shared" si="18"/>
        <v>Error?</v>
      </c>
    </row>
    <row r="1263" spans="1:4" x14ac:dyDescent="0.2">
      <c r="A1263" s="10">
        <v>1202</v>
      </c>
      <c r="B1263" s="1831"/>
      <c r="D1263" s="2" t="str">
        <f t="shared" si="18"/>
        <v>OK</v>
      </c>
    </row>
    <row r="1264" spans="1:4" x14ac:dyDescent="0.2">
      <c r="A1264" s="5">
        <v>1203</v>
      </c>
      <c r="B1264" s="1831">
        <f>'Expenditures 15-22'!H127</f>
        <v>9295</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9295</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9295</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3400963</v>
      </c>
      <c r="C1275" s="2" t="s">
        <v>569</v>
      </c>
      <c r="D1275" s="2" t="str">
        <f t="shared" si="18"/>
        <v>Error?</v>
      </c>
    </row>
    <row r="1276" spans="1:4" x14ac:dyDescent="0.2">
      <c r="A1276" s="5">
        <v>1215</v>
      </c>
      <c r="B1276" s="1831">
        <f>'Expenditures 15-22'!K124</f>
        <v>2241721</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5653883</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5653883</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5653883</v>
      </c>
      <c r="C1288" s="2" t="s">
        <v>569</v>
      </c>
      <c r="D1288" s="2" t="str">
        <f t="shared" si="19"/>
        <v>Error?</v>
      </c>
    </row>
    <row r="1289" spans="1:4" x14ac:dyDescent="0.2">
      <c r="A1289" s="5">
        <v>1228</v>
      </c>
      <c r="B1289" s="1831">
        <f>'Expenditures 15-22'!K152</f>
        <v>1818956</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1890874</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1870000</v>
      </c>
      <c r="D1315" s="2" t="str">
        <f t="shared" si="19"/>
        <v>Error?</v>
      </c>
    </row>
    <row r="1316" spans="1:4" x14ac:dyDescent="0.2">
      <c r="A1316" s="5">
        <v>1255</v>
      </c>
      <c r="B1316" s="1831">
        <f>'Expenditures 15-22'!H171</f>
        <v>3500</v>
      </c>
      <c r="D1316" s="2" t="str">
        <f t="shared" si="19"/>
        <v>Error?</v>
      </c>
    </row>
    <row r="1317" spans="1:4" x14ac:dyDescent="0.2">
      <c r="A1317" s="5">
        <v>1256</v>
      </c>
      <c r="B1317" s="1831">
        <f>'Expenditures 15-22'!H172</f>
        <v>3764374</v>
      </c>
      <c r="C1317" s="2" t="s">
        <v>569</v>
      </c>
      <c r="D1317" s="2" t="str">
        <f t="shared" si="19"/>
        <v>Error?</v>
      </c>
    </row>
    <row r="1318" spans="1:4" x14ac:dyDescent="0.2">
      <c r="A1318" s="5">
        <v>1257</v>
      </c>
      <c r="B1318" s="1831">
        <f>'Expenditures 15-22'!H174</f>
        <v>3764374</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1890874</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1870000</v>
      </c>
      <c r="C1329" s="2" t="s">
        <v>569</v>
      </c>
      <c r="D1329" s="2" t="str">
        <f t="shared" si="19"/>
        <v>Error?</v>
      </c>
    </row>
    <row r="1330" spans="1:4" x14ac:dyDescent="0.2">
      <c r="A1330" s="5">
        <v>1269</v>
      </c>
      <c r="B1330" s="1831">
        <f>'Expenditures 15-22'!K171</f>
        <v>3500</v>
      </c>
      <c r="C1330" s="2" t="s">
        <v>569</v>
      </c>
      <c r="D1330" s="2" t="str">
        <f t="shared" si="19"/>
        <v>Error?</v>
      </c>
    </row>
    <row r="1331" spans="1:4" x14ac:dyDescent="0.2">
      <c r="A1331" s="5">
        <v>1270</v>
      </c>
      <c r="B1331" s="1831">
        <f>'Expenditures 15-22'!K172</f>
        <v>3764374</v>
      </c>
      <c r="C1331" s="2" t="s">
        <v>569</v>
      </c>
      <c r="D1331" s="2" t="str">
        <f t="shared" si="19"/>
        <v>Error?</v>
      </c>
    </row>
    <row r="1332" spans="1:4" x14ac:dyDescent="0.2">
      <c r="A1332" s="5">
        <v>1271</v>
      </c>
      <c r="B1332" s="1831">
        <f>'Expenditures 15-22'!K174</f>
        <v>3764374</v>
      </c>
      <c r="C1332" s="2" t="s">
        <v>569</v>
      </c>
      <c r="D1332" s="2" t="str">
        <f t="shared" si="19"/>
        <v>Error?</v>
      </c>
    </row>
    <row r="1333" spans="1:4" x14ac:dyDescent="0.2">
      <c r="A1333" s="5">
        <v>1272</v>
      </c>
      <c r="B1333" s="1831">
        <f>'Expenditures 15-22'!K175</f>
        <v>-1649067</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755464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755464</v>
      </c>
      <c r="C1339" s="2" t="s">
        <v>569</v>
      </c>
      <c r="D1339" s="2" t="str">
        <f t="shared" si="19"/>
        <v>Error?</v>
      </c>
    </row>
    <row r="1340" spans="1:4" x14ac:dyDescent="0.2">
      <c r="A1340" s="5">
        <v>1279</v>
      </c>
      <c r="B1340" s="1831">
        <f>'Expenditures 15-22'!C210</f>
        <v>755464</v>
      </c>
      <c r="C1340" s="2" t="s">
        <v>569</v>
      </c>
      <c r="D1340" s="2" t="str">
        <f t="shared" si="19"/>
        <v>Error?</v>
      </c>
    </row>
    <row r="1341" spans="1:4" x14ac:dyDescent="0.2">
      <c r="A1341" s="5">
        <v>1280</v>
      </c>
      <c r="B1341" s="1831">
        <f>'Expenditures 15-22'!D182</f>
        <v>189750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189750</v>
      </c>
      <c r="C1345" s="2" t="s">
        <v>569</v>
      </c>
      <c r="D1345" s="2" t="str">
        <f t="shared" si="20"/>
        <v>Error?</v>
      </c>
    </row>
    <row r="1346" spans="1:4" x14ac:dyDescent="0.2">
      <c r="A1346" s="5">
        <v>1285</v>
      </c>
      <c r="B1346" s="1831">
        <f>'Expenditures 15-22'!D210</f>
        <v>189750</v>
      </c>
      <c r="C1346" s="2" t="s">
        <v>569</v>
      </c>
      <c r="D1346" s="2" t="str">
        <f t="shared" si="20"/>
        <v>Error?</v>
      </c>
    </row>
    <row r="1347" spans="1:4" x14ac:dyDescent="0.2">
      <c r="A1347" s="5">
        <v>1286</v>
      </c>
      <c r="B1347" s="1831">
        <f>'Expenditures 15-22'!E182</f>
        <v>880724</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880724</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880724</v>
      </c>
      <c r="C1353" s="2" t="s">
        <v>569</v>
      </c>
      <c r="D1353" s="2" t="str">
        <f t="shared" si="20"/>
        <v>Error?</v>
      </c>
    </row>
    <row r="1354" spans="1:4" x14ac:dyDescent="0.2">
      <c r="A1354" s="5">
        <v>1293</v>
      </c>
      <c r="B1354" s="1831">
        <f>'Expenditures 15-22'!F182</f>
        <v>83851</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83851</v>
      </c>
      <c r="C1358" s="2" t="s">
        <v>569</v>
      </c>
      <c r="D1358" s="2" t="str">
        <f t="shared" si="20"/>
        <v>Error?</v>
      </c>
    </row>
    <row r="1359" spans="1:4" x14ac:dyDescent="0.2">
      <c r="A1359" s="5">
        <v>1298</v>
      </c>
      <c r="B1359" s="1831">
        <f>'Expenditures 15-22'!F210</f>
        <v>83851</v>
      </c>
      <c r="C1359" s="2" t="s">
        <v>569</v>
      </c>
      <c r="D1359" s="2" t="str">
        <f t="shared" si="20"/>
        <v>Error?</v>
      </c>
    </row>
    <row r="1360" spans="1:4" x14ac:dyDescent="0.2">
      <c r="A1360" s="5">
        <v>1299</v>
      </c>
      <c r="B1360" s="1831">
        <f>'Expenditures 15-22'!G182</f>
        <v>215685</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215685</v>
      </c>
      <c r="C1364" s="2" t="s">
        <v>569</v>
      </c>
      <c r="D1364" s="2" t="str">
        <f t="shared" si="20"/>
        <v>Error?</v>
      </c>
    </row>
    <row r="1365" spans="1:4" x14ac:dyDescent="0.2">
      <c r="A1365" s="5">
        <v>1304</v>
      </c>
      <c r="B1365" s="1831">
        <f>'Expenditures 15-22'!G210</f>
        <v>215685</v>
      </c>
      <c r="C1365" s="2" t="s">
        <v>569</v>
      </c>
      <c r="D1365" s="2" t="str">
        <f t="shared" si="20"/>
        <v>Error?</v>
      </c>
    </row>
    <row r="1366" spans="1:4" x14ac:dyDescent="0.2">
      <c r="A1366" s="5">
        <v>1305</v>
      </c>
      <c r="B1366" s="1831">
        <f>'Expenditures 15-22'!H182</f>
        <v>65</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65</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65</v>
      </c>
      <c r="C1376" s="2" t="s">
        <v>569</v>
      </c>
      <c r="D1376" s="2" t="str">
        <f t="shared" si="20"/>
        <v>Error?</v>
      </c>
    </row>
    <row r="1377" spans="1:4" x14ac:dyDescent="0.2">
      <c r="A1377" s="5">
        <v>1316</v>
      </c>
      <c r="B1377" s="1831">
        <f>'Expenditures 15-22'!K182</f>
        <v>2125539</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2125539</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2125539</v>
      </c>
      <c r="C1388" s="2" t="s">
        <v>569</v>
      </c>
      <c r="D1388" s="2" t="str">
        <f t="shared" si="20"/>
        <v>Error?</v>
      </c>
    </row>
    <row r="1389" spans="1:4" x14ac:dyDescent="0.2">
      <c r="A1389" s="5">
        <v>1328</v>
      </c>
      <c r="B1389" s="1831">
        <f>'Expenditures 15-22'!K211</f>
        <v>-547671</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37179</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5701</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532010</v>
      </c>
      <c r="C1410" s="2" t="s">
        <v>569</v>
      </c>
      <c r="D1410" s="2" t="str">
        <f t="shared" si="21"/>
        <v>Error?</v>
      </c>
    </row>
    <row r="1411" spans="1:4" x14ac:dyDescent="0.2">
      <c r="A1411" s="5">
        <v>1350</v>
      </c>
      <c r="B1411" s="1831">
        <f>'Expenditures 15-22'!D232</f>
        <v>6606</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26571</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7489</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40666</v>
      </c>
      <c r="C1417" s="2" t="s">
        <v>569</v>
      </c>
      <c r="D1417" s="2" t="str">
        <f t="shared" si="21"/>
        <v>Error?</v>
      </c>
    </row>
    <row r="1418" spans="1:4" x14ac:dyDescent="0.2">
      <c r="A1418" s="5">
        <v>1357</v>
      </c>
      <c r="B1418" s="1831">
        <f>'Expenditures 15-22'!D240</f>
        <v>2816</v>
      </c>
      <c r="D1418" s="2" t="str">
        <f t="shared" si="21"/>
        <v>Error?</v>
      </c>
    </row>
    <row r="1419" spans="1:4" x14ac:dyDescent="0.2">
      <c r="A1419" s="5">
        <v>1358</v>
      </c>
      <c r="B1419" s="1831">
        <f>'Expenditures 15-22'!D241</f>
        <v>92964</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95780</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15158</v>
      </c>
      <c r="D1423" s="2" t="str">
        <f t="shared" si="21"/>
        <v>Error?</v>
      </c>
    </row>
    <row r="1424" spans="1:4" x14ac:dyDescent="0.2">
      <c r="A1424" s="5">
        <v>1363</v>
      </c>
      <c r="B1424" s="1831">
        <f>'Expenditures 15-22'!D257</f>
        <v>15158</v>
      </c>
      <c r="C1424" s="2" t="s">
        <v>569</v>
      </c>
      <c r="D1424" s="2" t="str">
        <f t="shared" si="21"/>
        <v>Error?</v>
      </c>
    </row>
    <row r="1425" spans="1:4" x14ac:dyDescent="0.2">
      <c r="A1425" s="5">
        <v>1364</v>
      </c>
      <c r="B1425" s="1831">
        <f>'Expenditures 15-22'!D259</f>
        <v>86460</v>
      </c>
      <c r="D1425" s="2" t="str">
        <f t="shared" si="21"/>
        <v>Error?</v>
      </c>
    </row>
    <row r="1426" spans="1:4" x14ac:dyDescent="0.2">
      <c r="A1426" s="5">
        <v>1365</v>
      </c>
      <c r="B1426" s="1831">
        <f>'Expenditures 15-22'!D260</f>
        <v>11379</v>
      </c>
      <c r="D1426" s="2" t="str">
        <f t="shared" si="21"/>
        <v>Error?</v>
      </c>
    </row>
    <row r="1427" spans="1:4" x14ac:dyDescent="0.2">
      <c r="A1427" s="5">
        <v>1366</v>
      </c>
      <c r="B1427" s="1831">
        <f>'Expenditures 15-22'!D261</f>
        <v>97839</v>
      </c>
      <c r="C1427" s="2" t="s">
        <v>569</v>
      </c>
      <c r="D1427" s="2" t="str">
        <f t="shared" si="21"/>
        <v>Error?</v>
      </c>
    </row>
    <row r="1428" spans="1:4" x14ac:dyDescent="0.2">
      <c r="A1428" s="5">
        <v>1367</v>
      </c>
      <c r="B1428" s="1831">
        <f>'Expenditures 15-22'!D263</f>
        <v>1903</v>
      </c>
      <c r="D1428" s="2" t="str">
        <f t="shared" si="21"/>
        <v>Error?</v>
      </c>
    </row>
    <row r="1429" spans="1:4" x14ac:dyDescent="0.2">
      <c r="A1429" s="5">
        <v>1368</v>
      </c>
      <c r="B1429" s="1831">
        <f>'Expenditures 15-22'!D264</f>
        <v>32043</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310763</v>
      </c>
      <c r="D1431" s="2" t="str">
        <f t="shared" si="21"/>
        <v>Error?</v>
      </c>
    </row>
    <row r="1432" spans="1:4" x14ac:dyDescent="0.2">
      <c r="A1432" s="5">
        <v>1371</v>
      </c>
      <c r="B1432" s="1831">
        <f>'Expenditures 15-22'!D267</f>
        <v>118726</v>
      </c>
      <c r="D1432" s="2" t="str">
        <f t="shared" si="21"/>
        <v>Error?</v>
      </c>
    </row>
    <row r="1433" spans="1:4" x14ac:dyDescent="0.2">
      <c r="A1433" s="5">
        <v>1372</v>
      </c>
      <c r="B1433" s="1831">
        <f>'Expenditures 15-22'!D268</f>
        <v>45959</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509394</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21690</v>
      </c>
      <c r="D1442" s="2" t="str">
        <f t="shared" si="21"/>
        <v>Error?</v>
      </c>
    </row>
    <row r="1443" spans="1:4" x14ac:dyDescent="0.2">
      <c r="A1443" s="10">
        <v>1382</v>
      </c>
      <c r="B1443" s="1831"/>
      <c r="D1443" s="2" t="str">
        <f t="shared" si="21"/>
        <v>OK</v>
      </c>
    </row>
    <row r="1444" spans="1:4" x14ac:dyDescent="0.2">
      <c r="A1444" s="5">
        <v>1383</v>
      </c>
      <c r="B1444" s="1831">
        <f>'Expenditures 15-22'!D277</f>
        <v>21690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780527</v>
      </c>
      <c r="C1446" s="2" t="s">
        <v>569</v>
      </c>
      <c r="D1446" s="2" t="str">
        <f t="shared" si="21"/>
        <v>Error?</v>
      </c>
    </row>
    <row r="1447" spans="1:4" x14ac:dyDescent="0.2">
      <c r="A1447" s="5">
        <v>1386</v>
      </c>
      <c r="B1447" s="1831">
        <f>'Expenditures 15-22'!D280</f>
        <v>1806</v>
      </c>
      <c r="D1447" s="2" t="str">
        <f t="shared" si="21"/>
        <v>Error?</v>
      </c>
    </row>
    <row r="1448" spans="1:4" x14ac:dyDescent="0.2">
      <c r="A1448" s="5">
        <v>1387</v>
      </c>
      <c r="B1448" s="1831">
        <f>'Expenditures 15-22'!D295</f>
        <v>1314343</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37179</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5701</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532010</v>
      </c>
      <c r="C1474" s="2" t="s">
        <v>569</v>
      </c>
      <c r="D1474" s="2" t="str">
        <f t="shared" si="22"/>
        <v>Error?</v>
      </c>
    </row>
    <row r="1475" spans="1:4" x14ac:dyDescent="0.2">
      <c r="A1475" s="5">
        <v>1414</v>
      </c>
      <c r="B1475" s="1831">
        <f>'Expenditures 15-22'!K232</f>
        <v>6606</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26571</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7489</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40666</v>
      </c>
      <c r="C1481" s="2" t="s">
        <v>569</v>
      </c>
      <c r="D1481" s="2" t="str">
        <f t="shared" si="22"/>
        <v>Error?</v>
      </c>
    </row>
    <row r="1482" spans="1:4" x14ac:dyDescent="0.2">
      <c r="A1482" s="5">
        <v>1421</v>
      </c>
      <c r="B1482" s="1831">
        <f>'Expenditures 15-22'!K240</f>
        <v>2816</v>
      </c>
      <c r="C1482" s="2" t="s">
        <v>569</v>
      </c>
      <c r="D1482" s="2" t="str">
        <f t="shared" si="22"/>
        <v>Error?</v>
      </c>
    </row>
    <row r="1483" spans="1:4" x14ac:dyDescent="0.2">
      <c r="A1483" s="5">
        <v>1422</v>
      </c>
      <c r="B1483" s="1831">
        <f>'Expenditures 15-22'!K241</f>
        <v>92964</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95780</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15158</v>
      </c>
      <c r="C1487" s="2" t="s">
        <v>569</v>
      </c>
      <c r="D1487" s="2" t="str">
        <f t="shared" si="22"/>
        <v>Error?</v>
      </c>
    </row>
    <row r="1488" spans="1:4" x14ac:dyDescent="0.2">
      <c r="A1488" s="5">
        <v>1427</v>
      </c>
      <c r="B1488" s="1831">
        <f>'Expenditures 15-22'!K257</f>
        <v>15158</v>
      </c>
      <c r="C1488" s="2" t="s">
        <v>569</v>
      </c>
      <c r="D1488" s="2" t="str">
        <f t="shared" si="22"/>
        <v>Error?</v>
      </c>
    </row>
    <row r="1489" spans="1:4" x14ac:dyDescent="0.2">
      <c r="A1489" s="5">
        <v>1428</v>
      </c>
      <c r="B1489" s="1831">
        <f>'Expenditures 15-22'!K259</f>
        <v>86460</v>
      </c>
      <c r="C1489" s="2" t="s">
        <v>569</v>
      </c>
      <c r="D1489" s="2" t="str">
        <f t="shared" si="22"/>
        <v>Error?</v>
      </c>
    </row>
    <row r="1490" spans="1:4" x14ac:dyDescent="0.2">
      <c r="A1490" s="5">
        <v>1429</v>
      </c>
      <c r="B1490" s="1831">
        <f>'Expenditures 15-22'!K260</f>
        <v>11379</v>
      </c>
      <c r="C1490" s="2" t="s">
        <v>569</v>
      </c>
      <c r="D1490" s="2" t="str">
        <f t="shared" si="22"/>
        <v>Error?</v>
      </c>
    </row>
    <row r="1491" spans="1:4" x14ac:dyDescent="0.2">
      <c r="A1491" s="5">
        <v>1430</v>
      </c>
      <c r="B1491" s="1831">
        <f>'Expenditures 15-22'!K261</f>
        <v>97839</v>
      </c>
      <c r="C1491" s="2" t="s">
        <v>569</v>
      </c>
      <c r="D1491" s="2" t="str">
        <f t="shared" si="22"/>
        <v>Error?</v>
      </c>
    </row>
    <row r="1492" spans="1:4" x14ac:dyDescent="0.2">
      <c r="A1492" s="5">
        <v>1431</v>
      </c>
      <c r="B1492" s="1831">
        <f>'Expenditures 15-22'!K263</f>
        <v>1903</v>
      </c>
      <c r="C1492" s="2" t="s">
        <v>569</v>
      </c>
      <c r="D1492" s="2" t="str">
        <f t="shared" si="22"/>
        <v>Error?</v>
      </c>
    </row>
    <row r="1493" spans="1:4" x14ac:dyDescent="0.2">
      <c r="A1493" s="5">
        <v>1432</v>
      </c>
      <c r="B1493" s="1831">
        <f>'Expenditures 15-22'!K264</f>
        <v>32043</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310763</v>
      </c>
      <c r="C1495" s="2" t="s">
        <v>569</v>
      </c>
      <c r="D1495" s="2" t="str">
        <f t="shared" si="22"/>
        <v>Error?</v>
      </c>
    </row>
    <row r="1496" spans="1:4" x14ac:dyDescent="0.2">
      <c r="A1496" s="5">
        <v>1435</v>
      </c>
      <c r="B1496" s="1831">
        <f>'Expenditures 15-22'!K267</f>
        <v>118726</v>
      </c>
      <c r="C1496" s="2" t="s">
        <v>569</v>
      </c>
      <c r="D1496" s="2" t="str">
        <f t="shared" si="22"/>
        <v>Error?</v>
      </c>
    </row>
    <row r="1497" spans="1:4" x14ac:dyDescent="0.2">
      <c r="A1497" s="5">
        <v>1436</v>
      </c>
      <c r="B1497" s="1831">
        <f>'Expenditures 15-22'!K268</f>
        <v>45959</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509394</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21690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21690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780527</v>
      </c>
      <c r="C1510" s="2" t="s">
        <v>569</v>
      </c>
      <c r="D1510" s="2" t="str">
        <f t="shared" si="22"/>
        <v>Error?</v>
      </c>
    </row>
    <row r="1511" spans="1:4" x14ac:dyDescent="0.2">
      <c r="A1511" s="5">
        <v>1450</v>
      </c>
      <c r="B1511" s="1831">
        <f>'Expenditures 15-22'!K280</f>
        <v>1806</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1314343</v>
      </c>
      <c r="C1517" s="2" t="s">
        <v>569</v>
      </c>
      <c r="D1517" s="2" t="str">
        <f t="shared" si="22"/>
        <v>Error?</v>
      </c>
    </row>
    <row r="1518" spans="1:4" x14ac:dyDescent="0.2">
      <c r="A1518" s="5">
        <v>1457</v>
      </c>
      <c r="B1518" s="1831">
        <f>'Expenditures 15-22'!K296</f>
        <v>-675871</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3333</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3333</v>
      </c>
      <c r="C1535" s="2" t="s">
        <v>569</v>
      </c>
      <c r="D1535" s="2" t="str">
        <f t="shared" ref="D1535:D1598" si="23">IF(ISBLANK(B1535),"OK",IF(A1535-B1535=0,"OK","Error?"))</f>
        <v>Error?</v>
      </c>
    </row>
    <row r="1536" spans="1:4" x14ac:dyDescent="0.2">
      <c r="A1536" s="5">
        <v>1475</v>
      </c>
      <c r="B1536" s="1831">
        <f>'Expenditures 15-22'!E312</f>
        <v>3333</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6996666</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6996666</v>
      </c>
      <c r="C1547" s="2" t="s">
        <v>569</v>
      </c>
      <c r="D1547" s="2" t="str">
        <f t="shared" si="23"/>
        <v>Error?</v>
      </c>
    </row>
    <row r="1548" spans="1:4" x14ac:dyDescent="0.2">
      <c r="A1548" s="5">
        <v>1487</v>
      </c>
      <c r="B1548" s="1831">
        <f>'Expenditures 15-22'!G312</f>
        <v>6996666</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6999999</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6999999</v>
      </c>
      <c r="C1559" s="2" t="s">
        <v>569</v>
      </c>
      <c r="D1559" s="2" t="str">
        <f t="shared" si="23"/>
        <v>Error?</v>
      </c>
    </row>
    <row r="1560" spans="1:4" x14ac:dyDescent="0.2">
      <c r="A1560" s="5">
        <v>1499</v>
      </c>
      <c r="B1560" s="1831">
        <f>'Expenditures 15-22'!K312</f>
        <v>6999999</v>
      </c>
      <c r="C1560" s="2" t="s">
        <v>569</v>
      </c>
      <c r="D1560" s="2" t="str">
        <f t="shared" si="23"/>
        <v>Error?</v>
      </c>
    </row>
    <row r="1561" spans="1:4" x14ac:dyDescent="0.2">
      <c r="A1561" s="5">
        <v>1500</v>
      </c>
      <c r="B1561" s="1831">
        <f>'Expenditures 15-22'!K313</f>
        <v>-6999999</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44349477</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44170629</v>
      </c>
      <c r="C1630" s="2" t="s">
        <v>569</v>
      </c>
      <c r="D1630" s="2" t="str">
        <f t="shared" si="24"/>
        <v>Error?</v>
      </c>
    </row>
    <row r="1631" spans="1:4" x14ac:dyDescent="0.2">
      <c r="A1631" s="5">
        <v>1570</v>
      </c>
      <c r="B1631" s="1831">
        <f>'Acct Summary 7-8'!D79</f>
        <v>4924929</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6743885</v>
      </c>
      <c r="C1644" s="2" t="s">
        <v>569</v>
      </c>
      <c r="D1644" s="2" t="str">
        <f t="shared" si="24"/>
        <v>Error?</v>
      </c>
    </row>
    <row r="1645" spans="1:4" x14ac:dyDescent="0.2">
      <c r="A1645" s="5">
        <v>1584</v>
      </c>
      <c r="B1645" s="1831">
        <f>'Acct Summary 7-8'!E79</f>
        <v>2263307</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2269240</v>
      </c>
      <c r="C1658" s="2" t="s">
        <v>569</v>
      </c>
      <c r="D1658" s="2" t="str">
        <f t="shared" si="24"/>
        <v>Error?</v>
      </c>
    </row>
    <row r="1659" spans="1:4" x14ac:dyDescent="0.2">
      <c r="A1659" s="5">
        <v>1598</v>
      </c>
      <c r="B1659" s="1831">
        <f>'Acct Summary 7-8'!F79</f>
        <v>13147866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12612195</v>
      </c>
      <c r="C1672" s="2" t="s">
        <v>569</v>
      </c>
      <c r="D1672" s="2" t="str">
        <f t="shared" si="25"/>
        <v>Error?</v>
      </c>
    </row>
    <row r="1673" spans="1:4" x14ac:dyDescent="0.2">
      <c r="A1673" s="5">
        <v>1612</v>
      </c>
      <c r="B1673" s="1831">
        <f>'Acct Summary 7-8'!G79</f>
        <v>3724960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3049089</v>
      </c>
      <c r="C1686" s="2" t="s">
        <v>569</v>
      </c>
      <c r="D1686" s="2" t="str">
        <f t="shared" si="25"/>
        <v>Error?</v>
      </c>
    </row>
    <row r="1687" spans="1:4" x14ac:dyDescent="0.2">
      <c r="A1687" s="5">
        <v>1626</v>
      </c>
      <c r="B1687" s="1831">
        <f>'Acct Summary 7-8'!H79</f>
        <v>2798859</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323860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28538484</v>
      </c>
      <c r="C1744" s="2" t="s">
        <v>569</v>
      </c>
      <c r="D1744" s="2" t="str">
        <f t="shared" si="26"/>
        <v>Error?</v>
      </c>
    </row>
    <row r="1745" spans="1:5" x14ac:dyDescent="0.2">
      <c r="A1745" s="5">
        <v>1684</v>
      </c>
      <c r="B1745" s="1831">
        <f>'Tax Sched 23'!B5</f>
        <v>3801685</v>
      </c>
      <c r="C1745" s="2" t="s">
        <v>569</v>
      </c>
      <c r="D1745" s="2" t="str">
        <f t="shared" si="26"/>
        <v>Error?</v>
      </c>
    </row>
    <row r="1746" spans="1:5" x14ac:dyDescent="0.2">
      <c r="A1746" s="5">
        <v>1685</v>
      </c>
      <c r="B1746" s="1831">
        <f>'Tax Sched 23'!B6</f>
        <v>2038553</v>
      </c>
      <c r="C1746" s="2" t="s">
        <v>569</v>
      </c>
      <c r="D1746" s="2" t="str">
        <f t="shared" si="26"/>
        <v>Error?</v>
      </c>
    </row>
    <row r="1747" spans="1:5" x14ac:dyDescent="0.2">
      <c r="A1747" s="5">
        <v>1686</v>
      </c>
      <c r="B1747" s="1831">
        <f>'Tax Sched 23'!B7</f>
        <v>544896</v>
      </c>
      <c r="C1747" s="2" t="s">
        <v>569</v>
      </c>
      <c r="D1747" s="2" t="str">
        <f t="shared" si="26"/>
        <v>Error?</v>
      </c>
    </row>
    <row r="1748" spans="1:5" x14ac:dyDescent="0.2">
      <c r="A1748" s="5">
        <v>1687</v>
      </c>
      <c r="B1748" s="1831">
        <f>'Tax Sched 23'!B8</f>
        <v>222528</v>
      </c>
      <c r="C1748" s="2" t="s">
        <v>569</v>
      </c>
      <c r="D1748" s="2" t="str">
        <f t="shared" si="26"/>
        <v>Error?</v>
      </c>
    </row>
    <row r="1749" spans="1:5" x14ac:dyDescent="0.2">
      <c r="A1749" s="5">
        <v>1688</v>
      </c>
      <c r="B1749" s="1831">
        <f>'Tax Sched 23'!B10</f>
        <v>142092</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299388</v>
      </c>
      <c r="C1752" s="2" t="s">
        <v>569</v>
      </c>
      <c r="D1752" s="2" t="str">
        <f t="shared" si="26"/>
        <v>Error?</v>
      </c>
    </row>
    <row r="1753" spans="1:5" x14ac:dyDescent="0.2">
      <c r="A1753" s="5">
        <v>1692</v>
      </c>
      <c r="B1753" s="1831">
        <f>'Tax Sched 23'!B12</f>
        <v>631795</v>
      </c>
      <c r="C1753" s="2" t="s">
        <v>569</v>
      </c>
      <c r="D1753" s="2" t="str">
        <f t="shared" si="26"/>
        <v>Error?</v>
      </c>
    </row>
    <row r="1754" spans="1:5" x14ac:dyDescent="0.2">
      <c r="A1754" s="5">
        <v>1693</v>
      </c>
      <c r="B1754" s="1831">
        <f>'Tax Sched 23'!B14</f>
        <v>2764081</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39230728</v>
      </c>
      <c r="C1759" s="2" t="s">
        <v>569</v>
      </c>
      <c r="D1759" s="2" t="str">
        <f t="shared" si="26"/>
        <v>Error?</v>
      </c>
    </row>
    <row r="1760" spans="1:5" x14ac:dyDescent="0.2">
      <c r="A1760" s="5">
        <v>1699</v>
      </c>
      <c r="B1760" s="1831">
        <f>'Tax Sched 23'!D4</f>
        <v>13433616</v>
      </c>
      <c r="C1760" s="2" t="s">
        <v>569</v>
      </c>
      <c r="D1760" s="2" t="str">
        <f t="shared" si="26"/>
        <v>Error?</v>
      </c>
    </row>
    <row r="1761" spans="1:7" x14ac:dyDescent="0.2">
      <c r="A1761" s="5">
        <v>1700</v>
      </c>
      <c r="B1761" s="1831">
        <f>'Tax Sched 23'!D5</f>
        <v>1844507</v>
      </c>
      <c r="C1761" s="2" t="s">
        <v>569</v>
      </c>
      <c r="D1761" s="2" t="str">
        <f t="shared" si="26"/>
        <v>Error?</v>
      </c>
    </row>
    <row r="1762" spans="1:7" s="8" customFormat="1" x14ac:dyDescent="0.2">
      <c r="A1762" s="5">
        <v>1701</v>
      </c>
      <c r="B1762" s="1831">
        <f>'Tax Sched 23'!D6</f>
        <v>959619</v>
      </c>
      <c r="C1762" s="2" t="s">
        <v>569</v>
      </c>
      <c r="D1762" s="2" t="str">
        <f t="shared" si="26"/>
        <v>Error?</v>
      </c>
      <c r="E1762" s="9"/>
      <c r="G1762"/>
    </row>
    <row r="1763" spans="1:7" x14ac:dyDescent="0.2">
      <c r="A1763" s="5">
        <v>1702</v>
      </c>
      <c r="B1763" s="1831">
        <f>'Tax Sched 23'!D7</f>
        <v>401079</v>
      </c>
      <c r="C1763" s="2" t="s">
        <v>569</v>
      </c>
      <c r="D1763" s="2" t="str">
        <f t="shared" si="26"/>
        <v>Error?</v>
      </c>
    </row>
    <row r="1764" spans="1:7" x14ac:dyDescent="0.2">
      <c r="A1764" s="5">
        <v>1703</v>
      </c>
      <c r="B1764" s="1831">
        <f>'Tax Sched 23'!D8</f>
        <v>105306</v>
      </c>
      <c r="C1764" s="2" t="s">
        <v>569</v>
      </c>
      <c r="D1764" s="2" t="str">
        <f t="shared" si="26"/>
        <v>Error?</v>
      </c>
    </row>
    <row r="1765" spans="1:7" x14ac:dyDescent="0.2">
      <c r="A1765" s="5">
        <v>1704</v>
      </c>
      <c r="B1765" s="1831">
        <f>'Tax Sched 23'!D10</f>
        <v>92585</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142887</v>
      </c>
      <c r="C1768" s="2" t="s">
        <v>569</v>
      </c>
      <c r="D1768" s="2" t="str">
        <f t="shared" si="26"/>
        <v>Error?</v>
      </c>
    </row>
    <row r="1769" spans="1:7" x14ac:dyDescent="0.2">
      <c r="A1769" s="5">
        <v>1708</v>
      </c>
      <c r="B1769" s="1831">
        <f>'Tax Sched 23'!D12</f>
        <v>335364</v>
      </c>
      <c r="C1769" s="2" t="s">
        <v>569</v>
      </c>
      <c r="D1769" s="2" t="str">
        <f t="shared" si="26"/>
        <v>Error?</v>
      </c>
    </row>
    <row r="1770" spans="1:7" x14ac:dyDescent="0.2">
      <c r="A1770" s="5">
        <v>1709</v>
      </c>
      <c r="B1770" s="1831">
        <f>'Tax Sched 23'!D14</f>
        <v>1341460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18773130</v>
      </c>
      <c r="C1775" s="2" t="s">
        <v>569</v>
      </c>
      <c r="D1775" s="2" t="str">
        <f t="shared" si="26"/>
        <v>Error?</v>
      </c>
    </row>
    <row r="1776" spans="1:7" x14ac:dyDescent="0.2">
      <c r="A1776" s="5">
        <v>1715</v>
      </c>
      <c r="B1776" s="1831">
        <f>'Tax Sched 23'!C4</f>
        <v>15104868</v>
      </c>
      <c r="D1776" s="2" t="str">
        <f t="shared" si="26"/>
        <v>Error?</v>
      </c>
    </row>
    <row r="1777" spans="1:4" x14ac:dyDescent="0.2">
      <c r="A1777" s="5">
        <v>1716</v>
      </c>
      <c r="B1777" s="1831">
        <f>'Tax Sched 23'!C5</f>
        <v>1957178</v>
      </c>
      <c r="D1777" s="2" t="str">
        <f t="shared" si="26"/>
        <v>Error?</v>
      </c>
    </row>
    <row r="1778" spans="1:4" x14ac:dyDescent="0.2">
      <c r="A1778" s="5">
        <v>1717</v>
      </c>
      <c r="B1778" s="1831">
        <f>'Tax Sched 23'!C6</f>
        <v>1078934</v>
      </c>
      <c r="D1778" s="2" t="str">
        <f t="shared" si="26"/>
        <v>Error?</v>
      </c>
    </row>
    <row r="1779" spans="1:4" x14ac:dyDescent="0.2">
      <c r="A1779" s="5">
        <v>1718</v>
      </c>
      <c r="B1779" s="1831">
        <f>'Tax Sched 23'!C7</f>
        <v>143817</v>
      </c>
      <c r="D1779" s="2" t="str">
        <f t="shared" si="26"/>
        <v>Error?</v>
      </c>
    </row>
    <row r="1780" spans="1:4" x14ac:dyDescent="0.2">
      <c r="A1780" s="5">
        <v>1719</v>
      </c>
      <c r="B1780" s="1831">
        <f>'Tax Sched 23'!C8</f>
        <v>117222</v>
      </c>
      <c r="D1780" s="2" t="str">
        <f t="shared" si="26"/>
        <v>Error?</v>
      </c>
    </row>
    <row r="1781" spans="1:4" x14ac:dyDescent="0.2">
      <c r="A1781" s="5">
        <v>1720</v>
      </c>
      <c r="B1781" s="1831">
        <f>'Tax Sched 23'!C10</f>
        <v>49507</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156501</v>
      </c>
      <c r="D1784" s="2" t="str">
        <f t="shared" si="26"/>
        <v>Error?</v>
      </c>
    </row>
    <row r="1785" spans="1:4" x14ac:dyDescent="0.2">
      <c r="A1785" s="5">
        <v>1724</v>
      </c>
      <c r="B1785" s="1831">
        <f>'Tax Sched 23'!C12</f>
        <v>296431</v>
      </c>
      <c r="D1785" s="2" t="str">
        <f t="shared" si="26"/>
        <v>Error?</v>
      </c>
    </row>
    <row r="1786" spans="1:4" x14ac:dyDescent="0.2">
      <c r="A1786" s="5">
        <v>1725</v>
      </c>
      <c r="B1786" s="1831">
        <f>'Tax Sched 23'!C14</f>
        <v>1422621</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20457598</v>
      </c>
      <c r="C1791" s="2" t="s">
        <v>569</v>
      </c>
      <c r="D1791" s="2" t="str">
        <f t="shared" ref="D1791:D1854" si="27">IF(ISBLANK(B1791),"OK",IF(A1791-B1791=0,"OK","Error?"))</f>
        <v>Error?</v>
      </c>
    </row>
    <row r="1792" spans="1:4" x14ac:dyDescent="0.2">
      <c r="A1792" s="5">
        <v>1731</v>
      </c>
      <c r="B1792" s="1831">
        <f>'Tax Sched 23'!F4</f>
        <v>16386246</v>
      </c>
      <c r="C1792" s="2" t="s">
        <v>569</v>
      </c>
      <c r="D1792" s="2" t="str">
        <f t="shared" si="27"/>
        <v>Error?</v>
      </c>
    </row>
    <row r="1793" spans="1:4" x14ac:dyDescent="0.2">
      <c r="A1793" s="5">
        <v>1732</v>
      </c>
      <c r="B1793" s="1831">
        <f>'Tax Sched 23'!F5</f>
        <v>2123167</v>
      </c>
      <c r="C1793" s="2" t="s">
        <v>569</v>
      </c>
      <c r="D1793" s="2" t="str">
        <f t="shared" si="27"/>
        <v>Error?</v>
      </c>
    </row>
    <row r="1794" spans="1:4" x14ac:dyDescent="0.2">
      <c r="A1794" s="5">
        <v>1733</v>
      </c>
      <c r="B1794" s="1831">
        <f>'Tax Sched 23'!F6</f>
        <v>1170182</v>
      </c>
      <c r="C1794" s="2" t="s">
        <v>569</v>
      </c>
      <c r="D1794" s="2" t="str">
        <f t="shared" si="27"/>
        <v>Error?</v>
      </c>
    </row>
    <row r="1795" spans="1:4" x14ac:dyDescent="0.2">
      <c r="A1795" s="5">
        <v>1734</v>
      </c>
      <c r="B1795" s="1831">
        <f>'Tax Sched 23'!F7</f>
        <v>156183</v>
      </c>
      <c r="C1795" s="2" t="s">
        <v>569</v>
      </c>
      <c r="D1795" s="2" t="str">
        <f t="shared" si="27"/>
        <v>Error?</v>
      </c>
    </row>
    <row r="1796" spans="1:4" x14ac:dyDescent="0.2">
      <c r="A1796" s="5">
        <v>1735</v>
      </c>
      <c r="B1796" s="1831">
        <f>'Tax Sched 23'!F8</f>
        <v>127494</v>
      </c>
      <c r="C1796" s="2" t="s">
        <v>569</v>
      </c>
      <c r="D1796" s="2" t="str">
        <f t="shared" si="27"/>
        <v>Error?</v>
      </c>
    </row>
    <row r="1797" spans="1:4" x14ac:dyDescent="0.2">
      <c r="A1797" s="5">
        <v>1736</v>
      </c>
      <c r="B1797" s="1831">
        <f>'Tax Sched 23'!F10</f>
        <v>53493</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169788</v>
      </c>
      <c r="C1800" s="2" t="s">
        <v>569</v>
      </c>
      <c r="D1800" s="2" t="str">
        <f t="shared" si="27"/>
        <v>Error?</v>
      </c>
    </row>
    <row r="1801" spans="1:4" x14ac:dyDescent="0.2">
      <c r="A1801" s="5">
        <v>1740</v>
      </c>
      <c r="B1801" s="1831">
        <f>'Tax Sched 23'!F12</f>
        <v>321569</v>
      </c>
      <c r="C1801" s="2" t="s">
        <v>569</v>
      </c>
      <c r="D1801" s="2" t="str">
        <f t="shared" si="27"/>
        <v>Error?</v>
      </c>
    </row>
    <row r="1802" spans="1:4" x14ac:dyDescent="0.2">
      <c r="A1802" s="5">
        <v>1741</v>
      </c>
      <c r="B1802" s="1831">
        <f>'Tax Sched 23'!F14</f>
        <v>1543779</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22193289</v>
      </c>
      <c r="C1807" s="2" t="s">
        <v>569</v>
      </c>
      <c r="D1807" s="2" t="str">
        <f t="shared" si="27"/>
        <v>Error?</v>
      </c>
    </row>
    <row r="1808" spans="1:4" x14ac:dyDescent="0.2">
      <c r="A1808" s="5">
        <v>1747</v>
      </c>
      <c r="B1808" s="1831">
        <f>'Tax Sched 23'!E4</f>
        <v>31491114</v>
      </c>
      <c r="D1808" s="2" t="str">
        <f t="shared" si="27"/>
        <v>Error?</v>
      </c>
    </row>
    <row r="1809" spans="1:4" x14ac:dyDescent="0.2">
      <c r="A1809" s="5">
        <v>1748</v>
      </c>
      <c r="B1809" s="1831">
        <f>'Tax Sched 23'!E5</f>
        <v>4080345</v>
      </c>
      <c r="D1809" s="2" t="str">
        <f t="shared" si="27"/>
        <v>Error?</v>
      </c>
    </row>
    <row r="1810" spans="1:4" x14ac:dyDescent="0.2">
      <c r="A1810" s="5">
        <v>1749</v>
      </c>
      <c r="B1810" s="1831">
        <f>'Tax Sched 23'!E6</f>
        <v>2249116</v>
      </c>
      <c r="D1810" s="2" t="str">
        <f t="shared" si="27"/>
        <v>Error?</v>
      </c>
    </row>
    <row r="1811" spans="1:4" x14ac:dyDescent="0.2">
      <c r="A1811" s="5">
        <v>1750</v>
      </c>
      <c r="B1811" s="1831">
        <f>'Tax Sched 23'!E7</f>
        <v>300000</v>
      </c>
      <c r="D1811" s="2" t="str">
        <f t="shared" si="27"/>
        <v>Error?</v>
      </c>
    </row>
    <row r="1812" spans="1:4" x14ac:dyDescent="0.2">
      <c r="A1812" s="5">
        <v>1751</v>
      </c>
      <c r="B1812" s="1831">
        <f>'Tax Sched 23'!E8</f>
        <v>244716</v>
      </c>
      <c r="D1812" s="2" t="str">
        <f t="shared" si="27"/>
        <v>Error?</v>
      </c>
    </row>
    <row r="1813" spans="1:4" x14ac:dyDescent="0.2">
      <c r="A1813" s="5">
        <v>1752</v>
      </c>
      <c r="B1813" s="1831">
        <f>'Tax Sched 23'!E10</f>
        <v>103000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326289</v>
      </c>
      <c r="D1816" s="2" t="str">
        <f t="shared" si="27"/>
        <v>Error?</v>
      </c>
    </row>
    <row r="1817" spans="1:4" x14ac:dyDescent="0.2">
      <c r="A1817" s="5">
        <v>1756</v>
      </c>
      <c r="B1817" s="1831">
        <f>'Tax Sched 23'!E12</f>
        <v>618000</v>
      </c>
      <c r="D1817" s="2" t="str">
        <f t="shared" si="27"/>
        <v>Error?</v>
      </c>
    </row>
    <row r="1818" spans="1:4" x14ac:dyDescent="0.2">
      <c r="A1818" s="5">
        <v>1757</v>
      </c>
      <c r="B1818" s="1831">
        <f>'Tax Sched 23'!E14</f>
        <v>2966400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42650887</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35895000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2764081</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2764081</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2764081</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5099610</v>
      </c>
      <c r="D2008" s="2" t="str">
        <f t="shared" si="30"/>
        <v>Error?</v>
      </c>
    </row>
    <row r="2009" spans="1:4" x14ac:dyDescent="0.2">
      <c r="A2009" s="5">
        <v>1948</v>
      </c>
      <c r="B2009" s="1831">
        <f>'Cap Outlay Deprec 26'!C8</f>
        <v>107896602</v>
      </c>
      <c r="D2009" s="2" t="str">
        <f t="shared" si="30"/>
        <v>Error?</v>
      </c>
    </row>
    <row r="2010" spans="1:4" x14ac:dyDescent="0.2">
      <c r="A2010" s="5">
        <v>1949</v>
      </c>
      <c r="B2010" s="1831">
        <f>'Cap Outlay Deprec 26'!C10</f>
        <v>2831755</v>
      </c>
      <c r="D2010" s="2" t="str">
        <f t="shared" si="30"/>
        <v>Error?</v>
      </c>
    </row>
    <row r="2011" spans="1:4" x14ac:dyDescent="0.2">
      <c r="A2011" s="5">
        <v>1950</v>
      </c>
      <c r="B2011" s="1831">
        <f>'Cap Outlay Deprec 26'!C12</f>
        <v>11071927</v>
      </c>
      <c r="D2011" s="2" t="str">
        <f t="shared" si="30"/>
        <v>Error?</v>
      </c>
    </row>
    <row r="2012" spans="1:4" x14ac:dyDescent="0.2">
      <c r="A2012" s="5">
        <v>1951</v>
      </c>
      <c r="B2012" s="1831">
        <f>'Cap Outlay Deprec 26'!C13</f>
        <v>4087629</v>
      </c>
      <c r="D2012" s="2" t="str">
        <f t="shared" si="30"/>
        <v>Error?</v>
      </c>
    </row>
    <row r="2013" spans="1:4" x14ac:dyDescent="0.2">
      <c r="A2013" s="5">
        <v>1952</v>
      </c>
      <c r="B2013" s="1831">
        <f>'Cap Outlay Deprec 26'!C16</f>
        <v>149401444</v>
      </c>
      <c r="C2013" s="2" t="s">
        <v>569</v>
      </c>
      <c r="D2013" s="2" t="str">
        <f t="shared" si="30"/>
        <v>Error?</v>
      </c>
    </row>
    <row r="2014" spans="1:4" x14ac:dyDescent="0.2">
      <c r="A2014" s="5">
        <v>1953</v>
      </c>
      <c r="B2014" s="1831">
        <f>'Cap Outlay Deprec 26'!D5</f>
        <v>103693</v>
      </c>
      <c r="D2014" s="2" t="str">
        <f t="shared" si="30"/>
        <v>Error?</v>
      </c>
    </row>
    <row r="2015" spans="1:4" x14ac:dyDescent="0.2">
      <c r="A2015" s="5">
        <v>1954</v>
      </c>
      <c r="B2015" s="1831">
        <f>'Cap Outlay Deprec 26'!D8</f>
        <v>25940224</v>
      </c>
      <c r="D2015" s="2" t="str">
        <f t="shared" si="30"/>
        <v>Error?</v>
      </c>
    </row>
    <row r="2016" spans="1:4" x14ac:dyDescent="0.2">
      <c r="A2016" s="5">
        <v>1955</v>
      </c>
      <c r="B2016" s="1831">
        <f>'Cap Outlay Deprec 26'!D10</f>
        <v>391829</v>
      </c>
      <c r="D2016" s="2" t="str">
        <f t="shared" si="30"/>
        <v>Error?</v>
      </c>
    </row>
    <row r="2017" spans="1:4" x14ac:dyDescent="0.2">
      <c r="A2017" s="5">
        <v>1956</v>
      </c>
      <c r="B2017" s="1831">
        <f>'Cap Outlay Deprec 26'!D12</f>
        <v>1299891</v>
      </c>
      <c r="D2017" s="2" t="str">
        <f t="shared" si="30"/>
        <v>Error?</v>
      </c>
    </row>
    <row r="2018" spans="1:4" x14ac:dyDescent="0.2">
      <c r="A2018" s="5">
        <v>1957</v>
      </c>
      <c r="B2018" s="1831">
        <f>'Cap Outlay Deprec 26'!D13</f>
        <v>215685</v>
      </c>
      <c r="D2018" s="2" t="str">
        <f t="shared" si="30"/>
        <v>Error?</v>
      </c>
    </row>
    <row r="2019" spans="1:4" x14ac:dyDescent="0.2">
      <c r="A2019" s="5">
        <v>1958</v>
      </c>
      <c r="B2019" s="1831">
        <f>'Cap Outlay Deprec 26'!D16</f>
        <v>38048508</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25419654</v>
      </c>
      <c r="C2025" s="2" t="s">
        <v>569</v>
      </c>
      <c r="D2025" s="2" t="str">
        <f t="shared" si="30"/>
        <v>Error?</v>
      </c>
    </row>
    <row r="2026" spans="1:4" x14ac:dyDescent="0.2">
      <c r="A2026" s="5">
        <v>1965</v>
      </c>
      <c r="B2026" s="1831">
        <f>'Cap Outlay Deprec 26'!F5</f>
        <v>5203303</v>
      </c>
      <c r="C2026" s="2" t="s">
        <v>569</v>
      </c>
      <c r="D2026" s="2" t="str">
        <f t="shared" si="30"/>
        <v>Error?</v>
      </c>
    </row>
    <row r="2027" spans="1:4" x14ac:dyDescent="0.2">
      <c r="A2027" s="5">
        <v>1966</v>
      </c>
      <c r="B2027" s="1831">
        <f>'Cap Outlay Deprec 26'!F8</f>
        <v>133836826</v>
      </c>
      <c r="C2027" s="2" t="s">
        <v>569</v>
      </c>
      <c r="D2027" s="2" t="str">
        <f t="shared" si="30"/>
        <v>Error?</v>
      </c>
    </row>
    <row r="2028" spans="1:4" x14ac:dyDescent="0.2">
      <c r="A2028" s="5">
        <v>1967</v>
      </c>
      <c r="B2028" s="1831">
        <f>'Cap Outlay Deprec 26'!F10</f>
        <v>3223584</v>
      </c>
      <c r="C2028" s="2" t="s">
        <v>569</v>
      </c>
      <c r="D2028" s="2" t="str">
        <f t="shared" si="30"/>
        <v>Error?</v>
      </c>
    </row>
    <row r="2029" spans="1:4" x14ac:dyDescent="0.2">
      <c r="A2029" s="5">
        <v>1968</v>
      </c>
      <c r="B2029" s="1831">
        <f>'Cap Outlay Deprec 26'!F12</f>
        <v>12371818</v>
      </c>
      <c r="C2029" s="2" t="s">
        <v>569</v>
      </c>
      <c r="D2029" s="2" t="str">
        <f t="shared" si="30"/>
        <v>Error?</v>
      </c>
    </row>
    <row r="2030" spans="1:4" x14ac:dyDescent="0.2">
      <c r="A2030" s="5">
        <v>1969</v>
      </c>
      <c r="B2030" s="1831">
        <f>'Cap Outlay Deprec 26'!F13</f>
        <v>4303314</v>
      </c>
      <c r="C2030" s="2" t="s">
        <v>569</v>
      </c>
      <c r="D2030" s="2" t="str">
        <f t="shared" si="30"/>
        <v>Error?</v>
      </c>
    </row>
    <row r="2031" spans="1:4" x14ac:dyDescent="0.2">
      <c r="A2031" s="5">
        <v>1970</v>
      </c>
      <c r="B2031" s="1831">
        <f>'Cap Outlay Deprec 26'!F16</f>
        <v>162030298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56825211</v>
      </c>
      <c r="D2033" s="2" t="str">
        <f t="shared" si="30"/>
        <v>Error?</v>
      </c>
    </row>
    <row r="2034" spans="1:4" x14ac:dyDescent="0.2">
      <c r="A2034" s="5">
        <v>1973</v>
      </c>
      <c r="B2034" s="1831">
        <f>'Cap Outlay Deprec 26'!H10</f>
        <v>729838</v>
      </c>
      <c r="D2034" s="2" t="str">
        <f t="shared" si="30"/>
        <v>Error?</v>
      </c>
    </row>
    <row r="2035" spans="1:4" x14ac:dyDescent="0.2">
      <c r="A2035" s="5">
        <v>1974</v>
      </c>
      <c r="B2035" s="1831">
        <f>'Cap Outlay Deprec 26'!H12</f>
        <v>8724017</v>
      </c>
      <c r="D2035" s="2" t="str">
        <f t="shared" si="30"/>
        <v>Error?</v>
      </c>
    </row>
    <row r="2036" spans="1:4" x14ac:dyDescent="0.2">
      <c r="A2036" s="5">
        <v>1975</v>
      </c>
      <c r="B2036" s="1831">
        <f>'Cap Outlay Deprec 26'!H13</f>
        <v>3472595</v>
      </c>
      <c r="D2036" s="2" t="str">
        <f t="shared" si="30"/>
        <v>Error?</v>
      </c>
    </row>
    <row r="2037" spans="1:4" x14ac:dyDescent="0.2">
      <c r="A2037" s="5">
        <v>1976</v>
      </c>
      <c r="B2037" s="1831">
        <f>'Cap Outlay Deprec 26'!H16</f>
        <v>69751661</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2411672</v>
      </c>
      <c r="D2039" s="2" t="str">
        <f t="shared" si="30"/>
        <v>Error?</v>
      </c>
    </row>
    <row r="2040" spans="1:4" x14ac:dyDescent="0.2">
      <c r="A2040" s="5">
        <v>1979</v>
      </c>
      <c r="B2040" s="1831">
        <f>'Cap Outlay Deprec 26'!I10</f>
        <v>149538</v>
      </c>
      <c r="D2040" s="2" t="str">
        <f t="shared" si="30"/>
        <v>Error?</v>
      </c>
    </row>
    <row r="2041" spans="1:4" x14ac:dyDescent="0.2">
      <c r="A2041" s="5">
        <v>1980</v>
      </c>
      <c r="B2041" s="1831">
        <f>'Cap Outlay Deprec 26'!I12</f>
        <v>669172</v>
      </c>
      <c r="D2041" s="2" t="str">
        <f t="shared" si="30"/>
        <v>Error?</v>
      </c>
    </row>
    <row r="2042" spans="1:4" x14ac:dyDescent="0.2">
      <c r="A2042" s="5">
        <v>1981</v>
      </c>
      <c r="B2042" s="1831">
        <f>'Cap Outlay Deprec 26'!I13</f>
        <v>222343</v>
      </c>
      <c r="D2042" s="2" t="str">
        <f t="shared" si="30"/>
        <v>Error?</v>
      </c>
    </row>
    <row r="2043" spans="1:4" x14ac:dyDescent="0.2">
      <c r="A2043" s="5">
        <v>1982</v>
      </c>
      <c r="B2043" s="1831">
        <f>'Cap Outlay Deprec 26'!I16</f>
        <v>3452725</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59236883</v>
      </c>
      <c r="C2051" s="2" t="s">
        <v>569</v>
      </c>
      <c r="D2051" s="2" t="str">
        <f t="shared" si="31"/>
        <v>Error?</v>
      </c>
    </row>
    <row r="2052" spans="1:4" x14ac:dyDescent="0.2">
      <c r="A2052" s="5">
        <v>1991</v>
      </c>
      <c r="B2052" s="1831">
        <f>'Cap Outlay Deprec 26'!K10</f>
        <v>879376</v>
      </c>
      <c r="C2052" s="2" t="s">
        <v>569</v>
      </c>
      <c r="D2052" s="2" t="str">
        <f t="shared" si="31"/>
        <v>Error?</v>
      </c>
    </row>
    <row r="2053" spans="1:4" x14ac:dyDescent="0.2">
      <c r="A2053" s="5">
        <v>1992</v>
      </c>
      <c r="B2053" s="1831">
        <f>'Cap Outlay Deprec 26'!K12</f>
        <v>9393189</v>
      </c>
      <c r="C2053" s="2" t="s">
        <v>569</v>
      </c>
      <c r="D2053" s="2" t="str">
        <f t="shared" si="31"/>
        <v>Error?</v>
      </c>
    </row>
    <row r="2054" spans="1:4" x14ac:dyDescent="0.2">
      <c r="A2054" s="5">
        <v>1993</v>
      </c>
      <c r="B2054" s="1831">
        <f>'Cap Outlay Deprec 26'!K13</f>
        <v>3694938</v>
      </c>
      <c r="C2054" s="2" t="s">
        <v>569</v>
      </c>
      <c r="D2054" s="2" t="str">
        <f t="shared" si="31"/>
        <v>Error?</v>
      </c>
    </row>
    <row r="2055" spans="1:4" x14ac:dyDescent="0.2">
      <c r="A2055" s="5">
        <v>1994</v>
      </c>
      <c r="B2055" s="1831">
        <f>'Cap Outlay Deprec 26'!K16</f>
        <v>73204386</v>
      </c>
      <c r="C2055" s="2" t="s">
        <v>569</v>
      </c>
      <c r="D2055" s="2" t="str">
        <f t="shared" si="31"/>
        <v>Error?</v>
      </c>
    </row>
    <row r="2056" spans="1:4" x14ac:dyDescent="0.2">
      <c r="A2056" s="5">
        <v>1995</v>
      </c>
      <c r="B2056" s="1831">
        <f>'Cap Outlay Deprec 26'!L5</f>
        <v>5203303</v>
      </c>
      <c r="C2056" s="2" t="s">
        <v>569</v>
      </c>
      <c r="D2056" s="2" t="str">
        <f t="shared" si="31"/>
        <v>Error?</v>
      </c>
    </row>
    <row r="2057" spans="1:4" x14ac:dyDescent="0.2">
      <c r="A2057" s="5">
        <v>1996</v>
      </c>
      <c r="B2057" s="1831">
        <f>'Cap Outlay Deprec 26'!L8</f>
        <v>74599943</v>
      </c>
      <c r="C2057" s="2" t="s">
        <v>569</v>
      </c>
      <c r="D2057" s="2" t="str">
        <f t="shared" si="31"/>
        <v>Error?</v>
      </c>
    </row>
    <row r="2058" spans="1:4" x14ac:dyDescent="0.2">
      <c r="A2058" s="5">
        <v>1997</v>
      </c>
      <c r="B2058" s="1831">
        <f>'Cap Outlay Deprec 26'!L10</f>
        <v>2344208</v>
      </c>
      <c r="C2058" s="2" t="s">
        <v>569</v>
      </c>
      <c r="D2058" s="2" t="str">
        <f t="shared" si="31"/>
        <v>Error?</v>
      </c>
    </row>
    <row r="2059" spans="1:4" x14ac:dyDescent="0.2">
      <c r="A2059" s="5">
        <v>1998</v>
      </c>
      <c r="B2059" s="1831">
        <f>'Cap Outlay Deprec 26'!L12</f>
        <v>2978629</v>
      </c>
      <c r="C2059" s="2" t="s">
        <v>569</v>
      </c>
      <c r="D2059" s="2" t="str">
        <f t="shared" si="31"/>
        <v>Error?</v>
      </c>
    </row>
    <row r="2060" spans="1:4" x14ac:dyDescent="0.2">
      <c r="A2060" s="5">
        <v>1999</v>
      </c>
      <c r="B2060" s="1831">
        <f>'Cap Outlay Deprec 26'!L13</f>
        <v>608376</v>
      </c>
      <c r="C2060" s="2" t="s">
        <v>569</v>
      </c>
      <c r="D2060" s="2" t="str">
        <f t="shared" si="31"/>
        <v>Error?</v>
      </c>
    </row>
    <row r="2061" spans="1:4" x14ac:dyDescent="0.2">
      <c r="A2061" s="5">
        <v>2000</v>
      </c>
      <c r="B2061" s="1831">
        <f>'Cap Outlay Deprec 26'!L16</f>
        <v>88825912</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7730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409127</v>
      </c>
      <c r="C2088" s="2" t="s">
        <v>569</v>
      </c>
      <c r="D2088" s="2" t="str">
        <f t="shared" si="31"/>
        <v>Error?</v>
      </c>
    </row>
    <row r="2089" spans="1:4" x14ac:dyDescent="0.2">
      <c r="A2089" s="5">
        <v>2028</v>
      </c>
      <c r="B2089" s="1831">
        <f>'Expenditures 15-22'!K92</f>
        <v>497623</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33658523</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7255741</v>
      </c>
      <c r="C2553" s="2" t="s">
        <v>569</v>
      </c>
      <c r="D2553" s="2" t="str">
        <f t="shared" si="38"/>
        <v>Error?</v>
      </c>
    </row>
    <row r="2554" spans="1:4" x14ac:dyDescent="0.2">
      <c r="A2554" s="5">
        <v>2493</v>
      </c>
      <c r="B2554" s="1831">
        <f>'Acct Summary 7-8'!C7</f>
        <v>2680838</v>
      </c>
      <c r="C2554" s="2" t="s">
        <v>569</v>
      </c>
      <c r="D2554" s="2" t="str">
        <f t="shared" si="38"/>
        <v>Error?</v>
      </c>
    </row>
    <row r="2555" spans="1:4" x14ac:dyDescent="0.2">
      <c r="A2555" s="5">
        <v>2494</v>
      </c>
      <c r="B2555" s="1831">
        <f>'Acct Summary 7-8'!C8</f>
        <v>43595102</v>
      </c>
      <c r="C2555" s="2" t="s">
        <v>569</v>
      </c>
      <c r="D2555" s="2" t="str">
        <f t="shared" si="38"/>
        <v>Error?</v>
      </c>
    </row>
    <row r="2556" spans="1:4" x14ac:dyDescent="0.2">
      <c r="A2556" s="5">
        <v>2495</v>
      </c>
      <c r="B2556" s="1831">
        <f>'Acct Summary 7-8'!C12</f>
        <v>24275881</v>
      </c>
      <c r="C2556" s="2" t="s">
        <v>569</v>
      </c>
      <c r="D2556" s="2" t="str">
        <f t="shared" si="38"/>
        <v>Error?</v>
      </c>
    </row>
    <row r="2557" spans="1:4" x14ac:dyDescent="0.2">
      <c r="A2557" s="5">
        <v>2496</v>
      </c>
      <c r="B2557" s="1831">
        <f>'Acct Summary 7-8'!C13</f>
        <v>12585920</v>
      </c>
      <c r="C2557" s="2" t="s">
        <v>569</v>
      </c>
      <c r="D2557" s="2" t="str">
        <f t="shared" si="38"/>
        <v>Error?</v>
      </c>
    </row>
    <row r="2558" spans="1:4" x14ac:dyDescent="0.2">
      <c r="A2558" s="5">
        <v>2497</v>
      </c>
      <c r="B2558" s="1831">
        <f>'Acct Summary 7-8'!C14</f>
        <v>23719</v>
      </c>
      <c r="C2558" s="2" t="s">
        <v>569</v>
      </c>
      <c r="D2558" s="2" t="str">
        <f t="shared" si="38"/>
        <v>Error?</v>
      </c>
    </row>
    <row r="2559" spans="1:4" x14ac:dyDescent="0.2">
      <c r="A2559" s="5">
        <v>2498</v>
      </c>
      <c r="B2559" s="1831">
        <f>'Acct Summary 7-8'!C15</f>
        <v>906750</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37792270</v>
      </c>
      <c r="C2561" s="2" t="s">
        <v>569</v>
      </c>
      <c r="D2561" s="2" t="str">
        <f t="shared" si="39"/>
        <v>Error?</v>
      </c>
    </row>
    <row r="2562" spans="1:4" x14ac:dyDescent="0.2">
      <c r="A2562" s="5">
        <v>2501</v>
      </c>
      <c r="B2562" s="1831">
        <f>'Acct Summary 7-8'!C20</f>
        <v>5802832</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7472839</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7472839</v>
      </c>
      <c r="C2568" s="2" t="s">
        <v>569</v>
      </c>
      <c r="D2568" s="2" t="str">
        <f t="shared" si="39"/>
        <v>Error?</v>
      </c>
    </row>
    <row r="2569" spans="1:4" x14ac:dyDescent="0.2">
      <c r="A2569" s="5">
        <v>2508</v>
      </c>
      <c r="B2569" s="1831">
        <f>'Acct Summary 7-8'!D13</f>
        <v>5653883</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5653883</v>
      </c>
      <c r="C2573" s="2" t="s">
        <v>569</v>
      </c>
      <c r="D2573" s="2" t="str">
        <f t="shared" si="39"/>
        <v>Error?</v>
      </c>
    </row>
    <row r="2574" spans="1:4" x14ac:dyDescent="0.2">
      <c r="A2574" s="5">
        <v>2513</v>
      </c>
      <c r="B2574" s="1831">
        <f>'Acct Summary 7-8'!D20</f>
        <v>1818956</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558505</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1019363</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1577868</v>
      </c>
      <c r="C2595" s="2" t="s">
        <v>569</v>
      </c>
      <c r="D2595" s="2" t="str">
        <f t="shared" si="39"/>
        <v>Error?</v>
      </c>
    </row>
    <row r="2596" spans="1:4" x14ac:dyDescent="0.2">
      <c r="A2596" s="5">
        <v>2535</v>
      </c>
      <c r="B2596" s="1831">
        <f>'Acct Summary 7-8'!F13</f>
        <v>2125539</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2125539</v>
      </c>
      <c r="C2600" s="2" t="s">
        <v>569</v>
      </c>
      <c r="D2600" s="2" t="str">
        <f t="shared" si="39"/>
        <v>Error?</v>
      </c>
    </row>
    <row r="2601" spans="1:4" x14ac:dyDescent="0.2">
      <c r="A2601" s="5">
        <v>2540</v>
      </c>
      <c r="B2601" s="1831">
        <f>'Acct Summary 7-8'!F20</f>
        <v>-547671</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638472</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638472</v>
      </c>
      <c r="C2606" s="2" t="s">
        <v>569</v>
      </c>
      <c r="D2606" s="2" t="str">
        <f t="shared" si="39"/>
        <v>Error?</v>
      </c>
    </row>
    <row r="2607" spans="1:4" x14ac:dyDescent="0.2">
      <c r="A2607" s="5">
        <v>2546</v>
      </c>
      <c r="B2607" s="1831">
        <f>'Acct Summary 7-8'!G12</f>
        <v>532010</v>
      </c>
      <c r="C2607" s="2" t="s">
        <v>569</v>
      </c>
      <c r="D2607" s="2" t="str">
        <f t="shared" si="39"/>
        <v>Error?</v>
      </c>
    </row>
    <row r="2608" spans="1:4" x14ac:dyDescent="0.2">
      <c r="A2608" s="5">
        <v>2547</v>
      </c>
      <c r="B2608" s="1831">
        <f>'Acct Summary 7-8'!G13</f>
        <v>780527</v>
      </c>
      <c r="C2608" s="2" t="s">
        <v>569</v>
      </c>
      <c r="D2608" s="2" t="str">
        <f t="shared" si="39"/>
        <v>Error?</v>
      </c>
    </row>
    <row r="2609" spans="1:4" x14ac:dyDescent="0.2">
      <c r="A2609" s="5">
        <v>2548</v>
      </c>
      <c r="B2609" s="1831">
        <f>'Acct Summary 7-8'!G14</f>
        <v>1806</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1314343</v>
      </c>
      <c r="C2612" s="2" t="s">
        <v>569</v>
      </c>
      <c r="D2612" s="2" t="str">
        <f t="shared" si="39"/>
        <v>Error?</v>
      </c>
    </row>
    <row r="2613" spans="1:4" x14ac:dyDescent="0.2">
      <c r="A2613" s="5">
        <v>2552</v>
      </c>
      <c r="B2613" s="1831">
        <f>'Acct Summary 7-8'!G20</f>
        <v>-675871</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2115307</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2115307</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3764374</v>
      </c>
      <c r="C2634" s="2" t="s">
        <v>569</v>
      </c>
      <c r="D2634" s="2" t="str">
        <f t="shared" si="40"/>
        <v>Error?</v>
      </c>
    </row>
    <row r="2635" spans="1:4" x14ac:dyDescent="0.2">
      <c r="A2635" s="5">
        <v>2574</v>
      </c>
      <c r="B2635" s="1831">
        <f>'Acct Summary 7-8'!E17</f>
        <v>3764374</v>
      </c>
      <c r="C2635" s="2" t="s">
        <v>569</v>
      </c>
      <c r="D2635" s="2" t="str">
        <f t="shared" si="40"/>
        <v>Error?</v>
      </c>
    </row>
    <row r="2636" spans="1:4" x14ac:dyDescent="0.2">
      <c r="A2636" s="5">
        <v>2575</v>
      </c>
      <c r="B2636" s="1831">
        <f>'Acct Summary 7-8'!E20</f>
        <v>-1649067</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6999999</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6999999</v>
      </c>
      <c r="C2661" s="2" t="s">
        <v>569</v>
      </c>
      <c r="D2661" s="2" t="str">
        <f t="shared" si="40"/>
        <v>Error?</v>
      </c>
    </row>
    <row r="2662" spans="1:4" x14ac:dyDescent="0.2">
      <c r="A2662" s="5">
        <v>2601</v>
      </c>
      <c r="B2662" s="1831">
        <f>'Acct Summary 7-8'!H20</f>
        <v>-6999999</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1995</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401397</v>
      </c>
      <c r="C2789" s="2" t="s">
        <v>569</v>
      </c>
      <c r="D2789" s="2" t="str">
        <f t="shared" si="42"/>
        <v>Error?</v>
      </c>
    </row>
    <row r="2790" spans="1:4" x14ac:dyDescent="0.2">
      <c r="A2790" s="5">
        <v>2729</v>
      </c>
      <c r="B2790" s="1831">
        <f>'Expenditures 15-22'!E102</f>
        <v>401397</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3091453</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51888</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2271463</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142311</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51888</v>
      </c>
      <c r="D2908" s="2" t="str">
        <f t="shared" si="44"/>
        <v>Error?</v>
      </c>
    </row>
    <row r="2909" spans="1:4" x14ac:dyDescent="0.2">
      <c r="A2909" s="10">
        <v>2848</v>
      </c>
      <c r="B2909" s="1831"/>
      <c r="D2909" s="2" t="str">
        <f t="shared" si="44"/>
        <v>OK</v>
      </c>
    </row>
    <row r="2910" spans="1:4" x14ac:dyDescent="0.2">
      <c r="A2910" s="5">
        <v>2849</v>
      </c>
      <c r="B2910" s="1831">
        <f>'Assets-Liab 5-6'!I34</f>
        <v>51888</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2219575</v>
      </c>
      <c r="D2912" s="2" t="str">
        <f t="shared" si="44"/>
        <v>Error?</v>
      </c>
    </row>
    <row r="2913" spans="1:4" x14ac:dyDescent="0.2">
      <c r="A2913" s="5">
        <v>2852</v>
      </c>
      <c r="B2913" s="1831">
        <f>'Assets-Liab 5-6'!I41</f>
        <v>2271463</v>
      </c>
      <c r="C2913" s="2" t="s">
        <v>569</v>
      </c>
      <c r="D2913" s="2" t="str">
        <f t="shared" si="44"/>
        <v>Error?</v>
      </c>
    </row>
    <row r="2914" spans="1:4" x14ac:dyDescent="0.2">
      <c r="A2914" s="5">
        <v>2853</v>
      </c>
      <c r="B2914" s="1831">
        <f>'Assets-Liab 5-6'!L33</f>
        <v>142311</v>
      </c>
      <c r="D2914" s="2" t="str">
        <f t="shared" si="44"/>
        <v>Error?</v>
      </c>
    </row>
    <row r="2915" spans="1:4" x14ac:dyDescent="0.2">
      <c r="A2915" s="10">
        <v>2854</v>
      </c>
      <c r="B2915" s="1831"/>
      <c r="D2915" s="2" t="str">
        <f t="shared" si="44"/>
        <v>OK</v>
      </c>
    </row>
    <row r="2916" spans="1:4" x14ac:dyDescent="0.2">
      <c r="A2916" s="5">
        <v>2855</v>
      </c>
      <c r="B2916" s="1831">
        <f>'Assets-Liab 5-6'!L34</f>
        <v>142311</v>
      </c>
      <c r="C2916" s="2" t="s">
        <v>569</v>
      </c>
      <c r="D2916" s="2" t="str">
        <f t="shared" si="44"/>
        <v>Error?</v>
      </c>
    </row>
    <row r="2917" spans="1:4" x14ac:dyDescent="0.2">
      <c r="A2917" s="5">
        <v>2856</v>
      </c>
      <c r="B2917" s="1831">
        <f>'Assets-Liab 5-6'!L41</f>
        <v>142311</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3360</v>
      </c>
      <c r="D2949" s="2" t="str">
        <f t="shared" si="45"/>
        <v>Error?</v>
      </c>
    </row>
    <row r="2950" spans="1:4" x14ac:dyDescent="0.2">
      <c r="A2950" s="5">
        <v>2889</v>
      </c>
      <c r="B2950" s="1831">
        <f>'Expenditures 15-22'!E79</f>
        <v>398037</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7730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3360</v>
      </c>
      <c r="C2973" s="2" t="s">
        <v>569</v>
      </c>
      <c r="D2973" s="2" t="str">
        <f t="shared" si="45"/>
        <v>Error?</v>
      </c>
    </row>
    <row r="2974" spans="1:4" x14ac:dyDescent="0.2">
      <c r="A2974" s="5">
        <v>2913</v>
      </c>
      <c r="B2974" s="1831">
        <f>'Expenditures 15-22'!K79</f>
        <v>405767</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1995</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319051</v>
      </c>
      <c r="D3055" s="2" t="str">
        <f t="shared" si="46"/>
        <v>Error?</v>
      </c>
    </row>
    <row r="3056" spans="1:4" x14ac:dyDescent="0.2">
      <c r="A3056" s="5">
        <v>2995</v>
      </c>
      <c r="B3056" s="1831">
        <f>'Expenditures 15-22'!D10</f>
        <v>83558</v>
      </c>
      <c r="D3056" s="2" t="str">
        <f t="shared" si="46"/>
        <v>Error?</v>
      </c>
    </row>
    <row r="3057" spans="1:4" x14ac:dyDescent="0.2">
      <c r="A3057" s="5">
        <v>2996</v>
      </c>
      <c r="B3057" s="1831">
        <f>'Expenditures 15-22'!E10</f>
        <v>1824</v>
      </c>
      <c r="D3057" s="2" t="str">
        <f t="shared" si="46"/>
        <v>Error?</v>
      </c>
    </row>
    <row r="3058" spans="1:4" x14ac:dyDescent="0.2">
      <c r="A3058" s="5">
        <v>2997</v>
      </c>
      <c r="B3058" s="1831">
        <f>'Expenditures 15-22'!F10</f>
        <v>25953</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430386</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2988</v>
      </c>
      <c r="D3064" s="2" t="str">
        <f t="shared" si="46"/>
        <v>Error?</v>
      </c>
    </row>
    <row r="3065" spans="1:4" x14ac:dyDescent="0.2">
      <c r="A3065" s="5">
        <v>3004</v>
      </c>
      <c r="B3065" s="1831">
        <f>'Expenditures 15-22'!K219</f>
        <v>2988</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143379</v>
      </c>
      <c r="C3225" s="2" t="s">
        <v>569</v>
      </c>
      <c r="D3225" s="2" t="str">
        <f t="shared" si="49"/>
        <v>Error?</v>
      </c>
    </row>
    <row r="3226" spans="1:4" x14ac:dyDescent="0.2">
      <c r="A3226" s="5">
        <v>3165</v>
      </c>
      <c r="B3226" s="1831">
        <f>'Acct Summary 7-8'!I8</f>
        <v>143379</v>
      </c>
      <c r="C3226" s="2" t="s">
        <v>569</v>
      </c>
      <c r="D3226" s="2" t="str">
        <f t="shared" si="49"/>
        <v>Error?</v>
      </c>
    </row>
    <row r="3227" spans="1:4" x14ac:dyDescent="0.2">
      <c r="A3227" s="5">
        <v>3166</v>
      </c>
      <c r="B3227" s="1831">
        <f>'Acct Summary 7-8'!I20</f>
        <v>143379</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198320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6180000</v>
      </c>
      <c r="C3231" s="2" t="s">
        <v>569</v>
      </c>
      <c r="D3231" s="2" t="str">
        <f t="shared" si="49"/>
        <v>Error?</v>
      </c>
    </row>
    <row r="3232" spans="1:4" x14ac:dyDescent="0.2">
      <c r="A3232" s="5">
        <v>3171</v>
      </c>
      <c r="B3232" s="1831">
        <f>'Acct Summary 7-8'!C77</f>
        <v>-5981680</v>
      </c>
      <c r="C3232" s="2" t="s">
        <v>569</v>
      </c>
      <c r="D3232" s="2" t="str">
        <f t="shared" si="49"/>
        <v>Error?</v>
      </c>
    </row>
    <row r="3233" spans="1:4" x14ac:dyDescent="0.2">
      <c r="A3233" s="5">
        <v>3172</v>
      </c>
      <c r="B3233" s="1831">
        <f>'Acct Summary 7-8'!C78</f>
        <v>-178848</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4525000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4525000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1818956</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12000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12000</v>
      </c>
      <c r="C3255" s="2" t="s">
        <v>569</v>
      </c>
      <c r="D3255" s="2" t="str">
        <f t="shared" si="49"/>
        <v>Error?</v>
      </c>
    </row>
    <row r="3256" spans="1:4" x14ac:dyDescent="0.2">
      <c r="A3256" s="5">
        <v>3195</v>
      </c>
      <c r="B3256" s="1831">
        <f>'Acct Summary 7-8'!F78</f>
        <v>-535671</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-675871</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1655000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1655000</v>
      </c>
      <c r="C3277" s="2" t="s">
        <v>569</v>
      </c>
      <c r="D3277" s="2" t="str">
        <f t="shared" si="50"/>
        <v>Error?</v>
      </c>
    </row>
    <row r="3278" spans="1:4" x14ac:dyDescent="0.2">
      <c r="A3278" s="5">
        <v>3217</v>
      </c>
      <c r="B3278" s="1831">
        <f>'Acct Summary 7-8'!E78</f>
        <v>5933</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4525000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4525000</v>
      </c>
      <c r="C3299" s="2" t="s">
        <v>569</v>
      </c>
      <c r="D3299" s="2" t="str">
        <f t="shared" si="50"/>
        <v>Error?</v>
      </c>
    </row>
    <row r="3300" spans="1:4" x14ac:dyDescent="0.2">
      <c r="A3300" s="5">
        <v>3239</v>
      </c>
      <c r="B3300" s="1831">
        <f>'Acct Summary 7-8'!H78</f>
        <v>-2474999</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143379</v>
      </c>
      <c r="C3320" s="2" t="s">
        <v>569</v>
      </c>
      <c r="D3320" s="2" t="str">
        <f t="shared" si="50"/>
        <v>Error?</v>
      </c>
    </row>
    <row r="3321" spans="1:4" x14ac:dyDescent="0.2">
      <c r="A3321" s="5">
        <v>3260</v>
      </c>
      <c r="B3321" s="1831">
        <f>'Acct Summary 7-8'!I79</f>
        <v>2076196</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2219575</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3815924</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1115691</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64590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22266</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4213</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150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5024934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222412</v>
      </c>
      <c r="D3387" s="2" t="str">
        <f t="shared" si="51"/>
        <v>Error?</v>
      </c>
    </row>
    <row r="3388" spans="1:4" x14ac:dyDescent="0.2">
      <c r="A3388" s="5">
        <v>3327</v>
      </c>
      <c r="B3388" s="1831">
        <f>'Expenditures 15-22'!D217</f>
        <v>225404</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222412</v>
      </c>
      <c r="C3390" s="2" t="s">
        <v>569</v>
      </c>
      <c r="D3390" s="2" t="str">
        <f t="shared" si="51"/>
        <v>Error?</v>
      </c>
    </row>
    <row r="3391" spans="1:4" x14ac:dyDescent="0.2">
      <c r="A3391" s="5">
        <v>3330</v>
      </c>
      <c r="B3391" s="1831">
        <f>'Expenditures 15-22'!K217</f>
        <v>225404</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43673073</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6710731</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2266087</v>
      </c>
      <c r="D3417" s="2" t="str">
        <f t="shared" si="52"/>
        <v>Error?</v>
      </c>
    </row>
    <row r="3418" spans="1:4" x14ac:dyDescent="0.2">
      <c r="A3418" s="10">
        <v>3357</v>
      </c>
      <c r="B3418" s="1831"/>
      <c r="D3418" s="2" t="str">
        <f t="shared" si="52"/>
        <v>OK</v>
      </c>
    </row>
    <row r="3419" spans="1:4" x14ac:dyDescent="0.2">
      <c r="A3419" s="5">
        <v>3358</v>
      </c>
      <c r="B3419" s="1831">
        <f>'Assets-Liab 5-6'!F4</f>
        <v>12277807</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3035795</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323845</v>
      </c>
      <c r="D3425" s="2" t="str">
        <f t="shared" si="52"/>
        <v>Error?</v>
      </c>
    </row>
    <row r="3426" spans="1:4" x14ac:dyDescent="0.2">
      <c r="A3426" s="10">
        <v>3365</v>
      </c>
      <c r="B3426" s="1831"/>
      <c r="D3426" s="2" t="str">
        <f t="shared" si="52"/>
        <v>OK</v>
      </c>
    </row>
    <row r="3427" spans="1:4" x14ac:dyDescent="0.2">
      <c r="A3427" s="5">
        <v>3366</v>
      </c>
      <c r="B3427" s="1831">
        <f>'Assets-Liab 5-6'!I4</f>
        <v>2213072</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142311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247226</v>
      </c>
      <c r="C3446" s="2" t="s">
        <v>569</v>
      </c>
      <c r="D3446" s="2" t="str">
        <f t="shared" si="52"/>
        <v>Error?</v>
      </c>
    </row>
    <row r="3447" spans="1:4" x14ac:dyDescent="0.2">
      <c r="A3447" s="5">
        <v>3386</v>
      </c>
      <c r="B3447" s="1831">
        <f>'Tax Sched 23'!D16</f>
        <v>116707</v>
      </c>
      <c r="C3447" s="2" t="s">
        <v>569</v>
      </c>
      <c r="D3447" s="2" t="str">
        <f t="shared" si="52"/>
        <v>Error?</v>
      </c>
    </row>
    <row r="3448" spans="1:4" x14ac:dyDescent="0.2">
      <c r="A3448" s="5">
        <v>3387</v>
      </c>
      <c r="B3448" s="1831">
        <f>'Tax Sched 23'!C16</f>
        <v>130519</v>
      </c>
      <c r="D3448" s="2" t="str">
        <f t="shared" si="52"/>
        <v>Error?</v>
      </c>
    </row>
    <row r="3449" spans="1:4" x14ac:dyDescent="0.2">
      <c r="A3449" s="5">
        <v>3388</v>
      </c>
      <c r="B3449" s="1831">
        <f>'Tax Sched 23'!F16</f>
        <v>141388</v>
      </c>
      <c r="C3449" s="2" t="s">
        <v>569</v>
      </c>
      <c r="D3449" s="2" t="str">
        <f t="shared" si="52"/>
        <v>Error?</v>
      </c>
    </row>
    <row r="3450" spans="1:4" x14ac:dyDescent="0.2">
      <c r="A3450" s="5">
        <v>3389</v>
      </c>
      <c r="B3450" s="1831">
        <f>'Tax Sched 23'!E16</f>
        <v>271907</v>
      </c>
      <c r="D3450" s="2" t="str">
        <f t="shared" si="52"/>
        <v>Error?</v>
      </c>
    </row>
    <row r="3451" spans="1:4" x14ac:dyDescent="0.2">
      <c r="A3451" s="5">
        <v>3390</v>
      </c>
      <c r="B3451" s="1831">
        <f>'Cap Outlay Deprec 26'!C15</f>
        <v>18413921</v>
      </c>
      <c r="D3451" s="2" t="str">
        <f t="shared" si="52"/>
        <v>Error?</v>
      </c>
    </row>
    <row r="3452" spans="1:4" x14ac:dyDescent="0.2">
      <c r="A3452" s="5">
        <v>3391</v>
      </c>
      <c r="B3452" s="1831">
        <f>'Cap Outlay Deprec 26'!D15</f>
        <v>10097186</v>
      </c>
      <c r="D3452" s="2" t="str">
        <f t="shared" si="52"/>
        <v>Error?</v>
      </c>
    </row>
    <row r="3453" spans="1:4" x14ac:dyDescent="0.2">
      <c r="A3453" s="5">
        <v>3392</v>
      </c>
      <c r="B3453" s="1831">
        <f>'Cap Outlay Deprec 26'!E15</f>
        <v>25419654</v>
      </c>
      <c r="D3453" s="2" t="str">
        <f t="shared" si="52"/>
        <v>Error?</v>
      </c>
    </row>
    <row r="3454" spans="1:4" x14ac:dyDescent="0.2">
      <c r="A3454" s="5">
        <v>3393</v>
      </c>
      <c r="B3454" s="1831">
        <f>'Cap Outlay Deprec 26'!F15</f>
        <v>3091453</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3091453</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11199</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11199</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1995</v>
      </c>
      <c r="E3521" s="4" t="s">
        <v>134</v>
      </c>
    </row>
    <row r="3522" spans="1:5" x14ac:dyDescent="0.2">
      <c r="A3522" s="10">
        <v>3461</v>
      </c>
      <c r="B3522" s="1831"/>
      <c r="D3522" s="4" t="s">
        <v>1995</v>
      </c>
      <c r="E3522" s="4" t="s">
        <v>134</v>
      </c>
    </row>
    <row r="3523" spans="1:5" x14ac:dyDescent="0.2">
      <c r="A3523" s="10">
        <v>3462</v>
      </c>
      <c r="B3523" s="1831"/>
      <c r="D3523" s="4" t="s">
        <v>1995</v>
      </c>
      <c r="E3523" s="4" t="s">
        <v>134</v>
      </c>
    </row>
    <row r="3524" spans="1:5" x14ac:dyDescent="0.2">
      <c r="A3524" s="10">
        <v>3463</v>
      </c>
      <c r="B3524" s="1831"/>
      <c r="D3524" s="4" t="s">
        <v>1995</v>
      </c>
      <c r="E3524" s="4" t="s">
        <v>134</v>
      </c>
    </row>
    <row r="3525" spans="1:5" x14ac:dyDescent="0.2">
      <c r="A3525" s="10">
        <v>3464</v>
      </c>
      <c r="B3525" s="1831"/>
      <c r="D3525" s="4" t="s">
        <v>1995</v>
      </c>
      <c r="E3525" s="4" t="s">
        <v>134</v>
      </c>
    </row>
    <row r="3526" spans="1:5" x14ac:dyDescent="0.2">
      <c r="A3526" s="10">
        <v>3465</v>
      </c>
      <c r="B3526" s="1831"/>
      <c r="D3526" s="4" t="s">
        <v>1995</v>
      </c>
      <c r="E3526" s="4" t="s">
        <v>134</v>
      </c>
    </row>
    <row r="3527" spans="1:5" x14ac:dyDescent="0.2">
      <c r="A3527" s="10">
        <v>3466</v>
      </c>
      <c r="B3527" s="1831"/>
      <c r="D3527" s="4" t="s">
        <v>1995</v>
      </c>
      <c r="E3527" s="4" t="s">
        <v>134</v>
      </c>
    </row>
    <row r="3528" spans="1:5" x14ac:dyDescent="0.2">
      <c r="A3528" s="10">
        <v>3467</v>
      </c>
      <c r="B3528" s="1831"/>
      <c r="D3528" s="4" t="s">
        <v>1995</v>
      </c>
      <c r="E3528" s="4" t="s">
        <v>134</v>
      </c>
    </row>
    <row r="3529" spans="1:5" x14ac:dyDescent="0.2">
      <c r="A3529" s="10">
        <v>3468</v>
      </c>
      <c r="B3529" s="1831"/>
      <c r="D3529" s="4" t="s">
        <v>1995</v>
      </c>
      <c r="E3529" s="4" t="s">
        <v>134</v>
      </c>
    </row>
    <row r="3530" spans="1:5" x14ac:dyDescent="0.2">
      <c r="A3530" s="5">
        <v>3469</v>
      </c>
      <c r="B3530" s="1831">
        <f>'Acct Summary 7-8'!C36</f>
        <v>198320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12000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5053</v>
      </c>
      <c r="D3546" s="2" t="str">
        <f t="shared" si="54"/>
        <v>Error?</v>
      </c>
    </row>
    <row r="3547" spans="1:4" x14ac:dyDescent="0.2">
      <c r="A3547" s="10">
        <v>3486</v>
      </c>
      <c r="B3547" s="1831"/>
      <c r="D3547" s="2" t="str">
        <f t="shared" si="54"/>
        <v>OK</v>
      </c>
    </row>
    <row r="3548" spans="1:4" x14ac:dyDescent="0.2">
      <c r="A3548" s="5">
        <v>3487</v>
      </c>
      <c r="B3548" s="1831">
        <f>'Assets-Liab 5-6'!K6</f>
        <v>311922</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317631</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311922</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311922</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5709</v>
      </c>
      <c r="D3567" s="2" t="str">
        <f t="shared" si="54"/>
        <v>Error?</v>
      </c>
    </row>
    <row r="3568" spans="1:4" x14ac:dyDescent="0.2">
      <c r="A3568" s="5">
        <v>3507</v>
      </c>
      <c r="B3568" s="1831">
        <f>'Assets-Liab 5-6'!K41</f>
        <v>317631</v>
      </c>
      <c r="C3568" s="2" t="s">
        <v>569</v>
      </c>
      <c r="D3568" s="2" t="str">
        <f t="shared" si="54"/>
        <v>Error?</v>
      </c>
    </row>
    <row r="3569" spans="1:4" x14ac:dyDescent="0.2">
      <c r="A3569" s="5">
        <v>3508</v>
      </c>
      <c r="B3569" s="1831">
        <f>'Acct Summary 7-8'!K4</f>
        <v>652213</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652213</v>
      </c>
      <c r="C3571" s="2" t="s">
        <v>569</v>
      </c>
      <c r="D3571" s="2" t="str">
        <f t="shared" si="54"/>
        <v>Error?</v>
      </c>
    </row>
    <row r="3572" spans="1:4" x14ac:dyDescent="0.2">
      <c r="A3572" s="5">
        <v>3511</v>
      </c>
      <c r="B3572" s="1831">
        <f>'Acct Summary 7-8'!K13</f>
        <v>883311</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883311</v>
      </c>
      <c r="C3575" s="2" t="s">
        <v>569</v>
      </c>
      <c r="D3575" s="2" t="str">
        <f t="shared" si="54"/>
        <v>Error?</v>
      </c>
    </row>
    <row r="3576" spans="1:4" x14ac:dyDescent="0.2">
      <c r="A3576" s="5">
        <v>3515</v>
      </c>
      <c r="B3576" s="1831">
        <f>'Acct Summary 7-8'!K20</f>
        <v>-231098</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-231098</v>
      </c>
      <c r="C3588" s="2" t="s">
        <v>569</v>
      </c>
      <c r="D3588" s="2" t="str">
        <f t="shared" si="55"/>
        <v>Error?</v>
      </c>
    </row>
    <row r="3589" spans="1:4" x14ac:dyDescent="0.2">
      <c r="A3589" s="5">
        <v>3528</v>
      </c>
      <c r="B3589" s="1831">
        <f>'Acct Summary 7-8'!K79</f>
        <v>236807</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5709</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109721</v>
      </c>
      <c r="D3632" s="2" t="str">
        <f t="shared" si="55"/>
        <v>Error?</v>
      </c>
    </row>
    <row r="3633" spans="1:4" x14ac:dyDescent="0.2">
      <c r="A3633" s="5">
        <v>3572</v>
      </c>
      <c r="B3633" s="1831">
        <f>'Expenditures 15-22'!E350</f>
        <v>109721</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109721</v>
      </c>
      <c r="C3635" s="2" t="s">
        <v>569</v>
      </c>
      <c r="D3635" s="2" t="str">
        <f t="shared" si="55"/>
        <v>Error?</v>
      </c>
    </row>
    <row r="3636" spans="1:4" x14ac:dyDescent="0.2">
      <c r="A3636" s="5">
        <v>3575</v>
      </c>
      <c r="B3636" s="1831">
        <f>'Expenditures 15-22'!E367</f>
        <v>109721</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773590</v>
      </c>
      <c r="D3646" s="2" t="str">
        <f t="shared" si="55"/>
        <v>Error?</v>
      </c>
    </row>
    <row r="3647" spans="1:4" x14ac:dyDescent="0.2">
      <c r="A3647" s="5">
        <v>3586</v>
      </c>
      <c r="B3647" s="1831">
        <f>'Expenditures 15-22'!G350</f>
        <v>773590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773590</v>
      </c>
      <c r="C3649" s="2" t="s">
        <v>569</v>
      </c>
      <c r="D3649" s="2" t="str">
        <f t="shared" si="56"/>
        <v>Error?</v>
      </c>
    </row>
    <row r="3650" spans="1:4" x14ac:dyDescent="0.2">
      <c r="A3650" s="5">
        <v>3589</v>
      </c>
      <c r="B3650" s="1831">
        <f>'Expenditures 15-22'!G367</f>
        <v>773590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883311</v>
      </c>
      <c r="C3669" s="2" t="s">
        <v>569</v>
      </c>
      <c r="D3669" s="2" t="str">
        <f t="shared" si="56"/>
        <v>Error?</v>
      </c>
    </row>
    <row r="3670" spans="1:4" x14ac:dyDescent="0.2">
      <c r="A3670" s="5">
        <v>3609</v>
      </c>
      <c r="B3670" s="1831">
        <f>'Expenditures 15-22'!K350</f>
        <v>883311</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883311</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883311</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-231098</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1033256</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16650396</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60245498</v>
      </c>
      <c r="C4122" s="2" t="s">
        <v>569</v>
      </c>
      <c r="D4122" s="2" t="str">
        <f t="shared" si="63"/>
        <v>Error?</v>
      </c>
    </row>
    <row r="4123" spans="1:4" x14ac:dyDescent="0.2">
      <c r="A4123" s="5">
        <v>4062</v>
      </c>
      <c r="B4123" s="1831">
        <f>'Acct Summary 7-8'!D10</f>
        <v>7472839</v>
      </c>
      <c r="C4123" s="2" t="s">
        <v>569</v>
      </c>
      <c r="D4123" s="2" t="str">
        <f t="shared" si="63"/>
        <v>Error?</v>
      </c>
    </row>
    <row r="4124" spans="1:4" x14ac:dyDescent="0.2">
      <c r="A4124" s="5">
        <v>4063</v>
      </c>
      <c r="B4124" s="1831">
        <f>'Acct Summary 7-8'!E10</f>
        <v>2115307</v>
      </c>
      <c r="C4124" s="2" t="s">
        <v>569</v>
      </c>
      <c r="D4124" s="2" t="str">
        <f t="shared" si="63"/>
        <v>Error?</v>
      </c>
    </row>
    <row r="4125" spans="1:4" x14ac:dyDescent="0.2">
      <c r="A4125" s="5">
        <v>4064</v>
      </c>
      <c r="B4125" s="1831">
        <f>'Acct Summary 7-8'!F10</f>
        <v>1577868</v>
      </c>
      <c r="C4125" s="2" t="s">
        <v>569</v>
      </c>
      <c r="D4125" s="2" t="str">
        <f t="shared" si="63"/>
        <v>Error?</v>
      </c>
    </row>
    <row r="4126" spans="1:4" x14ac:dyDescent="0.2">
      <c r="A4126" s="5">
        <v>4065</v>
      </c>
      <c r="B4126" s="1831">
        <f>'Acct Summary 7-8'!G10</f>
        <v>638472</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143379</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652213</v>
      </c>
      <c r="C4130" s="2" t="s">
        <v>569</v>
      </c>
      <c r="D4130" s="2" t="str">
        <f t="shared" si="63"/>
        <v>Error?</v>
      </c>
    </row>
    <row r="4131" spans="1:4" x14ac:dyDescent="0.2">
      <c r="A4131" s="5">
        <v>4070</v>
      </c>
      <c r="B4131" s="1831">
        <f>'Acct Summary 7-8'!C18</f>
        <v>16650396</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54442666</v>
      </c>
      <c r="C4136" s="2" t="s">
        <v>569</v>
      </c>
      <c r="D4136" s="2" t="str">
        <f t="shared" si="63"/>
        <v>Error?</v>
      </c>
    </row>
    <row r="4137" spans="1:4" x14ac:dyDescent="0.2">
      <c r="A4137" s="5">
        <v>4076</v>
      </c>
      <c r="B4137" s="1831">
        <f>'Acct Summary 7-8'!D19</f>
        <v>5653883</v>
      </c>
      <c r="C4137" s="2" t="s">
        <v>569</v>
      </c>
      <c r="D4137" s="2" t="str">
        <f t="shared" si="63"/>
        <v>Error?</v>
      </c>
    </row>
    <row r="4138" spans="1:4" x14ac:dyDescent="0.2">
      <c r="A4138" s="5">
        <v>4077</v>
      </c>
      <c r="B4138" s="1831">
        <f>'Acct Summary 7-8'!E19</f>
        <v>3764374</v>
      </c>
      <c r="C4138" s="2" t="s">
        <v>569</v>
      </c>
      <c r="D4138" s="2" t="str">
        <f t="shared" si="63"/>
        <v>Error?</v>
      </c>
    </row>
    <row r="4139" spans="1:4" x14ac:dyDescent="0.2">
      <c r="A4139" s="5">
        <v>4078</v>
      </c>
      <c r="B4139" s="1831">
        <f>'Acct Summary 7-8'!F19</f>
        <v>2125539</v>
      </c>
      <c r="C4139" s="2" t="s">
        <v>569</v>
      </c>
      <c r="D4139" s="2" t="str">
        <f t="shared" si="63"/>
        <v>Error?</v>
      </c>
    </row>
    <row r="4140" spans="1:4" x14ac:dyDescent="0.2">
      <c r="A4140" s="5">
        <v>4079</v>
      </c>
      <c r="B4140" s="1831">
        <f>'Acct Summary 7-8'!G19</f>
        <v>1314343</v>
      </c>
      <c r="C4140" s="2" t="s">
        <v>569</v>
      </c>
      <c r="D4140" s="2" t="str">
        <f t="shared" si="63"/>
        <v>Error?</v>
      </c>
    </row>
    <row r="4141" spans="1:4" x14ac:dyDescent="0.2">
      <c r="A4141" s="5">
        <v>4080</v>
      </c>
      <c r="B4141" s="1831">
        <f>'Acct Summary 7-8'!H19</f>
        <v>6999999</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883311</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34025000</v>
      </c>
      <c r="C4171" s="2" t="s">
        <v>569</v>
      </c>
      <c r="D4171" s="2" t="str">
        <f t="shared" si="64"/>
        <v>Error?</v>
      </c>
    </row>
    <row r="4172" spans="1:4" x14ac:dyDescent="0.2">
      <c r="A4172" s="5">
        <v>4111</v>
      </c>
      <c r="B4172" s="1831">
        <f>'Short-Term Long-Term Debt 24'!J49</f>
        <v>31755760</v>
      </c>
      <c r="C4172" s="2" t="s">
        <v>569</v>
      </c>
      <c r="D4172" s="2" t="str">
        <f t="shared" si="64"/>
        <v>Error?</v>
      </c>
    </row>
    <row r="4173" spans="1:4" x14ac:dyDescent="0.2">
      <c r="A4173" s="5">
        <v>4112</v>
      </c>
      <c r="B4173" s="1831">
        <f>'Short-Term Long-Term Debt 24'!H49</f>
        <v>1870000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1897</v>
      </c>
    </row>
    <row r="4236" spans="1:5" x14ac:dyDescent="0.2">
      <c r="A4236" s="10">
        <v>4175</v>
      </c>
      <c r="B4236" s="1831"/>
      <c r="D4236" s="2" t="str">
        <f t="shared" si="65"/>
        <v>OK</v>
      </c>
      <c r="E4236" s="4" t="s">
        <v>1897</v>
      </c>
    </row>
    <row r="4237" spans="1:5" x14ac:dyDescent="0.2">
      <c r="A4237" s="10">
        <v>4176</v>
      </c>
      <c r="B4237" s="1831"/>
      <c r="D4237" s="2" t="str">
        <f t="shared" si="65"/>
        <v>OK</v>
      </c>
      <c r="E4237" s="4" t="s">
        <v>1897</v>
      </c>
    </row>
    <row r="4238" spans="1:5" x14ac:dyDescent="0.2">
      <c r="A4238" s="10">
        <v>4177</v>
      </c>
      <c r="B4238" s="1831"/>
      <c r="D4238" s="2" t="str">
        <f t="shared" si="65"/>
        <v>OK</v>
      </c>
      <c r="E4238" s="4" t="s">
        <v>1897</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3541.7999999999997</v>
      </c>
      <c r="C4265" s="2" t="s">
        <v>569</v>
      </c>
      <c r="D4265" s="2" t="str">
        <f t="shared" si="65"/>
        <v>Error?</v>
      </c>
      <c r="E4265" s="125"/>
    </row>
    <row r="4266" spans="1:5" x14ac:dyDescent="0.2">
      <c r="A4266" s="12">
        <v>4205</v>
      </c>
      <c r="B4266" s="1831">
        <f>('FP Info 3'!F10)*100000</f>
        <v>458.90000000000003</v>
      </c>
      <c r="C4266" s="2" t="s">
        <v>569</v>
      </c>
      <c r="D4266" s="2" t="str">
        <f t="shared" si="65"/>
        <v>Error?</v>
      </c>
      <c r="E4266" s="125"/>
    </row>
    <row r="4267" spans="1:5" x14ac:dyDescent="0.2">
      <c r="A4267" s="12">
        <v>4206</v>
      </c>
      <c r="B4267" s="1831">
        <f>('FP Info 3'!H10)*100000</f>
        <v>33.700000000000003</v>
      </c>
      <c r="C4267" s="2" t="s">
        <v>569</v>
      </c>
      <c r="D4267" s="2" t="str">
        <f t="shared" si="65"/>
        <v>Error?</v>
      </c>
      <c r="E4267" s="125"/>
    </row>
    <row r="4268" spans="1:5" x14ac:dyDescent="0.2">
      <c r="A4268" s="12">
        <v>4207</v>
      </c>
      <c r="B4268" s="1831">
        <f>('FP Info 3'!J10)*100000</f>
        <v>4034</v>
      </c>
      <c r="C4268" s="2" t="s">
        <v>569</v>
      </c>
      <c r="D4268" s="2" t="str">
        <f t="shared" si="65"/>
        <v>Error?</v>
      </c>
    </row>
    <row r="4269" spans="1:5" x14ac:dyDescent="0.2">
      <c r="A4269" s="12">
        <v>4208</v>
      </c>
      <c r="B4269" s="1831">
        <f>'FP Info 3'!J16</f>
        <v>65746284</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42051</v>
      </c>
      <c r="D4301" s="2" t="str">
        <f t="shared" si="66"/>
        <v>Error?</v>
      </c>
    </row>
    <row r="4302" spans="1:4" x14ac:dyDescent="0.2">
      <c r="A4302" s="5">
        <v>4241</v>
      </c>
      <c r="B4302" s="1831">
        <f>'Rest Tax Levies-Tort Im 25'!G38</f>
        <v>48543</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6752</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64879</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204022</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1897</v>
      </c>
    </row>
    <row r="4400" spans="1:5" x14ac:dyDescent="0.2">
      <c r="A4400" s="10">
        <v>4339</v>
      </c>
      <c r="B4400" s="1831"/>
      <c r="D4400" s="2" t="str">
        <f t="shared" si="67"/>
        <v>OK</v>
      </c>
      <c r="E4400" s="4" t="s">
        <v>1897</v>
      </c>
    </row>
    <row r="4401" spans="1:5" x14ac:dyDescent="0.2">
      <c r="A4401" s="10">
        <v>4340</v>
      </c>
      <c r="B4401" s="1831"/>
      <c r="D4401" s="2" t="str">
        <f t="shared" si="67"/>
        <v>OK</v>
      </c>
      <c r="E4401" s="4" t="s">
        <v>1897</v>
      </c>
    </row>
    <row r="4402" spans="1:5" x14ac:dyDescent="0.2">
      <c r="A4402" s="10">
        <v>4341</v>
      </c>
      <c r="B4402" s="1831"/>
      <c r="D4402" s="2" t="str">
        <f t="shared" si="67"/>
        <v>OK</v>
      </c>
      <c r="E4402" s="4" t="s">
        <v>1897</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21875</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87766</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97729</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11.6</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62807</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889133008</v>
      </c>
      <c r="D4995" s="2" t="str">
        <f t="shared" si="77"/>
        <v>Error?</v>
      </c>
    </row>
    <row r="4996" spans="1:4" x14ac:dyDescent="0.2">
      <c r="A4996" s="12">
        <v>4935</v>
      </c>
      <c r="B4996" s="1831">
        <f>'FP Info 3'!H31</f>
        <v>61350177.552000009</v>
      </c>
      <c r="D4996" s="2" t="str">
        <f t="shared" si="77"/>
        <v>Error?</v>
      </c>
    </row>
    <row r="4997" spans="1:4" x14ac:dyDescent="0.2">
      <c r="A4997" s="12">
        <v>4936</v>
      </c>
      <c r="B4997" s="1831">
        <f>'FP Info 3'!H37</f>
        <v>34025000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4525000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4525000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28538484</v>
      </c>
      <c r="D5061" s="2" t="str">
        <f t="shared" si="78"/>
        <v>Error?</v>
      </c>
    </row>
    <row r="5062" spans="1:4" x14ac:dyDescent="0.2">
      <c r="A5062" s="10">
        <v>5001</v>
      </c>
      <c r="B5062" s="1831"/>
      <c r="D5062" s="2" t="str">
        <f t="shared" si="78"/>
        <v>OK</v>
      </c>
    </row>
    <row r="5063" spans="1:4" x14ac:dyDescent="0.2">
      <c r="A5063" s="5">
        <v>5002</v>
      </c>
      <c r="B5063" s="1831">
        <f>'Revenues 9-14'!C7</f>
        <v>2764081</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31302565</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0</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1011844</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1011844</v>
      </c>
      <c r="C5087" s="2" t="s">
        <v>569</v>
      </c>
      <c r="D5087" s="2" t="str">
        <f t="shared" si="78"/>
        <v>Error?</v>
      </c>
    </row>
    <row r="5088" spans="1:4" x14ac:dyDescent="0.2">
      <c r="A5088" s="5">
        <v>5027</v>
      </c>
      <c r="B5088" s="1831">
        <f>'Revenues 9-14'!C65</f>
        <v>978487</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978487</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21406</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1683</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23129</v>
      </c>
      <c r="C5096" s="2" t="s">
        <v>569</v>
      </c>
      <c r="D5096" s="2" t="str">
        <f t="shared" si="78"/>
        <v>Error?</v>
      </c>
    </row>
    <row r="5097" spans="1:4" x14ac:dyDescent="0.2">
      <c r="A5097" s="5">
        <v>5036</v>
      </c>
      <c r="B5097" s="1831">
        <f>'Revenues 9-14'!C77</f>
        <v>16261</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108581</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2891</v>
      </c>
      <c r="D5101" s="2" t="str">
        <f t="shared" si="78"/>
        <v>Error?</v>
      </c>
    </row>
    <row r="5102" spans="1:4" x14ac:dyDescent="0.2">
      <c r="A5102" s="5">
        <v>5041</v>
      </c>
      <c r="B5102" s="1831">
        <f>'Revenues 9-14'!C82</f>
        <v>127733</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122105</v>
      </c>
      <c r="D5115" s="2" t="str">
        <f t="shared" si="78"/>
        <v>Error?</v>
      </c>
    </row>
    <row r="5116" spans="1:4" x14ac:dyDescent="0.2">
      <c r="A5116" s="5">
        <v>5055</v>
      </c>
      <c r="B5116" s="1831">
        <f>'Revenues 9-14'!C99</f>
        <v>7709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22144</v>
      </c>
      <c r="D5119" s="2" t="str">
        <f t="shared" ref="D5119:D5182" si="79">IF(ISBLANK(B5119),"OK",IF(A5119-B5119=0,"OK","Error?"))</f>
        <v>Error?</v>
      </c>
    </row>
    <row r="5120" spans="1:4" x14ac:dyDescent="0.2">
      <c r="A5120" s="5">
        <v>5059</v>
      </c>
      <c r="B5120" s="1831">
        <f>'Revenues 9-14'!C108</f>
        <v>214765</v>
      </c>
      <c r="C5120" s="2" t="s">
        <v>569</v>
      </c>
      <c r="D5120" s="2" t="str">
        <f t="shared" si="79"/>
        <v>Error?</v>
      </c>
    </row>
    <row r="5121" spans="1:4" x14ac:dyDescent="0.2">
      <c r="A5121" s="5">
        <v>5060</v>
      </c>
      <c r="B5121" s="1831">
        <f>'Revenues 9-14'!C109</f>
        <v>33658523</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6420356</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6420356</v>
      </c>
      <c r="C5132" s="2" t="s">
        <v>569</v>
      </c>
      <c r="D5132" s="2" t="str">
        <f t="shared" si="79"/>
        <v>Error?</v>
      </c>
    </row>
    <row r="5133" spans="1:4" x14ac:dyDescent="0.2">
      <c r="A5133" s="5">
        <v>5072</v>
      </c>
      <c r="B5133" s="1831">
        <f>'Revenues 9-14'!C125</f>
        <v>202167</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67531</v>
      </c>
      <c r="D5137" s="2" t="str">
        <f t="shared" si="79"/>
        <v>Error?</v>
      </c>
    </row>
    <row r="5138" spans="1:4" x14ac:dyDescent="0.2">
      <c r="A5138" s="10">
        <v>5077</v>
      </c>
      <c r="B5138" s="1831"/>
      <c r="D5138" s="2" t="str">
        <f t="shared" si="79"/>
        <v>OK</v>
      </c>
    </row>
    <row r="5139" spans="1:4" x14ac:dyDescent="0.2">
      <c r="A5139" s="5">
        <v>5078</v>
      </c>
      <c r="B5139" s="1831">
        <f>'Revenues 9-14'!C129</f>
        <v>1438</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271136</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2503</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2503</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17948</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543798</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1897</v>
      </c>
    </row>
    <row r="5200" spans="1:5" x14ac:dyDescent="0.2">
      <c r="A5200" s="10">
        <v>5139</v>
      </c>
      <c r="B5200" s="1831"/>
      <c r="D5200" s="2" t="str">
        <f t="shared" si="80"/>
        <v>OK</v>
      </c>
      <c r="E5200" s="4" t="s">
        <v>1897</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835385</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7255741</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718972</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401406</v>
      </c>
      <c r="D5241" s="2" t="str">
        <f t="shared" si="80"/>
        <v>Error?</v>
      </c>
    </row>
    <row r="5242" spans="1:4" x14ac:dyDescent="0.2">
      <c r="A5242" s="5">
        <v>5181</v>
      </c>
      <c r="B5242" s="1831">
        <f>'Revenues 9-14'!C194</f>
        <v>0</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1120378</v>
      </c>
      <c r="C5246" s="2" t="s">
        <v>569</v>
      </c>
      <c r="D5246" s="2" t="str">
        <f t="shared" si="80"/>
        <v>Error?</v>
      </c>
    </row>
    <row r="5247" spans="1:4" x14ac:dyDescent="0.2">
      <c r="A5247" s="5">
        <v>5186</v>
      </c>
      <c r="B5247" s="1831">
        <f>'Revenues 9-14'!C200</f>
        <v>633712</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1897</v>
      </c>
    </row>
    <row r="5255" spans="1:5" x14ac:dyDescent="0.2">
      <c r="A5255" s="5">
        <v>5194</v>
      </c>
      <c r="B5255" s="1831">
        <f>'Revenues 9-14'!C202</f>
        <v>0</v>
      </c>
      <c r="D5255" s="2" t="str">
        <f t="shared" si="81"/>
        <v>Error?</v>
      </c>
    </row>
    <row r="5256" spans="1:5" x14ac:dyDescent="0.2">
      <c r="A5256" s="5">
        <v>5195</v>
      </c>
      <c r="B5256" s="1831">
        <f>'Revenues 9-14'!C206</f>
        <v>21875</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640464</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11652</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407091</v>
      </c>
      <c r="D5278" s="2" t="str">
        <f t="shared" si="81"/>
        <v>Error?</v>
      </c>
    </row>
    <row r="5279" spans="1:4" x14ac:dyDescent="0.2">
      <c r="A5279" s="5">
        <v>5218</v>
      </c>
      <c r="B5279" s="1831">
        <f>'Revenues 9-14'!C214</f>
        <v>24982</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443725</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1897</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2680838</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2680838</v>
      </c>
      <c r="C5326" s="2" t="s">
        <v>569</v>
      </c>
      <c r="D5326" s="2" t="str">
        <f t="shared" si="82"/>
        <v>Error?</v>
      </c>
    </row>
    <row r="5327" spans="1:5" x14ac:dyDescent="0.2">
      <c r="A5327" s="5">
        <v>5266</v>
      </c>
      <c r="B5327" s="1831">
        <f>'Revenues 9-14'!C268</f>
        <v>43595102</v>
      </c>
      <c r="C5327" s="2" t="s">
        <v>569</v>
      </c>
      <c r="D5327" s="2" t="str">
        <f t="shared" si="82"/>
        <v>Error?</v>
      </c>
    </row>
    <row r="5328" spans="1:5" x14ac:dyDescent="0.2">
      <c r="A5328" s="5">
        <v>5267</v>
      </c>
      <c r="B5328" s="1831">
        <f>'Revenues 9-14'!D5</f>
        <v>3801685</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3801685</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3184744</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3184744</v>
      </c>
      <c r="C5339" s="2" t="s">
        <v>569</v>
      </c>
      <c r="D5339" s="2" t="str">
        <f t="shared" si="82"/>
        <v>Error?</v>
      </c>
    </row>
    <row r="5340" spans="1:4" x14ac:dyDescent="0.2">
      <c r="A5340" s="5">
        <v>5279</v>
      </c>
      <c r="B5340" s="1831">
        <f>'Revenues 9-14'!D65</f>
        <v>156149</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156149</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42312</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207000</v>
      </c>
      <c r="D5351" s="2" t="str">
        <f t="shared" si="82"/>
        <v>Error?</v>
      </c>
    </row>
    <row r="5352" spans="1:4" x14ac:dyDescent="0.2">
      <c r="A5352" s="5">
        <v>5291</v>
      </c>
      <c r="B5352" s="1831">
        <f>'Revenues 9-14'!D99</f>
        <v>72639</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8310</v>
      </c>
      <c r="D5354" s="2" t="str">
        <f t="shared" si="82"/>
        <v>Error?</v>
      </c>
    </row>
    <row r="5355" spans="1:4" x14ac:dyDescent="0.2">
      <c r="A5355" s="5">
        <v>5294</v>
      </c>
      <c r="B5355" s="1831">
        <f>'Revenues 9-14'!D108</f>
        <v>330261</v>
      </c>
      <c r="C5355" s="2" t="s">
        <v>569</v>
      </c>
      <c r="D5355" s="2" t="str">
        <f t="shared" si="82"/>
        <v>Error?</v>
      </c>
    </row>
    <row r="5356" spans="1:4" x14ac:dyDescent="0.2">
      <c r="A5356" s="5">
        <v>5295</v>
      </c>
      <c r="B5356" s="1831">
        <f>'Revenues 9-14'!D109</f>
        <v>7472839</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1897</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7472839</v>
      </c>
      <c r="C5508" s="2" t="s">
        <v>569</v>
      </c>
      <c r="D5508" s="2" t="str">
        <f t="shared" si="85"/>
        <v>Error?</v>
      </c>
    </row>
    <row r="5509" spans="1:4" x14ac:dyDescent="0.2">
      <c r="A5509" s="5">
        <v>5448</v>
      </c>
      <c r="B5509" s="1831">
        <f>'Revenues 9-14'!E5</f>
        <v>2038553</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2038553</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76735</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76735</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19</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19</v>
      </c>
      <c r="C5526" s="2" t="s">
        <v>569</v>
      </c>
      <c r="D5526" s="2" t="str">
        <f t="shared" si="85"/>
        <v>Error?</v>
      </c>
    </row>
    <row r="5527" spans="1:4" x14ac:dyDescent="0.2">
      <c r="A5527" s="5">
        <v>5466</v>
      </c>
      <c r="B5527" s="1831">
        <f>'Revenues 9-14'!E109</f>
        <v>2115307</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2115307</v>
      </c>
      <c r="C5552" s="2" t="s">
        <v>569</v>
      </c>
      <c r="D5552" s="2" t="str">
        <f t="shared" si="85"/>
        <v>Error?</v>
      </c>
    </row>
    <row r="5553" spans="1:4" x14ac:dyDescent="0.2">
      <c r="A5553" s="5">
        <v>5492</v>
      </c>
      <c r="B5553" s="1831">
        <f>'Revenues 9-14'!F5</f>
        <v>544896</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544896</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3070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3070</v>
      </c>
      <c r="C5579" s="2" t="s">
        <v>569</v>
      </c>
      <c r="D5579" s="2" t="str">
        <f t="shared" si="86"/>
        <v>Error?</v>
      </c>
    </row>
    <row r="5580" spans="1:4" x14ac:dyDescent="0.2">
      <c r="A5580" s="5">
        <v>5519</v>
      </c>
      <c r="B5580" s="1831">
        <f>'Revenues 9-14'!F65</f>
        <v>10539</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10539</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558505</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352559</v>
      </c>
      <c r="D5615" s="2" t="str">
        <f t="shared" si="86"/>
        <v>Error?</v>
      </c>
    </row>
    <row r="5616" spans="1:4" x14ac:dyDescent="0.2">
      <c r="A5616" s="10">
        <v>5555</v>
      </c>
      <c r="B5616" s="1831"/>
      <c r="D5616" s="2" t="str">
        <f t="shared" si="86"/>
        <v>OK</v>
      </c>
    </row>
    <row r="5617" spans="1:5" x14ac:dyDescent="0.2">
      <c r="A5617" s="5">
        <v>5556</v>
      </c>
      <c r="B5617" s="1831">
        <f>'Revenues 9-14'!F153</f>
        <v>666804</v>
      </c>
      <c r="D5617" s="2" t="str">
        <f t="shared" si="86"/>
        <v>Error?</v>
      </c>
    </row>
    <row r="5618" spans="1:5" x14ac:dyDescent="0.2">
      <c r="A5618" s="5">
        <v>5557</v>
      </c>
      <c r="B5618" s="1831">
        <f>'Revenues 9-14'!F155</f>
        <v>1019363</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1897</v>
      </c>
    </row>
    <row r="5631" spans="1:5" x14ac:dyDescent="0.2">
      <c r="A5631" s="10">
        <v>5570</v>
      </c>
      <c r="B5631" s="1831"/>
      <c r="D5631" s="2" t="str">
        <f t="shared" ref="D5631:D5694" si="87">IF(ISBLANK(B5631),"OK",IF(A5631-B5631=0,"OK","Error?"))</f>
        <v>OK</v>
      </c>
      <c r="E5631" s="4" t="s">
        <v>1897</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1019363</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1019363</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1897</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1897</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1577868</v>
      </c>
      <c r="C5720" s="2" t="s">
        <v>569</v>
      </c>
      <c r="D5720" s="2" t="str">
        <f t="shared" si="88"/>
        <v>Error?</v>
      </c>
    </row>
    <row r="5721" spans="1:4" x14ac:dyDescent="0.2">
      <c r="A5721" s="5">
        <v>5660</v>
      </c>
      <c r="B5721" s="1831">
        <f>'Revenues 9-14'!G5</f>
        <v>222528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247226</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469754</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168000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168000</v>
      </c>
      <c r="C5730" s="2" t="s">
        <v>569</v>
      </c>
      <c r="D5730" s="2" t="str">
        <f t="shared" si="88"/>
        <v>Error?</v>
      </c>
    </row>
    <row r="5731" spans="1:4" x14ac:dyDescent="0.2">
      <c r="A5731" s="5">
        <v>5670</v>
      </c>
      <c r="B5731" s="1831">
        <f>'Revenues 9-14'!G65</f>
        <v>718</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718</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1897</v>
      </c>
    </row>
    <row r="5768" spans="1:5" x14ac:dyDescent="0.2">
      <c r="A5768" s="10">
        <v>5707</v>
      </c>
      <c r="B5768" s="1831"/>
      <c r="D5768" s="2" t="str">
        <f t="shared" si="89"/>
        <v>OK</v>
      </c>
      <c r="E5768" s="4" t="s">
        <v>1897</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1897</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1897</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638472</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142092</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142092</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1287</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1287</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143379</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631795</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631795</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20418</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20418</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652213</v>
      </c>
      <c r="C6023" s="2" t="s">
        <v>569</v>
      </c>
      <c r="D6023" s="2" t="str">
        <f t="shared" si="93"/>
        <v>Error?</v>
      </c>
    </row>
    <row r="6024" spans="1:5" x14ac:dyDescent="0.2">
      <c r="A6024" s="5">
        <v>5963</v>
      </c>
      <c r="B6024" s="1831">
        <f>'Revenues 9-14'!G109</f>
        <v>638472</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143379</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652213</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40</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98365</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2505.9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637864</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253747</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147623</v>
      </c>
      <c r="D6099" s="2" t="str">
        <f t="shared" si="94"/>
        <v>Error?</v>
      </c>
      <c r="E6099" s="2" t="s">
        <v>189</v>
      </c>
    </row>
    <row r="6100" spans="1:5" x14ac:dyDescent="0.2">
      <c r="A6100">
        <v>6039</v>
      </c>
      <c r="B6100" s="1831">
        <f>'Assets-Liab 5-6'!D9</f>
        <v>33154</v>
      </c>
      <c r="D6100" s="2" t="str">
        <f t="shared" si="94"/>
        <v>Error?</v>
      </c>
      <c r="E6100" s="2" t="s">
        <v>189</v>
      </c>
    </row>
    <row r="6101" spans="1:5" x14ac:dyDescent="0.2">
      <c r="A6101">
        <v>6040</v>
      </c>
      <c r="B6101" s="1831">
        <f>'Assets-Liab 5-6'!E9</f>
        <v>3153</v>
      </c>
      <c r="D6101" s="2" t="str">
        <f t="shared" si="94"/>
        <v>Error?</v>
      </c>
      <c r="E6101" s="2" t="s">
        <v>189</v>
      </c>
    </row>
    <row r="6102" spans="1:5" x14ac:dyDescent="0.2">
      <c r="A6102">
        <v>6041</v>
      </c>
      <c r="B6102" s="1831">
        <f>'Assets-Liab 5-6'!F9</f>
        <v>81171</v>
      </c>
      <c r="D6102" s="2" t="str">
        <f t="shared" si="94"/>
        <v>Error?</v>
      </c>
      <c r="E6102" s="2" t="s">
        <v>189</v>
      </c>
    </row>
    <row r="6103" spans="1:5" x14ac:dyDescent="0.2">
      <c r="A6103">
        <f>A6102+1</f>
        <v>6042</v>
      </c>
      <c r="B6103" s="1831">
        <f>'Assets-Liab 5-6'!G9</f>
        <v>13294</v>
      </c>
      <c r="D6103" s="2" t="str">
        <f t="shared" si="94"/>
        <v>Error?</v>
      </c>
      <c r="E6103" s="2" t="s">
        <v>189</v>
      </c>
    </row>
    <row r="6104" spans="1:5" x14ac:dyDescent="0.2">
      <c r="A6104">
        <v>6043</v>
      </c>
      <c r="B6104" s="1831">
        <f>'Assets-Liab 5-6'!H9</f>
        <v>15</v>
      </c>
      <c r="D6104" s="2" t="str">
        <f t="shared" si="94"/>
        <v>Error?</v>
      </c>
      <c r="E6104" s="2" t="s">
        <v>189</v>
      </c>
    </row>
    <row r="6105" spans="1:5" x14ac:dyDescent="0.2">
      <c r="A6105">
        <v>6044</v>
      </c>
      <c r="B6105" s="1831">
        <f>'Assets-Liab 5-6'!I9</f>
        <v>6503</v>
      </c>
      <c r="D6105" s="2" t="str">
        <f t="shared" si="94"/>
        <v>Error?</v>
      </c>
      <c r="E6105" s="2" t="s">
        <v>189</v>
      </c>
    </row>
    <row r="6106" spans="1:5" x14ac:dyDescent="0.2">
      <c r="A6106">
        <v>6045</v>
      </c>
      <c r="B6106" s="1831">
        <f>'Assets-Liab 5-6'!J9</f>
        <v>1672</v>
      </c>
      <c r="D6106" s="2" t="str">
        <f t="shared" si="94"/>
        <v>Error?</v>
      </c>
      <c r="E6106" s="2" t="s">
        <v>189</v>
      </c>
    </row>
    <row r="6107" spans="1:5" x14ac:dyDescent="0.2">
      <c r="A6107">
        <v>6046</v>
      </c>
      <c r="B6107" s="1831">
        <f>'Assets-Liab 5-6'!K9</f>
        <v>656</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610856</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287931</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530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164694</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164694</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446162</v>
      </c>
      <c r="D6215" s="2" t="str">
        <f t="shared" si="96"/>
        <v>Error?</v>
      </c>
      <c r="E6215" s="2" t="s">
        <v>189</v>
      </c>
    </row>
    <row r="6216" spans="1:5" x14ac:dyDescent="0.2">
      <c r="A6216">
        <v>6155</v>
      </c>
      <c r="B6216" s="1831">
        <f>'Assets-Liab 5-6'!J41</f>
        <v>610856</v>
      </c>
      <c r="D6216" s="2" t="str">
        <f t="shared" si="96"/>
        <v>Error?</v>
      </c>
      <c r="E6216" s="2" t="s">
        <v>189</v>
      </c>
    </row>
    <row r="6217" spans="1:5" x14ac:dyDescent="0.2">
      <c r="A6217">
        <v>6156</v>
      </c>
      <c r="B6217" s="1831">
        <f>'Assets-Liab 5-6'!J4</f>
        <v>444490</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164694</v>
      </c>
      <c r="D6219" s="2" t="str">
        <f t="shared" si="96"/>
        <v>Error?</v>
      </c>
      <c r="E6219" s="2" t="s">
        <v>189</v>
      </c>
    </row>
    <row r="6220" spans="1:5" x14ac:dyDescent="0.2">
      <c r="A6220">
        <v>6159</v>
      </c>
      <c r="B6220" s="1831">
        <f>'Acct Summary 7-8'!J4</f>
        <v>309440</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309440</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309440</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259274</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259274</v>
      </c>
      <c r="D6229" s="2" t="str">
        <f t="shared" si="96"/>
        <v>Error?</v>
      </c>
      <c r="E6229" s="2" t="s">
        <v>189</v>
      </c>
    </row>
    <row r="6230" spans="1:5" x14ac:dyDescent="0.2">
      <c r="A6230">
        <v>6169</v>
      </c>
      <c r="B6230" s="1831">
        <f>'Acct Summary 7-8'!J20</f>
        <v>50166</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50166</v>
      </c>
      <c r="D6263" s="2" t="str">
        <f t="shared" si="96"/>
        <v>Error?</v>
      </c>
      <c r="E6263" s="2" t="s">
        <v>189</v>
      </c>
    </row>
    <row r="6264" spans="1:5" x14ac:dyDescent="0.2">
      <c r="A6264">
        <v>6203</v>
      </c>
      <c r="B6264" s="1831">
        <f>'Acct Summary 7-8'!J79</f>
        <v>395996</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446162</v>
      </c>
      <c r="D6266" s="2" t="str">
        <f t="shared" si="96"/>
        <v>Error?</v>
      </c>
      <c r="E6266" s="2" t="s">
        <v>189</v>
      </c>
    </row>
    <row r="6267" spans="1:5" x14ac:dyDescent="0.2">
      <c r="A6267">
        <v>6206</v>
      </c>
      <c r="B6267" s="1831">
        <f>'Acct Summary 7-8'!C82</f>
        <v>-178848</v>
      </c>
      <c r="D6267" s="2" t="str">
        <f t="shared" si="96"/>
        <v>Error?</v>
      </c>
      <c r="E6267" s="2" t="s">
        <v>189</v>
      </c>
    </row>
    <row r="6268" spans="1:5" x14ac:dyDescent="0.2">
      <c r="A6268">
        <v>6207</v>
      </c>
      <c r="B6268" s="1831">
        <f>'Acct Summary 7-8'!D82</f>
        <v>1818956</v>
      </c>
      <c r="D6268" s="2" t="str">
        <f t="shared" si="96"/>
        <v>Error?</v>
      </c>
      <c r="E6268" s="2" t="s">
        <v>189</v>
      </c>
    </row>
    <row r="6269" spans="1:5" x14ac:dyDescent="0.2">
      <c r="A6269">
        <v>6208</v>
      </c>
      <c r="B6269" s="1831">
        <f>'Acct Summary 7-8'!E82</f>
        <v>5933</v>
      </c>
      <c r="D6269" s="2" t="str">
        <f t="shared" si="96"/>
        <v>Error?</v>
      </c>
      <c r="E6269" s="2" t="s">
        <v>189</v>
      </c>
    </row>
    <row r="6270" spans="1:5" x14ac:dyDescent="0.2">
      <c r="A6270">
        <v>6209</v>
      </c>
      <c r="B6270" s="1831">
        <f>'Acct Summary 7-8'!F82</f>
        <v>-535671</v>
      </c>
      <c r="D6270" s="2" t="str">
        <f t="shared" si="96"/>
        <v>Error?</v>
      </c>
      <c r="E6270" s="2" t="s">
        <v>189</v>
      </c>
    </row>
    <row r="6271" spans="1:5" x14ac:dyDescent="0.2">
      <c r="A6271">
        <v>6210</v>
      </c>
      <c r="B6271" s="1831">
        <f>'Acct Summary 7-8'!G82</f>
        <v>-675871</v>
      </c>
      <c r="D6271" s="2" t="str">
        <f t="shared" ref="D6271:D6334" si="97">IF(ISBLANK(B6271),"OK",IF(A6271-B6271=0,"OK","Error?"))</f>
        <v>Error?</v>
      </c>
      <c r="E6271" s="2" t="s">
        <v>189</v>
      </c>
    </row>
    <row r="6272" spans="1:5" x14ac:dyDescent="0.2">
      <c r="A6272">
        <v>6211</v>
      </c>
      <c r="B6272" s="1831">
        <f>'Acct Summary 7-8'!H82</f>
        <v>-2474999</v>
      </c>
      <c r="D6272" s="2" t="str">
        <f t="shared" si="97"/>
        <v>Error?</v>
      </c>
      <c r="E6272" s="2" t="s">
        <v>189</v>
      </c>
    </row>
    <row r="6273" spans="1:5" x14ac:dyDescent="0.2">
      <c r="A6273">
        <v>6212</v>
      </c>
      <c r="B6273" s="1831">
        <f>'Acct Summary 7-8'!I82</f>
        <v>143379</v>
      </c>
      <c r="D6273" s="2" t="str">
        <f t="shared" si="97"/>
        <v>Error?</v>
      </c>
      <c r="E6273" s="2" t="s">
        <v>189</v>
      </c>
    </row>
    <row r="6274" spans="1:5" x14ac:dyDescent="0.2">
      <c r="A6274">
        <v>6213</v>
      </c>
      <c r="B6274" s="1831">
        <f>'Acct Summary 7-8'!J82</f>
        <v>50166</v>
      </c>
      <c r="D6274" s="2" t="str">
        <f t="shared" si="97"/>
        <v>Error?</v>
      </c>
      <c r="E6274" s="2" t="s">
        <v>189</v>
      </c>
    </row>
    <row r="6275" spans="1:5" x14ac:dyDescent="0.2">
      <c r="A6275">
        <v>6214</v>
      </c>
      <c r="B6275" s="1831">
        <f>'Acct Summary 7-8'!K82</f>
        <v>-231098</v>
      </c>
      <c r="D6275" s="2" t="str">
        <f t="shared" si="97"/>
        <v>Error?</v>
      </c>
      <c r="E6275" s="2" t="s">
        <v>189</v>
      </c>
    </row>
    <row r="6276" spans="1:5" x14ac:dyDescent="0.2">
      <c r="A6276">
        <v>6215</v>
      </c>
      <c r="B6276" s="1831">
        <f>'Acct Summary 7-8'!C83</f>
        <v>-4.0490254281866801E-3</v>
      </c>
      <c r="D6276" s="2" t="str">
        <f t="shared" si="97"/>
        <v>Error?</v>
      </c>
      <c r="E6276" s="2" t="s">
        <v>189</v>
      </c>
    </row>
    <row r="6277" spans="1:5" x14ac:dyDescent="0.2">
      <c r="A6277">
        <v>6216</v>
      </c>
      <c r="B6277" s="1831">
        <f>'Acct Summary 7-8'!D83</f>
        <v>0.26971930867741667</v>
      </c>
      <c r="D6277" s="2" t="str">
        <f t="shared" si="97"/>
        <v>Error?</v>
      </c>
      <c r="E6277" s="2" t="s">
        <v>189</v>
      </c>
    </row>
    <row r="6278" spans="1:5" x14ac:dyDescent="0.2">
      <c r="A6278">
        <v>6217</v>
      </c>
      <c r="B6278" s="1831">
        <f>'Acct Summary 7-8'!E83</f>
        <v>2.6145317374980169E-3</v>
      </c>
      <c r="D6278" s="2" t="str">
        <f t="shared" si="97"/>
        <v>Error?</v>
      </c>
      <c r="E6278" s="2" t="s">
        <v>189</v>
      </c>
    </row>
    <row r="6279" spans="1:5" x14ac:dyDescent="0.2">
      <c r="A6279">
        <v>6218</v>
      </c>
      <c r="B6279" s="1831">
        <f>'Acct Summary 7-8'!F83</f>
        <v>-4.2472464150768365E-2</v>
      </c>
      <c r="D6279" s="2" t="str">
        <f t="shared" si="97"/>
        <v>Error?</v>
      </c>
      <c r="E6279" s="2" t="s">
        <v>189</v>
      </c>
    </row>
    <row r="6280" spans="1:5" x14ac:dyDescent="0.2">
      <c r="A6280">
        <v>6219</v>
      </c>
      <c r="B6280" s="1831">
        <f>'Acct Summary 7-8'!G83</f>
        <v>-0.22166325745165194</v>
      </c>
      <c r="D6280" s="2" t="str">
        <f t="shared" si="97"/>
        <v>Error?</v>
      </c>
      <c r="E6280" s="2" t="s">
        <v>189</v>
      </c>
    </row>
    <row r="6281" spans="1:5" x14ac:dyDescent="0.2">
      <c r="A6281">
        <v>6220</v>
      </c>
      <c r="B6281" s="1831">
        <f>'Acct Summary 7-8'!H83</f>
        <v>-7.6421879824615573</v>
      </c>
      <c r="D6281" s="2" t="str">
        <f t="shared" si="97"/>
        <v>Error?</v>
      </c>
      <c r="E6281" s="2" t="s">
        <v>189</v>
      </c>
    </row>
    <row r="6282" spans="1:5" x14ac:dyDescent="0.2">
      <c r="A6282">
        <v>6221</v>
      </c>
      <c r="B6282" s="1831">
        <f>'Acct Summary 7-8'!I83</f>
        <v>6.4597501773988264E-2</v>
      </c>
      <c r="D6282" s="2" t="str">
        <f t="shared" si="97"/>
        <v>Error?</v>
      </c>
      <c r="E6282" s="2" t="s">
        <v>189</v>
      </c>
    </row>
    <row r="6283" spans="1:5" x14ac:dyDescent="0.2">
      <c r="A6283">
        <v>6222</v>
      </c>
      <c r="B6283" s="1831">
        <f>'Acct Summary 7-8'!J83</f>
        <v>0.11243897956347694</v>
      </c>
      <c r="D6283" s="2" t="str">
        <f t="shared" si="97"/>
        <v>Error?</v>
      </c>
      <c r="E6283" s="2" t="s">
        <v>189</v>
      </c>
    </row>
    <row r="6284" spans="1:5" x14ac:dyDescent="0.2">
      <c r="A6284">
        <v>6223</v>
      </c>
      <c r="B6284" s="1831">
        <f>'Acct Summary 7-8'!K83</f>
        <v>-40.479593624102293</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1655000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4525000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299388</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299388</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10052</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10052</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309440</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1896</v>
      </c>
    </row>
    <row r="6383" spans="1:6" x14ac:dyDescent="0.2">
      <c r="A6383" s="126">
        <v>6322</v>
      </c>
      <c r="B6383" s="1831"/>
      <c r="D6383" s="2" t="str">
        <f t="shared" si="98"/>
        <v>OK</v>
      </c>
      <c r="E6383" s="2" t="s">
        <v>189</v>
      </c>
      <c r="F6383" s="1" t="s">
        <v>1896</v>
      </c>
    </row>
    <row r="6384" spans="1:6" x14ac:dyDescent="0.2">
      <c r="A6384" s="126">
        <v>6323</v>
      </c>
      <c r="B6384" s="1831"/>
      <c r="D6384" s="2" t="str">
        <f t="shared" si="98"/>
        <v>OK</v>
      </c>
      <c r="E6384" s="2" t="s">
        <v>189</v>
      </c>
      <c r="F6384" s="1" t="s">
        <v>1896</v>
      </c>
    </row>
    <row r="6385" spans="1:6" x14ac:dyDescent="0.2">
      <c r="A6385" s="126">
        <v>6324</v>
      </c>
      <c r="B6385" s="1831"/>
      <c r="D6385" s="2" t="str">
        <f t="shared" si="98"/>
        <v>OK</v>
      </c>
      <c r="E6385" s="2" t="s">
        <v>189</v>
      </c>
      <c r="F6385" s="1" t="s">
        <v>1896</v>
      </c>
    </row>
    <row r="6386" spans="1:6" x14ac:dyDescent="0.2">
      <c r="A6386" s="126">
        <v>6325</v>
      </c>
      <c r="B6386" s="1831"/>
      <c r="D6386" s="2" t="str">
        <f t="shared" si="98"/>
        <v>OK</v>
      </c>
      <c r="E6386" s="2" t="s">
        <v>189</v>
      </c>
      <c r="F6386" s="1" t="s">
        <v>1896</v>
      </c>
    </row>
    <row r="6387" spans="1:6" x14ac:dyDescent="0.2">
      <c r="A6387" s="126">
        <v>6326</v>
      </c>
      <c r="B6387" s="1831"/>
      <c r="D6387" s="2" t="str">
        <f t="shared" si="98"/>
        <v>OK</v>
      </c>
      <c r="E6387" s="2" t="s">
        <v>189</v>
      </c>
      <c r="F6387" s="1" t="s">
        <v>1896</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1896</v>
      </c>
    </row>
    <row r="6411" spans="1:6" x14ac:dyDescent="0.2">
      <c r="A6411" s="126">
        <v>6350</v>
      </c>
      <c r="B6411" s="1831"/>
      <c r="D6411" s="2" t="str">
        <f t="shared" si="99"/>
        <v>OK</v>
      </c>
      <c r="E6411" s="2" t="s">
        <v>189</v>
      </c>
      <c r="F6411" s="1" t="s">
        <v>1896</v>
      </c>
    </row>
    <row r="6412" spans="1:6" x14ac:dyDescent="0.2">
      <c r="A6412" s="126">
        <v>6351</v>
      </c>
      <c r="B6412" s="1831"/>
      <c r="D6412" s="2" t="str">
        <f t="shared" si="99"/>
        <v>OK</v>
      </c>
      <c r="E6412" s="2" t="s">
        <v>189</v>
      </c>
      <c r="F6412" s="1" t="s">
        <v>1896</v>
      </c>
    </row>
    <row r="6413" spans="1:6" x14ac:dyDescent="0.2">
      <c r="A6413" s="126">
        <v>6352</v>
      </c>
      <c r="B6413" s="1831"/>
      <c r="D6413" s="2" t="str">
        <f t="shared" si="99"/>
        <v>OK</v>
      </c>
      <c r="E6413" s="2" t="s">
        <v>189</v>
      </c>
      <c r="F6413" s="1" t="s">
        <v>1896</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1992</v>
      </c>
    </row>
    <row r="6417" spans="1:5" x14ac:dyDescent="0.2">
      <c r="A6417" s="126">
        <v>6356</v>
      </c>
      <c r="B6417" s="1831"/>
      <c r="D6417" s="2" t="str">
        <f t="shared" si="99"/>
        <v>OK</v>
      </c>
      <c r="E6417" s="4" t="s">
        <v>1992</v>
      </c>
    </row>
    <row r="6418" spans="1:5" x14ac:dyDescent="0.2">
      <c r="A6418" s="126">
        <v>6357</v>
      </c>
      <c r="B6418" s="1831"/>
      <c r="D6418" s="2" t="str">
        <f t="shared" si="99"/>
        <v>OK</v>
      </c>
      <c r="E6418" s="4" t="s">
        <v>1992</v>
      </c>
    </row>
    <row r="6419" spans="1:5" x14ac:dyDescent="0.2">
      <c r="A6419" s="126">
        <v>6358</v>
      </c>
      <c r="B6419" s="1831"/>
      <c r="D6419" s="2" t="str">
        <f t="shared" si="99"/>
        <v>OK</v>
      </c>
      <c r="E6419" s="4" t="s">
        <v>1992</v>
      </c>
    </row>
    <row r="6420" spans="1:5" x14ac:dyDescent="0.2">
      <c r="A6420" s="126">
        <v>6359</v>
      </c>
      <c r="B6420" s="1831"/>
      <c r="D6420" s="2" t="str">
        <f t="shared" si="99"/>
        <v>OK</v>
      </c>
      <c r="E6420" s="4" t="s">
        <v>1992</v>
      </c>
    </row>
    <row r="6421" spans="1:5" x14ac:dyDescent="0.2">
      <c r="A6421" s="126">
        <v>6360</v>
      </c>
      <c r="B6421" s="1831"/>
      <c r="D6421" s="2" t="str">
        <f t="shared" si="99"/>
        <v>OK</v>
      </c>
      <c r="E6421" s="4" t="s">
        <v>1992</v>
      </c>
    </row>
    <row r="6422" spans="1:5" x14ac:dyDescent="0.2">
      <c r="A6422" s="126">
        <v>6361</v>
      </c>
      <c r="B6422" s="1831"/>
      <c r="D6422" s="2" t="str">
        <f t="shared" si="99"/>
        <v>OK</v>
      </c>
      <c r="E6422" s="4" t="s">
        <v>1992</v>
      </c>
    </row>
    <row r="6423" spans="1:5" x14ac:dyDescent="0.2">
      <c r="A6423" s="126">
        <v>6362</v>
      </c>
      <c r="B6423" s="1831"/>
      <c r="D6423" s="2" t="str">
        <f t="shared" si="99"/>
        <v>OK</v>
      </c>
      <c r="E6423" s="4" t="s">
        <v>1992</v>
      </c>
    </row>
    <row r="6424" spans="1:5" x14ac:dyDescent="0.2">
      <c r="A6424" s="126">
        <v>6363</v>
      </c>
      <c r="B6424" s="1831"/>
      <c r="D6424" s="2" t="str">
        <f t="shared" si="99"/>
        <v>OK</v>
      </c>
      <c r="E6424" s="4" t="s">
        <v>1992</v>
      </c>
    </row>
    <row r="6425" spans="1:5" x14ac:dyDescent="0.2">
      <c r="A6425" s="126">
        <v>6364</v>
      </c>
      <c r="B6425" s="1831"/>
      <c r="D6425" s="2" t="str">
        <f t="shared" si="99"/>
        <v>OK</v>
      </c>
      <c r="E6425" s="4" t="s">
        <v>1992</v>
      </c>
    </row>
    <row r="6426" spans="1:5" x14ac:dyDescent="0.2">
      <c r="A6426" s="126">
        <v>6365</v>
      </c>
      <c r="B6426" s="1831"/>
      <c r="D6426" s="2" t="str">
        <f t="shared" si="99"/>
        <v>OK</v>
      </c>
      <c r="E6426" s="4" t="s">
        <v>1992</v>
      </c>
    </row>
    <row r="6427" spans="1:5" x14ac:dyDescent="0.2">
      <c r="A6427" s="126">
        <v>6366</v>
      </c>
      <c r="B6427" s="1831"/>
      <c r="D6427" s="2" t="str">
        <f t="shared" si="99"/>
        <v>OK</v>
      </c>
      <c r="E6427" s="4" t="s">
        <v>1992</v>
      </c>
    </row>
    <row r="6428" spans="1:5" x14ac:dyDescent="0.2">
      <c r="A6428" s="126">
        <v>6367</v>
      </c>
      <c r="B6428" s="1831"/>
      <c r="D6428" s="2" t="str">
        <f t="shared" si="99"/>
        <v>OK</v>
      </c>
      <c r="E6428" s="4" t="s">
        <v>1992</v>
      </c>
    </row>
    <row r="6429" spans="1:5" x14ac:dyDescent="0.2">
      <c r="A6429" s="126">
        <v>6368</v>
      </c>
      <c r="B6429" s="1831"/>
      <c r="D6429" s="2" t="str">
        <f t="shared" si="99"/>
        <v>OK</v>
      </c>
      <c r="E6429" s="4" t="s">
        <v>1992</v>
      </c>
    </row>
    <row r="6430" spans="1:5" x14ac:dyDescent="0.2">
      <c r="A6430" s="126">
        <v>6369</v>
      </c>
      <c r="B6430" s="1831"/>
      <c r="D6430" s="2" t="str">
        <f t="shared" si="99"/>
        <v>OK</v>
      </c>
      <c r="E6430" s="4" t="s">
        <v>1992</v>
      </c>
    </row>
    <row r="6431" spans="1:5" x14ac:dyDescent="0.2">
      <c r="A6431" s="126">
        <v>6370</v>
      </c>
      <c r="B6431" s="1831"/>
      <c r="D6431" s="2" t="str">
        <f t="shared" si="99"/>
        <v>OK</v>
      </c>
      <c r="E6431" s="4" t="s">
        <v>1992</v>
      </c>
    </row>
    <row r="6432" spans="1:5" x14ac:dyDescent="0.2">
      <c r="A6432" s="126">
        <v>6371</v>
      </c>
      <c r="B6432" s="1831"/>
      <c r="D6432" s="2" t="str">
        <f t="shared" si="99"/>
        <v>OK</v>
      </c>
      <c r="E6432" s="4" t="s">
        <v>1992</v>
      </c>
    </row>
    <row r="6433" spans="1:5" x14ac:dyDescent="0.2">
      <c r="A6433" s="126">
        <v>6372</v>
      </c>
      <c r="B6433" s="1831"/>
      <c r="D6433" s="2" t="str">
        <f t="shared" si="99"/>
        <v>OK</v>
      </c>
      <c r="E6433" s="4" t="s">
        <v>1992</v>
      </c>
    </row>
    <row r="6434" spans="1:5" x14ac:dyDescent="0.2">
      <c r="A6434" s="126">
        <v>6373</v>
      </c>
      <c r="B6434" s="1831"/>
      <c r="D6434" s="2" t="str">
        <f t="shared" si="99"/>
        <v>OK</v>
      </c>
      <c r="E6434" s="4" t="s">
        <v>1992</v>
      </c>
    </row>
    <row r="6435" spans="1:5" x14ac:dyDescent="0.2">
      <c r="A6435" s="126">
        <v>6374</v>
      </c>
      <c r="B6435" s="1831"/>
      <c r="D6435" s="2" t="str">
        <f t="shared" si="99"/>
        <v>OK</v>
      </c>
      <c r="E6435" s="4" t="s">
        <v>1992</v>
      </c>
    </row>
    <row r="6436" spans="1:5" x14ac:dyDescent="0.2">
      <c r="A6436" s="126">
        <v>6375</v>
      </c>
      <c r="B6436" s="1831"/>
      <c r="D6436" s="2" t="str">
        <f t="shared" si="99"/>
        <v>OK</v>
      </c>
      <c r="E6436" s="4" t="s">
        <v>1992</v>
      </c>
    </row>
    <row r="6437" spans="1:5" x14ac:dyDescent="0.2">
      <c r="A6437" s="126">
        <v>6376</v>
      </c>
      <c r="B6437" s="1831"/>
      <c r="D6437" s="2" t="str">
        <f t="shared" si="99"/>
        <v>OK</v>
      </c>
      <c r="E6437" s="4" t="s">
        <v>1992</v>
      </c>
    </row>
    <row r="6438" spans="1:5" x14ac:dyDescent="0.2">
      <c r="A6438" s="126">
        <v>6377</v>
      </c>
      <c r="B6438" s="1831"/>
      <c r="D6438" s="2" t="str">
        <f t="shared" si="99"/>
        <v>OK</v>
      </c>
      <c r="E6438" s="4" t="s">
        <v>1992</v>
      </c>
    </row>
    <row r="6439" spans="1:5" x14ac:dyDescent="0.2">
      <c r="A6439" s="126">
        <v>6378</v>
      </c>
      <c r="B6439" s="1831"/>
      <c r="D6439" s="2" t="str">
        <f t="shared" si="99"/>
        <v>OK</v>
      </c>
      <c r="E6439" s="4" t="s">
        <v>1992</v>
      </c>
    </row>
    <row r="6440" spans="1:5" x14ac:dyDescent="0.2">
      <c r="A6440" s="126">
        <v>6379</v>
      </c>
      <c r="B6440" s="1831"/>
      <c r="D6440" s="2" t="str">
        <f t="shared" si="99"/>
        <v>OK</v>
      </c>
      <c r="E6440" s="4" t="s">
        <v>1992</v>
      </c>
    </row>
    <row r="6441" spans="1:5" x14ac:dyDescent="0.2">
      <c r="A6441" s="126">
        <v>6380</v>
      </c>
      <c r="B6441" s="1831"/>
      <c r="D6441" s="2" t="str">
        <f t="shared" si="99"/>
        <v>OK</v>
      </c>
      <c r="E6441" s="4" t="s">
        <v>1992</v>
      </c>
    </row>
    <row r="6442" spans="1:5" x14ac:dyDescent="0.2">
      <c r="A6442" s="126">
        <v>6381</v>
      </c>
      <c r="B6442" s="1831"/>
      <c r="D6442" s="2" t="str">
        <f t="shared" si="99"/>
        <v>OK</v>
      </c>
      <c r="E6442" s="4" t="s">
        <v>1992</v>
      </c>
    </row>
    <row r="6443" spans="1:5" x14ac:dyDescent="0.2">
      <c r="A6443" s="126">
        <v>6382</v>
      </c>
      <c r="B6443" s="1831"/>
      <c r="D6443" s="2" t="str">
        <f t="shared" si="99"/>
        <v>OK</v>
      </c>
      <c r="E6443" s="4" t="s">
        <v>1992</v>
      </c>
    </row>
    <row r="6444" spans="1:5" x14ac:dyDescent="0.2">
      <c r="A6444" s="126">
        <v>6383</v>
      </c>
      <c r="B6444" s="1831"/>
      <c r="D6444" s="2" t="str">
        <f t="shared" si="99"/>
        <v>OK</v>
      </c>
      <c r="E6444" s="4" t="s">
        <v>1992</v>
      </c>
    </row>
    <row r="6445" spans="1:5" x14ac:dyDescent="0.2">
      <c r="A6445" s="126">
        <v>6384</v>
      </c>
      <c r="B6445" s="1831"/>
      <c r="D6445" s="2" t="str">
        <f t="shared" si="99"/>
        <v>OK</v>
      </c>
      <c r="E6445" s="4" t="s">
        <v>1992</v>
      </c>
    </row>
    <row r="6446" spans="1:5" x14ac:dyDescent="0.2">
      <c r="A6446" s="126">
        <v>6385</v>
      </c>
      <c r="B6446" s="1831"/>
      <c r="D6446" s="2" t="str">
        <f t="shared" si="99"/>
        <v>OK</v>
      </c>
      <c r="E6446" s="4" t="s">
        <v>1992</v>
      </c>
    </row>
    <row r="6447" spans="1:5" x14ac:dyDescent="0.2">
      <c r="A6447" s="126">
        <v>6386</v>
      </c>
      <c r="B6447" s="1831"/>
      <c r="D6447" s="2" t="str">
        <f t="shared" si="99"/>
        <v>OK</v>
      </c>
      <c r="E6447" s="4" t="s">
        <v>1992</v>
      </c>
    </row>
    <row r="6448" spans="1:5" x14ac:dyDescent="0.2">
      <c r="A6448" s="126">
        <v>6387</v>
      </c>
      <c r="B6448" s="1831"/>
      <c r="D6448" s="2" t="str">
        <f t="shared" si="99"/>
        <v>OK</v>
      </c>
      <c r="E6448" s="4" t="s">
        <v>1992</v>
      </c>
    </row>
    <row r="6449" spans="1:5" x14ac:dyDescent="0.2">
      <c r="A6449" s="126">
        <v>6388</v>
      </c>
      <c r="B6449" s="1831"/>
      <c r="D6449" s="2" t="str">
        <f t="shared" si="99"/>
        <v>OK</v>
      </c>
      <c r="E6449" s="4" t="s">
        <v>1992</v>
      </c>
    </row>
    <row r="6450" spans="1:5" x14ac:dyDescent="0.2">
      <c r="A6450" s="126">
        <v>6389</v>
      </c>
      <c r="B6450" s="1831"/>
      <c r="D6450" s="2" t="str">
        <f t="shared" si="99"/>
        <v>OK</v>
      </c>
      <c r="E6450" s="4" t="s">
        <v>1992</v>
      </c>
    </row>
    <row r="6451" spans="1:5" x14ac:dyDescent="0.2">
      <c r="A6451" s="126">
        <v>6390</v>
      </c>
      <c r="B6451" s="1831"/>
      <c r="D6451" s="2" t="str">
        <f t="shared" si="99"/>
        <v>OK</v>
      </c>
      <c r="E6451" s="4" t="s">
        <v>1992</v>
      </c>
    </row>
    <row r="6452" spans="1:5" x14ac:dyDescent="0.2">
      <c r="A6452" s="126">
        <v>6391</v>
      </c>
      <c r="B6452" s="1831"/>
      <c r="D6452" s="2" t="str">
        <f t="shared" si="99"/>
        <v>OK</v>
      </c>
      <c r="E6452" s="4" t="s">
        <v>1992</v>
      </c>
    </row>
    <row r="6453" spans="1:5" x14ac:dyDescent="0.2">
      <c r="A6453" s="126">
        <v>6392</v>
      </c>
      <c r="B6453" s="1831"/>
      <c r="D6453" s="2" t="str">
        <f t="shared" si="99"/>
        <v>OK</v>
      </c>
      <c r="E6453" s="4" t="s">
        <v>1992</v>
      </c>
    </row>
    <row r="6454" spans="1:5" x14ac:dyDescent="0.2">
      <c r="A6454" s="126">
        <v>6393</v>
      </c>
      <c r="B6454" s="1831"/>
      <c r="D6454" s="2" t="str">
        <f t="shared" si="99"/>
        <v>OK</v>
      </c>
      <c r="E6454" s="4" t="s">
        <v>1992</v>
      </c>
    </row>
    <row r="6455" spans="1:5" x14ac:dyDescent="0.2">
      <c r="A6455" s="126">
        <v>6394</v>
      </c>
      <c r="B6455" s="1831"/>
      <c r="D6455" s="2" t="str">
        <f t="shared" si="99"/>
        <v>OK</v>
      </c>
      <c r="E6455" s="4" t="s">
        <v>1992</v>
      </c>
    </row>
    <row r="6456" spans="1:5" x14ac:dyDescent="0.2">
      <c r="A6456" s="126">
        <v>6395</v>
      </c>
      <c r="B6456" s="1831"/>
      <c r="D6456" s="2" t="str">
        <f t="shared" si="99"/>
        <v>OK</v>
      </c>
      <c r="E6456" s="4" t="s">
        <v>1992</v>
      </c>
    </row>
    <row r="6457" spans="1:5" x14ac:dyDescent="0.2">
      <c r="A6457" s="126">
        <v>6396</v>
      </c>
      <c r="B6457" s="1831"/>
      <c r="D6457" s="2" t="str">
        <f t="shared" si="99"/>
        <v>OK</v>
      </c>
      <c r="E6457" s="4" t="s">
        <v>1992</v>
      </c>
    </row>
    <row r="6458" spans="1:5" x14ac:dyDescent="0.2">
      <c r="A6458" s="126">
        <v>6397</v>
      </c>
      <c r="B6458" s="1831"/>
      <c r="D6458" s="2" t="str">
        <f t="shared" si="99"/>
        <v>OK</v>
      </c>
      <c r="E6458" s="4" t="s">
        <v>1992</v>
      </c>
    </row>
    <row r="6459" spans="1:5" x14ac:dyDescent="0.2">
      <c r="A6459" s="126">
        <v>6398</v>
      </c>
      <c r="B6459" s="1831"/>
      <c r="D6459" s="2" t="str">
        <f t="shared" si="99"/>
        <v>OK</v>
      </c>
      <c r="E6459" s="4" t="s">
        <v>1992</v>
      </c>
    </row>
    <row r="6460" spans="1:5" x14ac:dyDescent="0.2">
      <c r="A6460" s="126">
        <v>6399</v>
      </c>
      <c r="B6460" s="1831"/>
      <c r="D6460" s="2" t="str">
        <f t="shared" si="99"/>
        <v>OK</v>
      </c>
      <c r="E6460" s="4" t="s">
        <v>1992</v>
      </c>
    </row>
    <row r="6461" spans="1:5" x14ac:dyDescent="0.2">
      <c r="A6461" s="126">
        <v>6400</v>
      </c>
      <c r="B6461" s="1831"/>
      <c r="D6461" s="2" t="str">
        <f t="shared" si="99"/>
        <v>OK</v>
      </c>
      <c r="E6461" s="4" t="s">
        <v>1992</v>
      </c>
    </row>
    <row r="6462" spans="1:5" x14ac:dyDescent="0.2">
      <c r="A6462" s="126">
        <v>6401</v>
      </c>
      <c r="B6462" s="1831"/>
      <c r="D6462" s="2" t="str">
        <f t="shared" si="99"/>
        <v>OK</v>
      </c>
      <c r="E6462" s="4" t="s">
        <v>1992</v>
      </c>
    </row>
    <row r="6463" spans="1:5" x14ac:dyDescent="0.2">
      <c r="A6463" s="126">
        <v>6402</v>
      </c>
      <c r="B6463" s="1831"/>
      <c r="D6463" s="2" t="str">
        <f t="shared" ref="D6463:D6526" si="100">IF(ISBLANK(B6463),"OK",IF(A6463-B6463=0,"OK","Error?"))</f>
        <v>OK</v>
      </c>
      <c r="E6463" s="4" t="s">
        <v>1992</v>
      </c>
    </row>
    <row r="6464" spans="1:5" x14ac:dyDescent="0.2">
      <c r="A6464" s="126">
        <v>6403</v>
      </c>
      <c r="B6464" s="1831"/>
      <c r="D6464" s="2" t="str">
        <f t="shared" si="100"/>
        <v>OK</v>
      </c>
      <c r="E6464" s="4" t="s">
        <v>1992</v>
      </c>
    </row>
    <row r="6465" spans="1:5" x14ac:dyDescent="0.2">
      <c r="A6465" s="126">
        <v>6404</v>
      </c>
      <c r="B6465" s="1831"/>
      <c r="D6465" s="2" t="str">
        <f t="shared" si="100"/>
        <v>OK</v>
      </c>
      <c r="E6465" s="4" t="s">
        <v>1992</v>
      </c>
    </row>
    <row r="6466" spans="1:5" x14ac:dyDescent="0.2">
      <c r="A6466" s="126">
        <v>6405</v>
      </c>
      <c r="B6466" s="1831"/>
      <c r="D6466" s="2" t="str">
        <f t="shared" si="100"/>
        <v>OK</v>
      </c>
      <c r="E6466" s="4" t="s">
        <v>1992</v>
      </c>
    </row>
    <row r="6467" spans="1:5" x14ac:dyDescent="0.2">
      <c r="A6467" s="126">
        <v>6406</v>
      </c>
      <c r="B6467" s="1831"/>
      <c r="D6467" s="2" t="str">
        <f t="shared" si="100"/>
        <v>OK</v>
      </c>
      <c r="E6467" s="4" t="s">
        <v>1992</v>
      </c>
    </row>
    <row r="6468" spans="1:5" x14ac:dyDescent="0.2">
      <c r="A6468" s="126">
        <v>6407</v>
      </c>
      <c r="B6468" s="1831"/>
      <c r="D6468" s="2" t="str">
        <f t="shared" si="100"/>
        <v>OK</v>
      </c>
      <c r="E6468" s="4" t="s">
        <v>1992</v>
      </c>
    </row>
    <row r="6469" spans="1:5" x14ac:dyDescent="0.2">
      <c r="A6469" s="126">
        <v>6408</v>
      </c>
      <c r="B6469" s="1831"/>
      <c r="D6469" s="2" t="str">
        <f t="shared" si="100"/>
        <v>OK</v>
      </c>
      <c r="E6469" s="4" t="s">
        <v>1992</v>
      </c>
    </row>
    <row r="6470" spans="1:5" x14ac:dyDescent="0.2">
      <c r="A6470" s="126">
        <v>6409</v>
      </c>
      <c r="B6470" s="1831"/>
      <c r="D6470" s="2" t="str">
        <f t="shared" si="100"/>
        <v>OK</v>
      </c>
      <c r="E6470" s="4" t="s">
        <v>1992</v>
      </c>
    </row>
    <row r="6471" spans="1:5" x14ac:dyDescent="0.2">
      <c r="A6471" s="126">
        <v>6410</v>
      </c>
      <c r="B6471" s="1831"/>
      <c r="D6471" s="2" t="str">
        <f t="shared" si="100"/>
        <v>OK</v>
      </c>
      <c r="E6471" s="4" t="s">
        <v>1992</v>
      </c>
    </row>
    <row r="6472" spans="1:5" x14ac:dyDescent="0.2">
      <c r="A6472" s="126">
        <v>6411</v>
      </c>
      <c r="B6472" s="1831"/>
      <c r="D6472" s="2" t="str">
        <f t="shared" si="100"/>
        <v>OK</v>
      </c>
      <c r="E6472" s="4" t="s">
        <v>1992</v>
      </c>
    </row>
    <row r="6473" spans="1:5" x14ac:dyDescent="0.2">
      <c r="A6473" s="126">
        <v>6412</v>
      </c>
      <c r="B6473" s="1831"/>
      <c r="D6473" s="2" t="str">
        <f t="shared" si="100"/>
        <v>OK</v>
      </c>
      <c r="E6473" s="4" t="s">
        <v>1992</v>
      </c>
    </row>
    <row r="6474" spans="1:5" x14ac:dyDescent="0.2">
      <c r="A6474" s="126">
        <v>6413</v>
      </c>
      <c r="B6474" s="1831"/>
      <c r="D6474" s="2" t="str">
        <f t="shared" si="100"/>
        <v>OK</v>
      </c>
      <c r="E6474" s="4" t="s">
        <v>1992</v>
      </c>
    </row>
    <row r="6475" spans="1:5" x14ac:dyDescent="0.2">
      <c r="A6475" s="126">
        <v>6414</v>
      </c>
      <c r="B6475" s="1831"/>
      <c r="D6475" s="2" t="str">
        <f t="shared" si="100"/>
        <v>OK</v>
      </c>
      <c r="E6475" s="4" t="s">
        <v>1992</v>
      </c>
    </row>
    <row r="6476" spans="1:5" x14ac:dyDescent="0.2">
      <c r="A6476" s="126">
        <v>6415</v>
      </c>
      <c r="B6476" s="1831"/>
      <c r="D6476" s="2" t="str">
        <f t="shared" si="100"/>
        <v>OK</v>
      </c>
      <c r="E6476" s="4" t="s">
        <v>1992</v>
      </c>
    </row>
    <row r="6477" spans="1:5" x14ac:dyDescent="0.2">
      <c r="A6477" s="126">
        <v>6416</v>
      </c>
      <c r="B6477" s="1831"/>
      <c r="D6477" s="2" t="str">
        <f t="shared" si="100"/>
        <v>OK</v>
      </c>
      <c r="E6477" s="4" t="s">
        <v>1992</v>
      </c>
    </row>
    <row r="6478" spans="1:5" x14ac:dyDescent="0.2">
      <c r="A6478" s="126">
        <v>6417</v>
      </c>
      <c r="B6478" s="1831"/>
      <c r="D6478" s="2" t="str">
        <f t="shared" si="100"/>
        <v>OK</v>
      </c>
      <c r="E6478" s="4" t="s">
        <v>1992</v>
      </c>
    </row>
    <row r="6479" spans="1:5" x14ac:dyDescent="0.2">
      <c r="A6479" s="126">
        <v>6418</v>
      </c>
      <c r="B6479" s="1831"/>
      <c r="D6479" s="2" t="str">
        <f t="shared" si="100"/>
        <v>OK</v>
      </c>
      <c r="E6479" s="4" t="s">
        <v>1992</v>
      </c>
    </row>
    <row r="6480" spans="1:5" x14ac:dyDescent="0.2">
      <c r="A6480" s="126">
        <v>6419</v>
      </c>
      <c r="B6480" s="1831"/>
      <c r="D6480" s="2" t="str">
        <f t="shared" si="100"/>
        <v>OK</v>
      </c>
      <c r="E6480" s="4" t="s">
        <v>1992</v>
      </c>
    </row>
    <row r="6481" spans="1:5" x14ac:dyDescent="0.2">
      <c r="A6481" s="126">
        <v>6420</v>
      </c>
      <c r="B6481" s="1831"/>
      <c r="D6481" s="2" t="str">
        <f t="shared" si="100"/>
        <v>OK</v>
      </c>
      <c r="E6481" s="4" t="s">
        <v>1992</v>
      </c>
    </row>
    <row r="6482" spans="1:5" x14ac:dyDescent="0.2">
      <c r="A6482" s="126">
        <v>6421</v>
      </c>
      <c r="B6482" s="1831"/>
      <c r="D6482" s="2" t="str">
        <f t="shared" si="100"/>
        <v>OK</v>
      </c>
      <c r="E6482" s="4" t="s">
        <v>1992</v>
      </c>
    </row>
    <row r="6483" spans="1:5" x14ac:dyDescent="0.2">
      <c r="A6483" s="126">
        <v>6422</v>
      </c>
      <c r="B6483" s="1831"/>
      <c r="D6483" s="2" t="str">
        <f t="shared" si="100"/>
        <v>OK</v>
      </c>
      <c r="E6483" s="4" t="s">
        <v>1992</v>
      </c>
    </row>
    <row r="6484" spans="1:5" x14ac:dyDescent="0.2">
      <c r="A6484" s="126">
        <v>6423</v>
      </c>
      <c r="B6484" s="1831"/>
      <c r="D6484" s="2" t="str">
        <f t="shared" si="100"/>
        <v>OK</v>
      </c>
      <c r="E6484" s="4" t="s">
        <v>1992</v>
      </c>
    </row>
    <row r="6485" spans="1:5" x14ac:dyDescent="0.2">
      <c r="A6485" s="126">
        <v>6424</v>
      </c>
      <c r="B6485" s="1831"/>
      <c r="D6485" s="2" t="str">
        <f t="shared" si="100"/>
        <v>OK</v>
      </c>
      <c r="E6485" s="4" t="s">
        <v>1992</v>
      </c>
    </row>
    <row r="6486" spans="1:5" x14ac:dyDescent="0.2">
      <c r="A6486" s="126">
        <v>6425</v>
      </c>
      <c r="B6486" s="1831"/>
      <c r="D6486" s="2" t="str">
        <f t="shared" si="100"/>
        <v>OK</v>
      </c>
      <c r="E6486" s="4" t="s">
        <v>1992</v>
      </c>
    </row>
    <row r="6487" spans="1:5" x14ac:dyDescent="0.2">
      <c r="A6487" s="126">
        <v>6426</v>
      </c>
      <c r="B6487" s="1831"/>
      <c r="D6487" s="2" t="str">
        <f t="shared" si="100"/>
        <v>OK</v>
      </c>
      <c r="E6487" s="4" t="s">
        <v>1992</v>
      </c>
    </row>
    <row r="6488" spans="1:5" x14ac:dyDescent="0.2">
      <c r="A6488" s="126">
        <v>6427</v>
      </c>
      <c r="B6488" s="1831"/>
      <c r="D6488" s="2" t="str">
        <f t="shared" si="100"/>
        <v>OK</v>
      </c>
      <c r="E6488" s="4" t="s">
        <v>1992</v>
      </c>
    </row>
    <row r="6489" spans="1:5" x14ac:dyDescent="0.2">
      <c r="A6489" s="126">
        <v>6428</v>
      </c>
      <c r="B6489" s="1831"/>
      <c r="D6489" s="2" t="str">
        <f t="shared" si="100"/>
        <v>OK</v>
      </c>
      <c r="E6489" s="4" t="s">
        <v>1992</v>
      </c>
    </row>
    <row r="6490" spans="1:5" x14ac:dyDescent="0.2">
      <c r="A6490" s="126">
        <v>6429</v>
      </c>
      <c r="B6490" s="1831"/>
      <c r="D6490" s="2" t="str">
        <f t="shared" si="100"/>
        <v>OK</v>
      </c>
      <c r="E6490" s="4" t="s">
        <v>1992</v>
      </c>
    </row>
    <row r="6491" spans="1:5" x14ac:dyDescent="0.2">
      <c r="A6491" s="126">
        <v>6430</v>
      </c>
      <c r="B6491" s="1831"/>
      <c r="D6491" s="2" t="str">
        <f t="shared" si="100"/>
        <v>OK</v>
      </c>
      <c r="E6491" s="4" t="s">
        <v>1992</v>
      </c>
    </row>
    <row r="6492" spans="1:5" x14ac:dyDescent="0.2">
      <c r="A6492" s="126">
        <v>6431</v>
      </c>
      <c r="B6492" s="1831"/>
      <c r="D6492" s="2" t="str">
        <f t="shared" si="100"/>
        <v>OK</v>
      </c>
      <c r="E6492" s="4" t="s">
        <v>1992</v>
      </c>
    </row>
    <row r="6493" spans="1:5" x14ac:dyDescent="0.2">
      <c r="A6493" s="126">
        <v>6432</v>
      </c>
      <c r="B6493" s="1831"/>
      <c r="D6493" s="2" t="str">
        <f t="shared" si="100"/>
        <v>OK</v>
      </c>
      <c r="E6493" s="4" t="s">
        <v>1992</v>
      </c>
    </row>
    <row r="6494" spans="1:5" x14ac:dyDescent="0.2">
      <c r="A6494" s="126">
        <v>6433</v>
      </c>
      <c r="B6494" s="1831"/>
      <c r="D6494" s="2" t="str">
        <f t="shared" si="100"/>
        <v>OK</v>
      </c>
      <c r="E6494" s="4" t="s">
        <v>1992</v>
      </c>
    </row>
    <row r="6495" spans="1:5" x14ac:dyDescent="0.2">
      <c r="A6495" s="126">
        <v>6434</v>
      </c>
      <c r="B6495" s="1831"/>
      <c r="D6495" s="2" t="str">
        <f t="shared" si="100"/>
        <v>OK</v>
      </c>
      <c r="E6495" s="4" t="s">
        <v>1992</v>
      </c>
    </row>
    <row r="6496" spans="1:5" x14ac:dyDescent="0.2">
      <c r="A6496" s="126">
        <v>6435</v>
      </c>
      <c r="B6496" s="1831"/>
      <c r="D6496" s="2" t="str">
        <f t="shared" si="100"/>
        <v>OK</v>
      </c>
      <c r="E6496" s="4" t="s">
        <v>1992</v>
      </c>
    </row>
    <row r="6497" spans="1:5" x14ac:dyDescent="0.2">
      <c r="A6497" s="126">
        <v>6436</v>
      </c>
      <c r="B6497" s="1831"/>
      <c r="D6497" s="2" t="str">
        <f t="shared" si="100"/>
        <v>OK</v>
      </c>
      <c r="E6497" s="4" t="s">
        <v>1992</v>
      </c>
    </row>
    <row r="6498" spans="1:5" x14ac:dyDescent="0.2">
      <c r="A6498" s="126">
        <v>6437</v>
      </c>
      <c r="B6498" s="1831"/>
      <c r="D6498" s="2" t="str">
        <f t="shared" si="100"/>
        <v>OK</v>
      </c>
      <c r="E6498" s="4" t="s">
        <v>1992</v>
      </c>
    </row>
    <row r="6499" spans="1:5" x14ac:dyDescent="0.2">
      <c r="A6499" s="126">
        <v>6438</v>
      </c>
      <c r="B6499" s="1831"/>
      <c r="D6499" s="2" t="str">
        <f t="shared" si="100"/>
        <v>OK</v>
      </c>
      <c r="E6499" s="4" t="s">
        <v>1992</v>
      </c>
    </row>
    <row r="6500" spans="1:5" x14ac:dyDescent="0.2">
      <c r="A6500" s="126">
        <v>6439</v>
      </c>
      <c r="B6500" s="1831"/>
      <c r="D6500" s="2" t="str">
        <f t="shared" si="100"/>
        <v>OK</v>
      </c>
      <c r="E6500" s="4" t="s">
        <v>1992</v>
      </c>
    </row>
    <row r="6501" spans="1:5" x14ac:dyDescent="0.2">
      <c r="A6501" s="126">
        <v>6440</v>
      </c>
      <c r="B6501" s="1831"/>
      <c r="D6501" s="2" t="str">
        <f t="shared" si="100"/>
        <v>OK</v>
      </c>
      <c r="E6501" s="4" t="s">
        <v>1992</v>
      </c>
    </row>
    <row r="6502" spans="1:5" x14ac:dyDescent="0.2">
      <c r="A6502" s="126">
        <v>6441</v>
      </c>
      <c r="B6502" s="1831"/>
      <c r="D6502" s="2" t="str">
        <f t="shared" si="100"/>
        <v>OK</v>
      </c>
      <c r="E6502" s="4" t="s">
        <v>1992</v>
      </c>
    </row>
    <row r="6503" spans="1:5" x14ac:dyDescent="0.2">
      <c r="A6503" s="126">
        <v>6442</v>
      </c>
      <c r="B6503" s="1831"/>
      <c r="D6503" s="2" t="str">
        <f t="shared" si="100"/>
        <v>OK</v>
      </c>
      <c r="E6503" s="4" t="s">
        <v>1992</v>
      </c>
    </row>
    <row r="6504" spans="1:5" x14ac:dyDescent="0.2">
      <c r="A6504" s="126">
        <v>6443</v>
      </c>
      <c r="B6504" s="1831"/>
      <c r="D6504" s="2" t="str">
        <f t="shared" si="100"/>
        <v>OK</v>
      </c>
      <c r="E6504" s="4" t="s">
        <v>1992</v>
      </c>
    </row>
    <row r="6505" spans="1:5" x14ac:dyDescent="0.2">
      <c r="A6505" s="126">
        <v>6444</v>
      </c>
      <c r="B6505" s="1831"/>
      <c r="D6505" s="2" t="str">
        <f t="shared" si="100"/>
        <v>OK</v>
      </c>
      <c r="E6505" s="4" t="s">
        <v>1992</v>
      </c>
    </row>
    <row r="6506" spans="1:5" x14ac:dyDescent="0.2">
      <c r="A6506" s="126">
        <v>6445</v>
      </c>
      <c r="B6506" s="1831"/>
      <c r="D6506" s="2" t="str">
        <f t="shared" si="100"/>
        <v>OK</v>
      </c>
      <c r="E6506" s="4" t="s">
        <v>1992</v>
      </c>
    </row>
    <row r="6507" spans="1:5" x14ac:dyDescent="0.2">
      <c r="A6507" s="126">
        <v>6446</v>
      </c>
      <c r="B6507" s="1831"/>
      <c r="D6507" s="2" t="str">
        <f t="shared" si="100"/>
        <v>OK</v>
      </c>
      <c r="E6507" s="4" t="s">
        <v>1992</v>
      </c>
    </row>
    <row r="6508" spans="1:5" x14ac:dyDescent="0.2">
      <c r="A6508" s="126">
        <v>6447</v>
      </c>
      <c r="B6508" s="1831"/>
      <c r="D6508" s="2" t="str">
        <f t="shared" si="100"/>
        <v>OK</v>
      </c>
      <c r="E6508" s="4" t="s">
        <v>1992</v>
      </c>
    </row>
    <row r="6509" spans="1:5" x14ac:dyDescent="0.2">
      <c r="A6509" s="126">
        <v>6448</v>
      </c>
      <c r="B6509" s="1831"/>
      <c r="D6509" s="2" t="str">
        <f t="shared" si="100"/>
        <v>OK</v>
      </c>
      <c r="E6509" s="4" t="s">
        <v>1992</v>
      </c>
    </row>
    <row r="6510" spans="1:5" x14ac:dyDescent="0.2">
      <c r="A6510" s="126">
        <v>6449</v>
      </c>
      <c r="B6510" s="1831"/>
      <c r="D6510" s="2" t="str">
        <f t="shared" si="100"/>
        <v>OK</v>
      </c>
      <c r="E6510" s="4" t="s">
        <v>1992</v>
      </c>
    </row>
    <row r="6511" spans="1:5" x14ac:dyDescent="0.2">
      <c r="A6511" s="126">
        <v>6450</v>
      </c>
      <c r="B6511" s="1831"/>
      <c r="D6511" s="2" t="str">
        <f t="shared" si="100"/>
        <v>OK</v>
      </c>
      <c r="E6511" s="4" t="s">
        <v>1992</v>
      </c>
    </row>
    <row r="6512" spans="1:5" x14ac:dyDescent="0.2">
      <c r="A6512" s="126">
        <v>6451</v>
      </c>
      <c r="B6512" s="1831"/>
      <c r="D6512" s="2" t="str">
        <f t="shared" si="100"/>
        <v>OK</v>
      </c>
      <c r="E6512" s="4" t="s">
        <v>1992</v>
      </c>
    </row>
    <row r="6513" spans="1:5" x14ac:dyDescent="0.2">
      <c r="A6513" s="126">
        <v>6452</v>
      </c>
      <c r="B6513" s="1831"/>
      <c r="D6513" s="2" t="str">
        <f t="shared" si="100"/>
        <v>OK</v>
      </c>
      <c r="E6513" s="4" t="s">
        <v>1992</v>
      </c>
    </row>
    <row r="6514" spans="1:5" x14ac:dyDescent="0.2">
      <c r="A6514" s="126">
        <v>6453</v>
      </c>
      <c r="B6514" s="1831"/>
      <c r="D6514" s="2" t="str">
        <f t="shared" si="100"/>
        <v>OK</v>
      </c>
      <c r="E6514" s="4" t="s">
        <v>1992</v>
      </c>
    </row>
    <row r="6515" spans="1:5" x14ac:dyDescent="0.2">
      <c r="A6515" s="126">
        <v>6454</v>
      </c>
      <c r="B6515" s="1831"/>
      <c r="D6515" s="2" t="str">
        <f t="shared" si="100"/>
        <v>OK</v>
      </c>
      <c r="E6515" s="4" t="s">
        <v>1992</v>
      </c>
    </row>
    <row r="6516" spans="1:5" x14ac:dyDescent="0.2">
      <c r="A6516" s="126">
        <v>6455</v>
      </c>
      <c r="B6516" s="1831"/>
      <c r="D6516" s="2" t="str">
        <f t="shared" si="100"/>
        <v>OK</v>
      </c>
      <c r="E6516" s="4" t="s">
        <v>1992</v>
      </c>
    </row>
    <row r="6517" spans="1:5" x14ac:dyDescent="0.2">
      <c r="A6517" s="126">
        <v>6456</v>
      </c>
      <c r="B6517" s="1831"/>
      <c r="D6517" s="2" t="str">
        <f t="shared" si="100"/>
        <v>OK</v>
      </c>
      <c r="E6517" s="4" t="s">
        <v>1992</v>
      </c>
    </row>
    <row r="6518" spans="1:5" x14ac:dyDescent="0.2">
      <c r="A6518" s="126">
        <v>6457</v>
      </c>
      <c r="B6518" s="1831"/>
      <c r="D6518" s="2" t="str">
        <f t="shared" si="100"/>
        <v>OK</v>
      </c>
      <c r="E6518" s="4" t="s">
        <v>1992</v>
      </c>
    </row>
    <row r="6519" spans="1:5" x14ac:dyDescent="0.2">
      <c r="A6519" s="126">
        <v>6458</v>
      </c>
      <c r="B6519" s="1831"/>
      <c r="D6519" s="2" t="str">
        <f t="shared" si="100"/>
        <v>OK</v>
      </c>
      <c r="E6519" s="4" t="s">
        <v>1992</v>
      </c>
    </row>
    <row r="6520" spans="1:5" x14ac:dyDescent="0.2">
      <c r="A6520" s="126">
        <v>6459</v>
      </c>
      <c r="B6520" s="1831"/>
      <c r="D6520" s="2" t="str">
        <f t="shared" si="100"/>
        <v>OK</v>
      </c>
      <c r="E6520" s="4" t="s">
        <v>1992</v>
      </c>
    </row>
    <row r="6521" spans="1:5" x14ac:dyDescent="0.2">
      <c r="A6521" s="126">
        <v>6460</v>
      </c>
      <c r="B6521" s="1831"/>
      <c r="D6521" s="2" t="str">
        <f t="shared" si="100"/>
        <v>OK</v>
      </c>
      <c r="E6521" s="4" t="s">
        <v>1992</v>
      </c>
    </row>
    <row r="6522" spans="1:5" x14ac:dyDescent="0.2">
      <c r="A6522" s="126">
        <v>6461</v>
      </c>
      <c r="B6522" s="1831"/>
      <c r="D6522" s="2" t="str">
        <f t="shared" si="100"/>
        <v>OK</v>
      </c>
      <c r="E6522" s="4" t="s">
        <v>1992</v>
      </c>
    </row>
    <row r="6523" spans="1:5" x14ac:dyDescent="0.2">
      <c r="A6523" s="126">
        <v>6462</v>
      </c>
      <c r="B6523" s="1831"/>
      <c r="D6523" s="2" t="str">
        <f t="shared" si="100"/>
        <v>OK</v>
      </c>
      <c r="E6523" s="4" t="s">
        <v>1992</v>
      </c>
    </row>
    <row r="6524" spans="1:5" x14ac:dyDescent="0.2">
      <c r="A6524" s="126">
        <v>6463</v>
      </c>
      <c r="B6524" s="1831"/>
      <c r="D6524" s="2" t="str">
        <f t="shared" si="100"/>
        <v>OK</v>
      </c>
      <c r="E6524" s="4" t="s">
        <v>1992</v>
      </c>
    </row>
    <row r="6525" spans="1:5" x14ac:dyDescent="0.2">
      <c r="A6525" s="126">
        <v>6464</v>
      </c>
      <c r="B6525" s="1831"/>
      <c r="D6525" s="2" t="str">
        <f t="shared" si="100"/>
        <v>OK</v>
      </c>
      <c r="E6525" s="4" t="s">
        <v>1992</v>
      </c>
    </row>
    <row r="6526" spans="1:5" x14ac:dyDescent="0.2">
      <c r="A6526" s="126">
        <v>6465</v>
      </c>
      <c r="B6526" s="1831"/>
      <c r="D6526" s="2" t="str">
        <f t="shared" si="100"/>
        <v>OK</v>
      </c>
      <c r="E6526" s="4" t="s">
        <v>1992</v>
      </c>
    </row>
    <row r="6527" spans="1:5" x14ac:dyDescent="0.2">
      <c r="A6527" s="126">
        <v>6466</v>
      </c>
      <c r="B6527" s="1831"/>
      <c r="D6527" s="2" t="str">
        <f t="shared" ref="D6527:D6590" si="101">IF(ISBLANK(B6527),"OK",IF(A6527-B6527=0,"OK","Error?"))</f>
        <v>OK</v>
      </c>
      <c r="E6527" s="4" t="s">
        <v>1992</v>
      </c>
    </row>
    <row r="6528" spans="1:5" x14ac:dyDescent="0.2">
      <c r="A6528" s="126">
        <v>6467</v>
      </c>
      <c r="B6528" s="1831"/>
      <c r="D6528" s="2" t="str">
        <f t="shared" si="101"/>
        <v>OK</v>
      </c>
      <c r="E6528" s="4" t="s">
        <v>1992</v>
      </c>
    </row>
    <row r="6529" spans="1:5" x14ac:dyDescent="0.2">
      <c r="A6529" s="126">
        <v>6468</v>
      </c>
      <c r="B6529" s="1831"/>
      <c r="D6529" s="2" t="str">
        <f t="shared" si="101"/>
        <v>OK</v>
      </c>
      <c r="E6529" s="4" t="s">
        <v>1992</v>
      </c>
    </row>
    <row r="6530" spans="1:5" x14ac:dyDescent="0.2">
      <c r="A6530" s="126">
        <v>6469</v>
      </c>
      <c r="B6530" s="1831"/>
      <c r="D6530" s="2" t="str">
        <f t="shared" si="101"/>
        <v>OK</v>
      </c>
      <c r="E6530" s="4" t="s">
        <v>1992</v>
      </c>
    </row>
    <row r="6531" spans="1:5" x14ac:dyDescent="0.2">
      <c r="A6531" s="126">
        <v>6470</v>
      </c>
      <c r="B6531" s="1831"/>
      <c r="D6531" s="2" t="str">
        <f t="shared" si="101"/>
        <v>OK</v>
      </c>
      <c r="E6531" s="4" t="s">
        <v>1992</v>
      </c>
    </row>
    <row r="6532" spans="1:5" x14ac:dyDescent="0.2">
      <c r="A6532" s="126">
        <v>6471</v>
      </c>
      <c r="B6532" s="1831"/>
      <c r="D6532" s="2" t="str">
        <f t="shared" si="101"/>
        <v>OK</v>
      </c>
      <c r="E6532" s="4" t="s">
        <v>1992</v>
      </c>
    </row>
    <row r="6533" spans="1:5" x14ac:dyDescent="0.2">
      <c r="A6533" s="126">
        <v>6472</v>
      </c>
      <c r="B6533" s="1831"/>
      <c r="D6533" s="2" t="str">
        <f t="shared" si="101"/>
        <v>OK</v>
      </c>
      <c r="E6533" s="4" t="s">
        <v>1992</v>
      </c>
    </row>
    <row r="6534" spans="1:5" x14ac:dyDescent="0.2">
      <c r="A6534" s="126">
        <v>6473</v>
      </c>
      <c r="B6534" s="1831"/>
      <c r="D6534" s="2" t="str">
        <f t="shared" si="101"/>
        <v>OK</v>
      </c>
      <c r="E6534" s="4" t="s">
        <v>1992</v>
      </c>
    </row>
    <row r="6535" spans="1:5" x14ac:dyDescent="0.2">
      <c r="A6535" s="126">
        <v>6474</v>
      </c>
      <c r="B6535" s="1831"/>
      <c r="D6535" s="2" t="str">
        <f t="shared" si="101"/>
        <v>OK</v>
      </c>
      <c r="E6535" s="4" t="s">
        <v>1992</v>
      </c>
    </row>
    <row r="6536" spans="1:5" x14ac:dyDescent="0.2">
      <c r="A6536" s="126">
        <v>6475</v>
      </c>
      <c r="B6536" s="1831"/>
      <c r="D6536" s="2" t="str">
        <f t="shared" si="101"/>
        <v>OK</v>
      </c>
      <c r="E6536" s="4" t="s">
        <v>1992</v>
      </c>
    </row>
    <row r="6537" spans="1:5" x14ac:dyDescent="0.2">
      <c r="A6537" s="126">
        <v>6476</v>
      </c>
      <c r="B6537" s="1831"/>
      <c r="D6537" s="2" t="str">
        <f t="shared" si="101"/>
        <v>OK</v>
      </c>
      <c r="E6537" s="4" t="s">
        <v>1992</v>
      </c>
    </row>
    <row r="6538" spans="1:5" x14ac:dyDescent="0.2">
      <c r="A6538" s="126">
        <v>6477</v>
      </c>
      <c r="B6538" s="1831"/>
      <c r="D6538" s="2" t="str">
        <f t="shared" si="101"/>
        <v>OK</v>
      </c>
      <c r="E6538" s="4" t="s">
        <v>1992</v>
      </c>
    </row>
    <row r="6539" spans="1:5" x14ac:dyDescent="0.2">
      <c r="A6539" s="126">
        <v>6478</v>
      </c>
      <c r="B6539" s="1831"/>
      <c r="D6539" s="2" t="str">
        <f t="shared" si="101"/>
        <v>OK</v>
      </c>
      <c r="E6539" s="4" t="s">
        <v>1992</v>
      </c>
    </row>
    <row r="6540" spans="1:5" x14ac:dyDescent="0.2">
      <c r="A6540" s="126">
        <v>6479</v>
      </c>
      <c r="B6540" s="1831"/>
      <c r="D6540" s="2" t="str">
        <f t="shared" si="101"/>
        <v>OK</v>
      </c>
      <c r="E6540" s="4" t="s">
        <v>1992</v>
      </c>
    </row>
    <row r="6541" spans="1:5" x14ac:dyDescent="0.2">
      <c r="A6541" s="126">
        <v>6480</v>
      </c>
      <c r="B6541" s="1831"/>
      <c r="D6541" s="2" t="str">
        <f t="shared" si="101"/>
        <v>OK</v>
      </c>
      <c r="E6541" s="4" t="s">
        <v>1992</v>
      </c>
    </row>
    <row r="6542" spans="1:5" x14ac:dyDescent="0.2">
      <c r="A6542" s="126">
        <v>6481</v>
      </c>
      <c r="B6542" s="1831"/>
      <c r="D6542" s="2" t="str">
        <f t="shared" si="101"/>
        <v>OK</v>
      </c>
      <c r="E6542" s="4" t="s">
        <v>1992</v>
      </c>
    </row>
    <row r="6543" spans="1:5" x14ac:dyDescent="0.2">
      <c r="A6543" s="126">
        <v>6482</v>
      </c>
      <c r="B6543" s="1831"/>
      <c r="D6543" s="2" t="str">
        <f t="shared" si="101"/>
        <v>OK</v>
      </c>
      <c r="E6543" s="4" t="s">
        <v>1992</v>
      </c>
    </row>
    <row r="6544" spans="1:5" x14ac:dyDescent="0.2">
      <c r="A6544" s="126">
        <v>6483</v>
      </c>
      <c r="B6544" s="1831"/>
      <c r="D6544" s="2" t="str">
        <f t="shared" si="101"/>
        <v>OK</v>
      </c>
      <c r="E6544" s="4" t="s">
        <v>1992</v>
      </c>
    </row>
    <row r="6545" spans="1:5" x14ac:dyDescent="0.2">
      <c r="A6545" s="126">
        <v>6484</v>
      </c>
      <c r="B6545" s="1831"/>
      <c r="D6545" s="2" t="str">
        <f t="shared" si="101"/>
        <v>OK</v>
      </c>
      <c r="E6545" s="4" t="s">
        <v>1992</v>
      </c>
    </row>
    <row r="6546" spans="1:5" x14ac:dyDescent="0.2">
      <c r="A6546" s="126">
        <v>6485</v>
      </c>
      <c r="B6546" s="1831"/>
      <c r="D6546" s="2" t="str">
        <f t="shared" si="101"/>
        <v>OK</v>
      </c>
      <c r="E6546" s="4" t="s">
        <v>1992</v>
      </c>
    </row>
    <row r="6547" spans="1:5" x14ac:dyDescent="0.2">
      <c r="A6547" s="126">
        <v>6486</v>
      </c>
      <c r="B6547" s="1831"/>
      <c r="D6547" s="2" t="str">
        <f t="shared" si="101"/>
        <v>OK</v>
      </c>
      <c r="E6547" s="4" t="s">
        <v>1992</v>
      </c>
    </row>
    <row r="6548" spans="1:5" x14ac:dyDescent="0.2">
      <c r="A6548" s="126">
        <v>6487</v>
      </c>
      <c r="B6548" s="1831"/>
      <c r="D6548" s="2" t="str">
        <f t="shared" si="101"/>
        <v>OK</v>
      </c>
      <c r="E6548" s="4" t="s">
        <v>1992</v>
      </c>
    </row>
    <row r="6549" spans="1:5" x14ac:dyDescent="0.2">
      <c r="A6549" s="126">
        <v>6488</v>
      </c>
      <c r="B6549" s="1831"/>
      <c r="D6549" s="2" t="str">
        <f t="shared" si="101"/>
        <v>OK</v>
      </c>
      <c r="E6549" s="4" t="s">
        <v>1992</v>
      </c>
    </row>
    <row r="6550" spans="1:5" x14ac:dyDescent="0.2">
      <c r="A6550" s="126">
        <v>6489</v>
      </c>
      <c r="B6550" s="1831"/>
      <c r="D6550" s="2" t="str">
        <f t="shared" si="101"/>
        <v>OK</v>
      </c>
      <c r="E6550" s="4" t="s">
        <v>1992</v>
      </c>
    </row>
    <row r="6551" spans="1:5" x14ac:dyDescent="0.2">
      <c r="A6551" s="126">
        <v>6490</v>
      </c>
      <c r="B6551" s="1831"/>
      <c r="D6551" s="2" t="str">
        <f t="shared" si="101"/>
        <v>OK</v>
      </c>
      <c r="E6551" s="4" t="s">
        <v>1992</v>
      </c>
    </row>
    <row r="6552" spans="1:5" x14ac:dyDescent="0.2">
      <c r="A6552" s="126">
        <v>6491</v>
      </c>
      <c r="B6552" s="1831"/>
      <c r="D6552" s="2" t="str">
        <f t="shared" si="101"/>
        <v>OK</v>
      </c>
      <c r="E6552" s="4" t="s">
        <v>1992</v>
      </c>
    </row>
    <row r="6553" spans="1:5" x14ac:dyDescent="0.2">
      <c r="A6553" s="126">
        <v>6492</v>
      </c>
      <c r="B6553" s="1831"/>
      <c r="D6553" s="2" t="str">
        <f t="shared" si="101"/>
        <v>OK</v>
      </c>
      <c r="E6553" s="4" t="s">
        <v>1992</v>
      </c>
    </row>
    <row r="6554" spans="1:5" x14ac:dyDescent="0.2">
      <c r="A6554" s="126">
        <v>6493</v>
      </c>
      <c r="B6554" s="1831"/>
      <c r="D6554" s="2" t="str">
        <f t="shared" si="101"/>
        <v>OK</v>
      </c>
      <c r="E6554" s="4" t="s">
        <v>1992</v>
      </c>
    </row>
    <row r="6555" spans="1:5" x14ac:dyDescent="0.2">
      <c r="A6555" s="126">
        <v>6494</v>
      </c>
      <c r="B6555" s="1831"/>
      <c r="D6555" s="2" t="str">
        <f t="shared" si="101"/>
        <v>OK</v>
      </c>
      <c r="E6555" s="4" t="s">
        <v>1992</v>
      </c>
    </row>
    <row r="6556" spans="1:5" x14ac:dyDescent="0.2">
      <c r="A6556" s="126">
        <v>6495</v>
      </c>
      <c r="B6556" s="1831"/>
      <c r="D6556" s="2" t="str">
        <f t="shared" si="101"/>
        <v>OK</v>
      </c>
      <c r="E6556" s="4" t="s">
        <v>1992</v>
      </c>
    </row>
    <row r="6557" spans="1:5" x14ac:dyDescent="0.2">
      <c r="A6557" s="126">
        <v>6496</v>
      </c>
      <c r="B6557" s="1831"/>
      <c r="D6557" s="2" t="str">
        <f t="shared" si="101"/>
        <v>OK</v>
      </c>
      <c r="E6557" s="4" t="s">
        <v>1992</v>
      </c>
    </row>
    <row r="6558" spans="1:5" x14ac:dyDescent="0.2">
      <c r="A6558" s="126">
        <v>6497</v>
      </c>
      <c r="B6558" s="1831"/>
      <c r="D6558" s="2" t="str">
        <f t="shared" si="101"/>
        <v>OK</v>
      </c>
      <c r="E6558" s="4" t="s">
        <v>1992</v>
      </c>
    </row>
    <row r="6559" spans="1:5" x14ac:dyDescent="0.2">
      <c r="A6559" s="126">
        <v>6498</v>
      </c>
      <c r="B6559" s="1831"/>
      <c r="D6559" s="2" t="str">
        <f t="shared" si="101"/>
        <v>OK</v>
      </c>
      <c r="E6559" s="4" t="s">
        <v>1992</v>
      </c>
    </row>
    <row r="6560" spans="1:5" x14ac:dyDescent="0.2">
      <c r="A6560" s="126">
        <v>6499</v>
      </c>
      <c r="B6560" s="1831"/>
      <c r="D6560" s="2" t="str">
        <f t="shared" si="101"/>
        <v>OK</v>
      </c>
      <c r="E6560" s="4" t="s">
        <v>1992</v>
      </c>
    </row>
    <row r="6561" spans="1:5" x14ac:dyDescent="0.2">
      <c r="A6561" s="126">
        <v>6500</v>
      </c>
      <c r="B6561" s="1831"/>
      <c r="D6561" s="2" t="str">
        <f t="shared" si="101"/>
        <v>OK</v>
      </c>
      <c r="E6561" s="4" t="s">
        <v>1992</v>
      </c>
    </row>
    <row r="6562" spans="1:5" x14ac:dyDescent="0.2">
      <c r="A6562" s="126">
        <v>6501</v>
      </c>
      <c r="B6562" s="1831"/>
      <c r="D6562" s="2" t="str">
        <f t="shared" si="101"/>
        <v>OK</v>
      </c>
      <c r="E6562" s="4" t="s">
        <v>1992</v>
      </c>
    </row>
    <row r="6563" spans="1:5" x14ac:dyDescent="0.2">
      <c r="A6563" s="126">
        <v>6502</v>
      </c>
      <c r="B6563" s="1831"/>
      <c r="D6563" s="2" t="str">
        <f t="shared" si="101"/>
        <v>OK</v>
      </c>
      <c r="E6563" s="4" t="s">
        <v>1992</v>
      </c>
    </row>
    <row r="6564" spans="1:5" x14ac:dyDescent="0.2">
      <c r="A6564" s="126">
        <v>6503</v>
      </c>
      <c r="B6564" s="1831"/>
      <c r="D6564" s="2" t="str">
        <f t="shared" si="101"/>
        <v>OK</v>
      </c>
      <c r="E6564" s="4" t="s">
        <v>1992</v>
      </c>
    </row>
    <row r="6565" spans="1:5" x14ac:dyDescent="0.2">
      <c r="A6565" s="126">
        <v>6504</v>
      </c>
      <c r="B6565" s="1831"/>
      <c r="D6565" s="2" t="str">
        <f t="shared" si="101"/>
        <v>OK</v>
      </c>
      <c r="E6565" s="4" t="s">
        <v>1992</v>
      </c>
    </row>
    <row r="6566" spans="1:5" x14ac:dyDescent="0.2">
      <c r="A6566" s="126">
        <v>6505</v>
      </c>
      <c r="B6566" s="1831"/>
      <c r="D6566" s="2" t="str">
        <f t="shared" si="101"/>
        <v>OK</v>
      </c>
      <c r="E6566" s="4" t="s">
        <v>1992</v>
      </c>
    </row>
    <row r="6567" spans="1:5" x14ac:dyDescent="0.2">
      <c r="A6567" s="126">
        <v>6506</v>
      </c>
      <c r="B6567" s="1831"/>
      <c r="D6567" s="2" t="str">
        <f t="shared" si="101"/>
        <v>OK</v>
      </c>
      <c r="E6567" s="4" t="s">
        <v>1992</v>
      </c>
    </row>
    <row r="6568" spans="1:5" x14ac:dyDescent="0.2">
      <c r="A6568" s="126">
        <v>6507</v>
      </c>
      <c r="B6568" s="1831"/>
      <c r="D6568" s="2" t="str">
        <f t="shared" si="101"/>
        <v>OK</v>
      </c>
      <c r="E6568" s="4" t="s">
        <v>1992</v>
      </c>
    </row>
    <row r="6569" spans="1:5" x14ac:dyDescent="0.2">
      <c r="A6569" s="126">
        <v>6508</v>
      </c>
      <c r="B6569" s="1831"/>
      <c r="D6569" s="2" t="str">
        <f t="shared" si="101"/>
        <v>OK</v>
      </c>
      <c r="E6569" s="4" t="s">
        <v>1992</v>
      </c>
    </row>
    <row r="6570" spans="1:5" x14ac:dyDescent="0.2">
      <c r="A6570" s="126">
        <v>6509</v>
      </c>
      <c r="B6570" s="1831"/>
      <c r="D6570" s="2" t="str">
        <f t="shared" si="101"/>
        <v>OK</v>
      </c>
      <c r="E6570" s="4" t="s">
        <v>1992</v>
      </c>
    </row>
    <row r="6571" spans="1:5" x14ac:dyDescent="0.2">
      <c r="A6571" s="126">
        <v>6510</v>
      </c>
      <c r="B6571" s="1831"/>
      <c r="D6571" s="2" t="str">
        <f t="shared" si="101"/>
        <v>OK</v>
      </c>
      <c r="E6571" s="4" t="s">
        <v>1992</v>
      </c>
    </row>
    <row r="6572" spans="1:5" x14ac:dyDescent="0.2">
      <c r="A6572" s="126">
        <v>6511</v>
      </c>
      <c r="B6572" s="1831"/>
      <c r="D6572" s="2" t="str">
        <f t="shared" si="101"/>
        <v>OK</v>
      </c>
      <c r="E6572" s="4" t="s">
        <v>1992</v>
      </c>
    </row>
    <row r="6573" spans="1:5" x14ac:dyDescent="0.2">
      <c r="A6573" s="126">
        <v>6512</v>
      </c>
      <c r="B6573" s="1831"/>
      <c r="D6573" s="2" t="str">
        <f t="shared" si="101"/>
        <v>OK</v>
      </c>
      <c r="E6573" s="4" t="s">
        <v>1992</v>
      </c>
    </row>
    <row r="6574" spans="1:5" x14ac:dyDescent="0.2">
      <c r="A6574" s="126">
        <v>6513</v>
      </c>
      <c r="B6574" s="1831"/>
      <c r="D6574" s="2" t="str">
        <f t="shared" si="101"/>
        <v>OK</v>
      </c>
      <c r="E6574" s="4" t="s">
        <v>1992</v>
      </c>
    </row>
    <row r="6575" spans="1:5" x14ac:dyDescent="0.2">
      <c r="A6575" s="126">
        <v>6514</v>
      </c>
      <c r="B6575" s="1831"/>
      <c r="D6575" s="2" t="str">
        <f t="shared" si="101"/>
        <v>OK</v>
      </c>
      <c r="E6575" s="4" t="s">
        <v>1992</v>
      </c>
    </row>
    <row r="6576" spans="1:5" x14ac:dyDescent="0.2">
      <c r="A6576" s="126">
        <v>6515</v>
      </c>
      <c r="B6576" s="1831"/>
      <c r="D6576" s="2" t="str">
        <f t="shared" si="101"/>
        <v>OK</v>
      </c>
      <c r="E6576" s="4" t="s">
        <v>1992</v>
      </c>
    </row>
    <row r="6577" spans="1:5" x14ac:dyDescent="0.2">
      <c r="A6577" s="126">
        <v>6516</v>
      </c>
      <c r="B6577" s="1831"/>
      <c r="D6577" s="2" t="str">
        <f t="shared" si="101"/>
        <v>OK</v>
      </c>
      <c r="E6577" s="4" t="s">
        <v>1992</v>
      </c>
    </row>
    <row r="6578" spans="1:5" x14ac:dyDescent="0.2">
      <c r="A6578" s="126">
        <v>6517</v>
      </c>
      <c r="B6578" s="1831"/>
      <c r="D6578" s="2" t="str">
        <f t="shared" si="101"/>
        <v>OK</v>
      </c>
      <c r="E6578" s="4" t="s">
        <v>1992</v>
      </c>
    </row>
    <row r="6579" spans="1:5" x14ac:dyDescent="0.2">
      <c r="A6579" s="126">
        <v>6518</v>
      </c>
      <c r="B6579" s="1831"/>
      <c r="D6579" s="2" t="str">
        <f t="shared" si="101"/>
        <v>OK</v>
      </c>
      <c r="E6579" s="4" t="s">
        <v>1992</v>
      </c>
    </row>
    <row r="6580" spans="1:5" x14ac:dyDescent="0.2">
      <c r="A6580" s="126">
        <v>6519</v>
      </c>
      <c r="B6580" s="1831"/>
      <c r="D6580" s="2" t="str">
        <f t="shared" si="101"/>
        <v>OK</v>
      </c>
      <c r="E6580" s="4" t="s">
        <v>1992</v>
      </c>
    </row>
    <row r="6581" spans="1:5" x14ac:dyDescent="0.2">
      <c r="A6581" s="126">
        <v>6520</v>
      </c>
      <c r="B6581" s="1831"/>
      <c r="D6581" s="2" t="str">
        <f t="shared" si="101"/>
        <v>OK</v>
      </c>
      <c r="E6581" s="4" t="s">
        <v>1992</v>
      </c>
    </row>
    <row r="6582" spans="1:5" x14ac:dyDescent="0.2">
      <c r="A6582" s="126">
        <v>6521</v>
      </c>
      <c r="B6582" s="1831"/>
      <c r="D6582" s="2" t="str">
        <f t="shared" si="101"/>
        <v>OK</v>
      </c>
      <c r="E6582" s="4" t="s">
        <v>1992</v>
      </c>
    </row>
    <row r="6583" spans="1:5" x14ac:dyDescent="0.2">
      <c r="A6583" s="126">
        <v>6522</v>
      </c>
      <c r="B6583" s="1831"/>
      <c r="D6583" s="2" t="str">
        <f t="shared" si="101"/>
        <v>OK</v>
      </c>
      <c r="E6583" s="4" t="s">
        <v>1992</v>
      </c>
    </row>
    <row r="6584" spans="1:5" x14ac:dyDescent="0.2">
      <c r="A6584" s="126">
        <v>6523</v>
      </c>
      <c r="B6584" s="1831"/>
      <c r="D6584" s="2" t="str">
        <f t="shared" si="101"/>
        <v>OK</v>
      </c>
      <c r="E6584" s="4" t="s">
        <v>1992</v>
      </c>
    </row>
    <row r="6585" spans="1:5" x14ac:dyDescent="0.2">
      <c r="A6585" s="126">
        <v>6524</v>
      </c>
      <c r="B6585" s="1831"/>
      <c r="D6585" s="2" t="str">
        <f t="shared" si="101"/>
        <v>OK</v>
      </c>
      <c r="E6585" s="4" t="s">
        <v>1992</v>
      </c>
    </row>
    <row r="6586" spans="1:5" x14ac:dyDescent="0.2">
      <c r="A6586" s="126">
        <v>6525</v>
      </c>
      <c r="B6586" s="1831"/>
      <c r="D6586" s="2" t="str">
        <f t="shared" si="101"/>
        <v>OK</v>
      </c>
      <c r="E6586" s="4" t="s">
        <v>1992</v>
      </c>
    </row>
    <row r="6587" spans="1:5" x14ac:dyDescent="0.2">
      <c r="A6587" s="126">
        <v>6526</v>
      </c>
      <c r="B6587" s="1831"/>
      <c r="D6587" s="2" t="str">
        <f t="shared" si="101"/>
        <v>OK</v>
      </c>
      <c r="E6587" s="4" t="s">
        <v>1992</v>
      </c>
    </row>
    <row r="6588" spans="1:5" x14ac:dyDescent="0.2">
      <c r="A6588" s="126">
        <v>6527</v>
      </c>
      <c r="B6588" s="1831"/>
      <c r="D6588" s="2" t="str">
        <f t="shared" si="101"/>
        <v>OK</v>
      </c>
      <c r="E6588" s="4" t="s">
        <v>1992</v>
      </c>
    </row>
    <row r="6589" spans="1:5" x14ac:dyDescent="0.2">
      <c r="A6589" s="126">
        <v>6528</v>
      </c>
      <c r="B6589" s="1831"/>
      <c r="D6589" s="2" t="str">
        <f t="shared" si="101"/>
        <v>OK</v>
      </c>
      <c r="E6589" s="4" t="s">
        <v>1992</v>
      </c>
    </row>
    <row r="6590" spans="1:5" x14ac:dyDescent="0.2">
      <c r="A6590" s="126">
        <v>6529</v>
      </c>
      <c r="B6590" s="1831"/>
      <c r="D6590" s="2" t="str">
        <f t="shared" si="101"/>
        <v>OK</v>
      </c>
      <c r="E6590" s="4" t="s">
        <v>1992</v>
      </c>
    </row>
    <row r="6591" spans="1:5" x14ac:dyDescent="0.2">
      <c r="A6591" s="126">
        <v>6530</v>
      </c>
      <c r="B6591" s="1831"/>
      <c r="D6591" s="2" t="str">
        <f t="shared" ref="D6591:D6654" si="102">IF(ISBLANK(B6591),"OK",IF(A6591-B6591=0,"OK","Error?"))</f>
        <v>OK</v>
      </c>
      <c r="E6591" s="4" t="s">
        <v>1992</v>
      </c>
    </row>
    <row r="6592" spans="1:5" x14ac:dyDescent="0.2">
      <c r="A6592" s="126">
        <v>6531</v>
      </c>
      <c r="B6592" s="1831"/>
      <c r="D6592" s="2" t="str">
        <f t="shared" si="102"/>
        <v>OK</v>
      </c>
      <c r="E6592" s="4" t="s">
        <v>1992</v>
      </c>
    </row>
    <row r="6593" spans="1:5" x14ac:dyDescent="0.2">
      <c r="A6593" s="126">
        <v>6532</v>
      </c>
      <c r="B6593" s="1831"/>
      <c r="D6593" s="2" t="str">
        <f t="shared" si="102"/>
        <v>OK</v>
      </c>
      <c r="E6593" s="4" t="s">
        <v>1992</v>
      </c>
    </row>
    <row r="6594" spans="1:5" x14ac:dyDescent="0.2">
      <c r="A6594" s="126">
        <v>6533</v>
      </c>
      <c r="B6594" s="1831"/>
      <c r="D6594" s="2" t="str">
        <f t="shared" si="102"/>
        <v>OK</v>
      </c>
      <c r="E6594" s="4" t="s">
        <v>1992</v>
      </c>
    </row>
    <row r="6595" spans="1:5" x14ac:dyDescent="0.2">
      <c r="A6595" s="126">
        <v>6534</v>
      </c>
      <c r="B6595" s="1831"/>
      <c r="D6595" s="2" t="str">
        <f t="shared" si="102"/>
        <v>OK</v>
      </c>
      <c r="E6595" s="4" t="s">
        <v>1992</v>
      </c>
    </row>
    <row r="6596" spans="1:5" x14ac:dyDescent="0.2">
      <c r="A6596" s="126">
        <v>6535</v>
      </c>
      <c r="B6596" s="1831"/>
      <c r="D6596" s="2" t="str">
        <f t="shared" si="102"/>
        <v>OK</v>
      </c>
      <c r="E6596" s="4" t="s">
        <v>1992</v>
      </c>
    </row>
    <row r="6597" spans="1:5" x14ac:dyDescent="0.2">
      <c r="A6597" s="126">
        <v>6536</v>
      </c>
      <c r="B6597" s="1831"/>
      <c r="D6597" s="2" t="str">
        <f t="shared" si="102"/>
        <v>OK</v>
      </c>
      <c r="E6597" s="4" t="s">
        <v>1992</v>
      </c>
    </row>
    <row r="6598" spans="1:5" x14ac:dyDescent="0.2">
      <c r="A6598" s="126">
        <v>6537</v>
      </c>
      <c r="B6598" s="1831"/>
      <c r="D6598" s="2" t="str">
        <f t="shared" si="102"/>
        <v>OK</v>
      </c>
      <c r="E6598" s="4" t="s">
        <v>1992</v>
      </c>
    </row>
    <row r="6599" spans="1:5" x14ac:dyDescent="0.2">
      <c r="A6599" s="126">
        <v>6538</v>
      </c>
      <c r="B6599" s="1831"/>
      <c r="D6599" s="2" t="str">
        <f t="shared" si="102"/>
        <v>OK</v>
      </c>
      <c r="E6599" s="4" t="s">
        <v>1992</v>
      </c>
    </row>
    <row r="6600" spans="1:5" x14ac:dyDescent="0.2">
      <c r="A6600" s="126">
        <v>6539</v>
      </c>
      <c r="B6600" s="1831"/>
      <c r="D6600" s="2" t="str">
        <f t="shared" si="102"/>
        <v>OK</v>
      </c>
      <c r="E6600" s="4" t="s">
        <v>1992</v>
      </c>
    </row>
    <row r="6601" spans="1:5" x14ac:dyDescent="0.2">
      <c r="A6601" s="126">
        <v>6540</v>
      </c>
      <c r="B6601" s="1831"/>
      <c r="D6601" s="2" t="str">
        <f t="shared" si="102"/>
        <v>OK</v>
      </c>
      <c r="E6601" s="4" t="s">
        <v>1992</v>
      </c>
    </row>
    <row r="6602" spans="1:5" x14ac:dyDescent="0.2">
      <c r="A6602" s="126">
        <v>6541</v>
      </c>
      <c r="B6602" s="1831"/>
      <c r="D6602" s="2" t="str">
        <f t="shared" si="102"/>
        <v>OK</v>
      </c>
      <c r="E6602" s="4" t="s">
        <v>1992</v>
      </c>
    </row>
    <row r="6603" spans="1:5" x14ac:dyDescent="0.2">
      <c r="A6603" s="126">
        <v>6542</v>
      </c>
      <c r="B6603" s="1831"/>
      <c r="D6603" s="2" t="str">
        <f t="shared" si="102"/>
        <v>OK</v>
      </c>
      <c r="E6603" s="4" t="s">
        <v>1992</v>
      </c>
    </row>
    <row r="6604" spans="1:5" x14ac:dyDescent="0.2">
      <c r="A6604" s="126">
        <v>6543</v>
      </c>
      <c r="B6604" s="1831"/>
      <c r="D6604" s="2" t="str">
        <f t="shared" si="102"/>
        <v>OK</v>
      </c>
      <c r="E6604" s="4" t="s">
        <v>1992</v>
      </c>
    </row>
    <row r="6605" spans="1:5" x14ac:dyDescent="0.2">
      <c r="A6605" s="126">
        <v>6544</v>
      </c>
      <c r="B6605" s="1831"/>
      <c r="D6605" s="2" t="str">
        <f t="shared" si="102"/>
        <v>OK</v>
      </c>
      <c r="E6605" s="4" t="s">
        <v>1992</v>
      </c>
    </row>
    <row r="6606" spans="1:5" x14ac:dyDescent="0.2">
      <c r="A6606" s="126">
        <v>6545</v>
      </c>
      <c r="B6606" s="1831"/>
      <c r="D6606" s="2" t="str">
        <f t="shared" si="102"/>
        <v>OK</v>
      </c>
      <c r="E6606" s="4" t="s">
        <v>1992</v>
      </c>
    </row>
    <row r="6607" spans="1:5" x14ac:dyDescent="0.2">
      <c r="A6607" s="126">
        <v>6546</v>
      </c>
      <c r="B6607" s="1831"/>
      <c r="D6607" s="2" t="str">
        <f t="shared" si="102"/>
        <v>OK</v>
      </c>
      <c r="E6607" s="4" t="s">
        <v>1992</v>
      </c>
    </row>
    <row r="6608" spans="1:5" x14ac:dyDescent="0.2">
      <c r="A6608" s="126">
        <v>6547</v>
      </c>
      <c r="B6608" s="1831"/>
      <c r="D6608" s="2" t="str">
        <f t="shared" si="102"/>
        <v>OK</v>
      </c>
      <c r="E6608" s="4" t="s">
        <v>1992</v>
      </c>
    </row>
    <row r="6609" spans="1:5" x14ac:dyDescent="0.2">
      <c r="A6609" s="126">
        <v>6548</v>
      </c>
      <c r="B6609" s="1831"/>
      <c r="D6609" s="2" t="str">
        <f t="shared" si="102"/>
        <v>OK</v>
      </c>
      <c r="E6609" s="4" t="s">
        <v>1992</v>
      </c>
    </row>
    <row r="6610" spans="1:5" x14ac:dyDescent="0.2">
      <c r="A6610" s="126">
        <v>6549</v>
      </c>
      <c r="B6610" s="1831"/>
      <c r="D6610" s="2" t="str">
        <f t="shared" si="102"/>
        <v>OK</v>
      </c>
      <c r="E6610" s="4" t="s">
        <v>1992</v>
      </c>
    </row>
    <row r="6611" spans="1:5" x14ac:dyDescent="0.2">
      <c r="A6611" s="126">
        <v>6550</v>
      </c>
      <c r="B6611" s="1831"/>
      <c r="D6611" s="2" t="str">
        <f t="shared" si="102"/>
        <v>OK</v>
      </c>
      <c r="E6611" s="4" t="s">
        <v>1992</v>
      </c>
    </row>
    <row r="6612" spans="1:5" x14ac:dyDescent="0.2">
      <c r="A6612" s="126">
        <v>6551</v>
      </c>
      <c r="B6612" s="1831"/>
      <c r="D6612" s="2" t="str">
        <f t="shared" si="102"/>
        <v>OK</v>
      </c>
      <c r="E6612" s="4" t="s">
        <v>1992</v>
      </c>
    </row>
    <row r="6613" spans="1:5" x14ac:dyDescent="0.2">
      <c r="A6613" s="126">
        <v>6552</v>
      </c>
      <c r="B6613" s="1831"/>
      <c r="D6613" s="2" t="str">
        <f t="shared" si="102"/>
        <v>OK</v>
      </c>
      <c r="E6613" s="4" t="s">
        <v>1992</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457333</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1896</v>
      </c>
    </row>
    <row r="6842" spans="1:5" x14ac:dyDescent="0.2">
      <c r="A6842" s="126">
        <v>6781</v>
      </c>
      <c r="B6842" s="1831"/>
      <c r="D6842" s="2" t="str">
        <f t="shared" si="105"/>
        <v>OK</v>
      </c>
      <c r="E6842" s="1" t="s">
        <v>1896</v>
      </c>
    </row>
    <row r="6843" spans="1:5" x14ac:dyDescent="0.2">
      <c r="A6843" s="126">
        <v>6782</v>
      </c>
      <c r="B6843" s="1831"/>
      <c r="D6843" s="2" t="str">
        <f t="shared" si="105"/>
        <v>OK</v>
      </c>
      <c r="E6843" s="1" t="s">
        <v>1896</v>
      </c>
    </row>
    <row r="6844" spans="1:5" x14ac:dyDescent="0.2">
      <c r="A6844">
        <v>6783</v>
      </c>
      <c r="B6844" s="1831">
        <f>'Expenditures 15-22'!I5</f>
        <v>1414</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654494</v>
      </c>
      <c r="D6848" s="2" t="str">
        <f t="shared" si="106"/>
        <v>Error?</v>
      </c>
    </row>
    <row r="6849" spans="1:4" x14ac:dyDescent="0.2">
      <c r="A6849">
        <v>6788</v>
      </c>
      <c r="B6849" s="1831">
        <f>'Expenditures 15-22'!I8</f>
        <v>2100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335273</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837233</v>
      </c>
      <c r="D6880" s="2" t="str">
        <f t="shared" si="106"/>
        <v>Error?</v>
      </c>
    </row>
    <row r="6881" spans="1:4" x14ac:dyDescent="0.2">
      <c r="A6881">
        <v>6820</v>
      </c>
      <c r="B6881" s="1831">
        <f>'Expenditures 15-22'!K22</f>
        <v>837233</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3514</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90594</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90594</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12617</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12617</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12617</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497623</v>
      </c>
      <c r="D6983" s="2" t="str">
        <f t="shared" si="108"/>
        <v>Error?</v>
      </c>
    </row>
    <row r="6984" spans="1:4" x14ac:dyDescent="0.2">
      <c r="A6984">
        <v>6923</v>
      </c>
      <c r="B6984" s="1831">
        <f>'Expenditures 15-22'!K86</f>
        <v>497623</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497623</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16131</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259274</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309440</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27174</v>
      </c>
      <c r="D7073" s="2" t="str">
        <f t="shared" si="109"/>
        <v>Error?</v>
      </c>
    </row>
    <row r="7074" spans="1:4" x14ac:dyDescent="0.2">
      <c r="A7074">
        <v>7013</v>
      </c>
      <c r="B7074" s="1831">
        <f>'Expenditures 15-22'!K216</f>
        <v>27174</v>
      </c>
      <c r="D7074" s="2" t="str">
        <f t="shared" si="109"/>
        <v>Error?</v>
      </c>
    </row>
    <row r="7075" spans="1:4" x14ac:dyDescent="0.2">
      <c r="A7075">
        <v>7014</v>
      </c>
      <c r="B7075" s="1831">
        <f>'Expenditures 15-22'!D218</f>
        <v>11152</v>
      </c>
      <c r="D7075" s="2" t="str">
        <f t="shared" si="109"/>
        <v>Error?</v>
      </c>
    </row>
    <row r="7076" spans="1:4" x14ac:dyDescent="0.2">
      <c r="A7076">
        <v>7015</v>
      </c>
      <c r="B7076" s="1831">
        <f>'Expenditures 15-22'!K218</f>
        <v>11152</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129897</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129897</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88980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88980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259274</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259274</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259274</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259274</v>
      </c>
      <c r="D7224" s="2" t="str">
        <f t="shared" si="111"/>
        <v>Error?</v>
      </c>
    </row>
    <row r="7225" spans="1:4" x14ac:dyDescent="0.2">
      <c r="A7225">
        <v>7164</v>
      </c>
      <c r="B7225" s="1831">
        <f>'Expenditures 15-22'!K343</f>
        <v>50166</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165470</v>
      </c>
      <c r="D7246" s="2" t="str">
        <f t="shared" si="112"/>
        <v>Error?</v>
      </c>
    </row>
    <row r="7247" spans="1:4" x14ac:dyDescent="0.2">
      <c r="A7247">
        <f t="shared" si="113"/>
        <v>7186</v>
      </c>
      <c r="B7247" s="1831">
        <f>'Expenditures 15-22'!E7</f>
        <v>14776</v>
      </c>
      <c r="D7247" s="2" t="str">
        <f t="shared" si="112"/>
        <v>Error?</v>
      </c>
    </row>
    <row r="7248" spans="1:4" x14ac:dyDescent="0.2">
      <c r="A7248">
        <f t="shared" si="113"/>
        <v>7187</v>
      </c>
      <c r="B7248" s="1831">
        <f>'Expenditures 15-22'!F7</f>
        <v>16500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415</v>
      </c>
      <c r="D7250" s="2" t="str">
        <f t="shared" si="112"/>
        <v>Error?</v>
      </c>
    </row>
    <row r="7251" spans="1:4" x14ac:dyDescent="0.2">
      <c r="A7251">
        <f t="shared" si="113"/>
        <v>7190</v>
      </c>
      <c r="B7251" s="1831">
        <f>'Expenditures 15-22'!C9</f>
        <v>259380</v>
      </c>
      <c r="D7251" s="2" t="str">
        <f t="shared" si="112"/>
        <v>Error?</v>
      </c>
    </row>
    <row r="7252" spans="1:4" x14ac:dyDescent="0.2">
      <c r="A7252">
        <f t="shared" si="113"/>
        <v>7191</v>
      </c>
      <c r="B7252" s="1831">
        <f>'Expenditures 15-22'!D9</f>
        <v>75543</v>
      </c>
      <c r="D7252" s="2" t="str">
        <f t="shared" si="112"/>
        <v>Error?</v>
      </c>
    </row>
    <row r="7253" spans="1:4" x14ac:dyDescent="0.2">
      <c r="A7253">
        <f t="shared" si="113"/>
        <v>7192</v>
      </c>
      <c r="B7253" s="1831">
        <f>'Expenditures 15-22'!E9</f>
        <v>350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16131</v>
      </c>
      <c r="D7624" s="2" t="str">
        <f t="shared" si="124"/>
        <v>Error?</v>
      </c>
      <c r="E7624" s="2" t="s">
        <v>19</v>
      </c>
    </row>
    <row r="7625" spans="1:5" x14ac:dyDescent="0.2">
      <c r="A7625">
        <f t="shared" si="123"/>
        <v>7564</v>
      </c>
      <c r="B7625" s="1831">
        <f>'Cap Outlay Deprec 26'!I17</f>
        <v>1613.1</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3454338.1</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1993</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1993</v>
      </c>
    </row>
    <row r="7641" spans="1:6" x14ac:dyDescent="0.2">
      <c r="A7641" s="126">
        <f t="shared" si="125"/>
        <v>7580</v>
      </c>
      <c r="B7641" s="1832"/>
      <c r="D7641" s="2" t="str">
        <f t="shared" si="124"/>
        <v>OK</v>
      </c>
      <c r="E7641" s="4" t="s">
        <v>1993</v>
      </c>
    </row>
    <row r="7642" spans="1:6" x14ac:dyDescent="0.2">
      <c r="A7642" s="126">
        <f t="shared" si="125"/>
        <v>7581</v>
      </c>
      <c r="B7642" s="1832"/>
      <c r="D7642" s="2" t="str">
        <f t="shared" si="124"/>
        <v>OK</v>
      </c>
      <c r="E7642" s="4" t="s">
        <v>1993</v>
      </c>
    </row>
    <row r="7643" spans="1:6" x14ac:dyDescent="0.2">
      <c r="A7643" s="126">
        <f t="shared" si="125"/>
        <v>7582</v>
      </c>
      <c r="B7643" s="1832"/>
      <c r="D7643" s="2" t="str">
        <f t="shared" si="124"/>
        <v>OK</v>
      </c>
      <c r="E7643" s="4" t="s">
        <v>1993</v>
      </c>
    </row>
    <row r="7644" spans="1:6" x14ac:dyDescent="0.2">
      <c r="A7644" s="126">
        <f t="shared" si="125"/>
        <v>7583</v>
      </c>
      <c r="B7644" s="1832"/>
      <c r="D7644" s="2" t="str">
        <f t="shared" si="124"/>
        <v>OK</v>
      </c>
      <c r="E7644" s="4" t="s">
        <v>1993</v>
      </c>
    </row>
    <row r="7645" spans="1:6" x14ac:dyDescent="0.2">
      <c r="A7645" s="126">
        <f t="shared" si="125"/>
        <v>7584</v>
      </c>
      <c r="B7645" s="1832"/>
      <c r="D7645" s="2" t="str">
        <f t="shared" si="124"/>
        <v>OK</v>
      </c>
      <c r="E7645" s="4" t="s">
        <v>1993</v>
      </c>
    </row>
    <row r="7646" spans="1:6" x14ac:dyDescent="0.2">
      <c r="A7646" s="126">
        <f t="shared" si="125"/>
        <v>7585</v>
      </c>
      <c r="B7646" s="1832"/>
      <c r="D7646" s="2" t="str">
        <f t="shared" si="124"/>
        <v>OK</v>
      </c>
      <c r="E7646" s="4" t="s">
        <v>1993</v>
      </c>
    </row>
    <row r="7647" spans="1:6" x14ac:dyDescent="0.2">
      <c r="A7647" s="126">
        <f t="shared" si="125"/>
        <v>7586</v>
      </c>
      <c r="B7647" s="1832"/>
      <c r="D7647" s="2" t="str">
        <f t="shared" si="124"/>
        <v>OK</v>
      </c>
      <c r="E7647" s="4" t="s">
        <v>1993</v>
      </c>
    </row>
    <row r="7648" spans="1:6" x14ac:dyDescent="0.2">
      <c r="A7648" s="126">
        <f t="shared" si="125"/>
        <v>7587</v>
      </c>
      <c r="B7648" s="1832"/>
      <c r="D7648" s="2" t="str">
        <f t="shared" si="124"/>
        <v>OK</v>
      </c>
      <c r="E7648" s="4" t="s">
        <v>1993</v>
      </c>
    </row>
    <row r="7649" spans="1:5" x14ac:dyDescent="0.2">
      <c r="A7649" s="126">
        <f t="shared" si="125"/>
        <v>7588</v>
      </c>
      <c r="B7649" s="1832"/>
      <c r="D7649" s="2" t="str">
        <f t="shared" si="124"/>
        <v>OK</v>
      </c>
      <c r="E7649" s="4" t="s">
        <v>1993</v>
      </c>
    </row>
    <row r="7650" spans="1:5" x14ac:dyDescent="0.2">
      <c r="A7650" s="126">
        <f t="shared" si="125"/>
        <v>7589</v>
      </c>
      <c r="B7650" s="1832"/>
      <c r="D7650" s="2" t="str">
        <f t="shared" si="124"/>
        <v>OK</v>
      </c>
      <c r="E7650" s="4" t="s">
        <v>1993</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1655000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4525000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32700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32700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7697</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7697</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2764081</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50362</v>
      </c>
      <c r="D7759" s="2" t="str">
        <f t="shared" si="127"/>
        <v>Error?</v>
      </c>
      <c r="E7759" s="4" t="s">
        <v>1322</v>
      </c>
    </row>
    <row r="7760" spans="1:6" x14ac:dyDescent="0.2">
      <c r="A7760">
        <v>7699</v>
      </c>
      <c r="B7760" s="1831">
        <f>'Aud Quest 2'!J90</f>
        <v>50362</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1995</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1824</v>
      </c>
    </row>
    <row r="7775" spans="1:5" x14ac:dyDescent="0.2">
      <c r="A7775">
        <v>7714</v>
      </c>
      <c r="B7775" s="1831">
        <f>'Expenditures 15-22'!H133</f>
        <v>0</v>
      </c>
      <c r="D7775" s="2" t="str">
        <f t="shared" si="127"/>
        <v>Error?</v>
      </c>
      <c r="E7775" s="4" t="s">
        <v>1824</v>
      </c>
    </row>
    <row r="7776" spans="1:5" x14ac:dyDescent="0.2">
      <c r="A7776">
        <v>7715</v>
      </c>
      <c r="B7776" s="1831">
        <f>'Expenditures 15-22'!K133</f>
        <v>0</v>
      </c>
      <c r="D7776" s="2" t="str">
        <f t="shared" si="127"/>
        <v>Error?</v>
      </c>
      <c r="E7776" s="4" t="s">
        <v>1824</v>
      </c>
    </row>
    <row r="7777" spans="1:5" x14ac:dyDescent="0.2">
      <c r="A7777">
        <v>7716</v>
      </c>
      <c r="B7777" s="1831">
        <f>'Expenditures 15-22'!H157</f>
        <v>0</v>
      </c>
      <c r="D7777" s="2" t="str">
        <f t="shared" si="127"/>
        <v>Error?</v>
      </c>
      <c r="E7777" s="4" t="s">
        <v>1824</v>
      </c>
    </row>
    <row r="7778" spans="1:5" x14ac:dyDescent="0.2">
      <c r="A7778">
        <v>7717</v>
      </c>
      <c r="B7778" s="1831">
        <f>'Expenditures 15-22'!K157</f>
        <v>0</v>
      </c>
      <c r="D7778" s="2" t="str">
        <f t="shared" si="127"/>
        <v>Error?</v>
      </c>
      <c r="E7778" s="4" t="s">
        <v>1824</v>
      </c>
    </row>
    <row r="7779" spans="1:5" x14ac:dyDescent="0.2">
      <c r="A7779">
        <v>7718</v>
      </c>
      <c r="B7779" s="1831">
        <f>'Expenditures 15-22'!H158</f>
        <v>0</v>
      </c>
      <c r="D7779" s="2" t="str">
        <f t="shared" si="127"/>
        <v>Error?</v>
      </c>
      <c r="E7779" s="4" t="s">
        <v>1824</v>
      </c>
    </row>
    <row r="7780" spans="1:5" x14ac:dyDescent="0.2">
      <c r="A7780">
        <v>7719</v>
      </c>
      <c r="B7780" s="1831">
        <f>'Expenditures 15-22'!K158</f>
        <v>0</v>
      </c>
      <c r="D7780" s="2" t="str">
        <f t="shared" si="127"/>
        <v>Error?</v>
      </c>
      <c r="E7780" s="4" t="s">
        <v>1824</v>
      </c>
    </row>
    <row r="7781" spans="1:5" x14ac:dyDescent="0.2">
      <c r="A7781">
        <v>7720</v>
      </c>
      <c r="B7781" s="1831">
        <f>'Expenditures 15-22'!H159</f>
        <v>0</v>
      </c>
      <c r="D7781" s="2" t="str">
        <f t="shared" si="127"/>
        <v>Error?</v>
      </c>
      <c r="E7781" s="4" t="s">
        <v>1824</v>
      </c>
    </row>
    <row r="7782" spans="1:5" x14ac:dyDescent="0.2">
      <c r="A7782">
        <v>7721</v>
      </c>
      <c r="B7782" s="1831">
        <f>'Expenditures 15-22'!K159</f>
        <v>0</v>
      </c>
      <c r="D7782" s="2" t="str">
        <f t="shared" si="127"/>
        <v>Error?</v>
      </c>
      <c r="E7782" s="4" t="s">
        <v>1824</v>
      </c>
    </row>
    <row r="7783" spans="1:5" x14ac:dyDescent="0.2">
      <c r="A7783">
        <v>7722</v>
      </c>
      <c r="B7783" s="1831">
        <f>'Expenditures 15-22'!D282</f>
        <v>0</v>
      </c>
      <c r="D7783" s="2" t="str">
        <f t="shared" si="127"/>
        <v>Error?</v>
      </c>
      <c r="E7783" s="4" t="s">
        <v>1824</v>
      </c>
    </row>
    <row r="7784" spans="1:5" x14ac:dyDescent="0.2">
      <c r="A7784">
        <v>7723</v>
      </c>
      <c r="B7784" s="1831">
        <f>'Expenditures 15-22'!K282</f>
        <v>0</v>
      </c>
      <c r="D7784" s="2" t="str">
        <f t="shared" si="127"/>
        <v>Error?</v>
      </c>
      <c r="E7784" s="4" t="s">
        <v>1824</v>
      </c>
    </row>
    <row r="7785" spans="1:5" x14ac:dyDescent="0.2">
      <c r="A7785">
        <v>7724</v>
      </c>
      <c r="B7785" s="1831">
        <f>'Expenditures 15-22'!H332</f>
        <v>0</v>
      </c>
      <c r="D7785" s="2" t="str">
        <f t="shared" si="127"/>
        <v>Error?</v>
      </c>
      <c r="E7785" s="4" t="s">
        <v>1824</v>
      </c>
    </row>
    <row r="7786" spans="1:5" x14ac:dyDescent="0.2">
      <c r="A7786">
        <v>7725</v>
      </c>
      <c r="B7786" s="1831">
        <f>'Expenditures 15-22'!K332</f>
        <v>0</v>
      </c>
      <c r="D7786" s="2" t="str">
        <f t="shared" si="127"/>
        <v>Error?</v>
      </c>
      <c r="E7786" s="4" t="s">
        <v>1824</v>
      </c>
    </row>
    <row r="7787" spans="1:5" x14ac:dyDescent="0.2">
      <c r="A7787">
        <v>7726</v>
      </c>
      <c r="B7787" s="1831">
        <f>'Expenditures 15-22'!H333</f>
        <v>0</v>
      </c>
      <c r="D7787" s="2" t="str">
        <f t="shared" si="127"/>
        <v>Error?</v>
      </c>
      <c r="E7787" s="4" t="s">
        <v>1824</v>
      </c>
    </row>
    <row r="7788" spans="1:5" x14ac:dyDescent="0.2">
      <c r="A7788">
        <v>7727</v>
      </c>
      <c r="B7788" s="1831">
        <f>'Expenditures 15-22'!K333</f>
        <v>0</v>
      </c>
      <c r="D7788" s="2" t="str">
        <f t="shared" si="127"/>
        <v>Error?</v>
      </c>
      <c r="E7788" s="4" t="s">
        <v>1824</v>
      </c>
    </row>
    <row r="7789" spans="1:5" x14ac:dyDescent="0.2">
      <c r="A7789">
        <v>7728</v>
      </c>
      <c r="B7789" s="1831">
        <f>'Expenditures 15-22'!H334</f>
        <v>0</v>
      </c>
      <c r="D7789" s="2" t="str">
        <f t="shared" si="127"/>
        <v>Error?</v>
      </c>
      <c r="E7789" s="4" t="s">
        <v>1824</v>
      </c>
    </row>
    <row r="7790" spans="1:5" x14ac:dyDescent="0.2">
      <c r="A7790">
        <v>7729</v>
      </c>
      <c r="B7790" s="1831">
        <f>'Expenditures 15-22'!K334</f>
        <v>0</v>
      </c>
      <c r="D7790" s="2" t="str">
        <f t="shared" si="127"/>
        <v>Error?</v>
      </c>
      <c r="E7790" s="4" t="s">
        <v>1824</v>
      </c>
    </row>
    <row r="7791" spans="1:5" x14ac:dyDescent="0.2">
      <c r="A7791">
        <v>7730</v>
      </c>
      <c r="B7791" s="1831">
        <f>'Expenditures 15-22'!H354</f>
        <v>0</v>
      </c>
      <c r="D7791" s="2" t="str">
        <f t="shared" si="127"/>
        <v>Error?</v>
      </c>
      <c r="E7791" s="4" t="s">
        <v>1824</v>
      </c>
    </row>
    <row r="7792" spans="1:5" x14ac:dyDescent="0.2">
      <c r="A7792">
        <v>7731</v>
      </c>
      <c r="B7792" s="1831">
        <f>'Expenditures 15-22'!K354</f>
        <v>0</v>
      </c>
      <c r="D7792" s="2" t="str">
        <f t="shared" si="127"/>
        <v>Error?</v>
      </c>
      <c r="E7792" s="4" t="s">
        <v>1824</v>
      </c>
    </row>
    <row r="7793" spans="1:5" x14ac:dyDescent="0.2">
      <c r="A7793">
        <v>7732</v>
      </c>
      <c r="B7793" s="1831">
        <f>'Expenditures 15-22'!H355</f>
        <v>0</v>
      </c>
      <c r="D7793" s="2" t="str">
        <f t="shared" si="127"/>
        <v>Error?</v>
      </c>
      <c r="E7793" s="4" t="s">
        <v>1824</v>
      </c>
    </row>
    <row r="7794" spans="1:5" x14ac:dyDescent="0.2">
      <c r="A7794">
        <v>7733</v>
      </c>
      <c r="B7794" s="1831">
        <f>'Expenditures 15-22'!K355</f>
        <v>0</v>
      </c>
      <c r="D7794" s="2" t="str">
        <f t="shared" si="127"/>
        <v>Error?</v>
      </c>
      <c r="E7794" s="4" t="s">
        <v>1824</v>
      </c>
    </row>
    <row r="7795" spans="1:5" x14ac:dyDescent="0.2">
      <c r="A7795">
        <v>7734</v>
      </c>
      <c r="B7795" s="1831">
        <f>'Expenditures 15-22'!E138</f>
        <v>0</v>
      </c>
      <c r="D7795" s="2" t="str">
        <f t="shared" si="127"/>
        <v>Error?</v>
      </c>
      <c r="E7795" s="4" t="s">
        <v>1824</v>
      </c>
    </row>
    <row r="7796" spans="1:5" x14ac:dyDescent="0.2">
      <c r="A7796">
        <v>7735</v>
      </c>
      <c r="B7796" s="1831">
        <f>'Acct Summary 7-8'!J15</f>
        <v>0</v>
      </c>
      <c r="D7796" s="2" t="str">
        <f t="shared" si="127"/>
        <v>Error?</v>
      </c>
      <c r="E7796" s="4" t="s">
        <v>1824</v>
      </c>
    </row>
    <row r="7797" spans="1:5" x14ac:dyDescent="0.2">
      <c r="A7797" s="126">
        <v>7736</v>
      </c>
      <c r="B7797" s="1831"/>
      <c r="D7797" s="2" t="str">
        <f t="shared" si="127"/>
        <v>OK</v>
      </c>
      <c r="E7797" s="4" t="s">
        <v>1977</v>
      </c>
    </row>
    <row r="7798" spans="1:5" x14ac:dyDescent="0.2">
      <c r="A7798" s="126">
        <v>7737</v>
      </c>
      <c r="B7798" s="1831"/>
      <c r="D7798" s="2" t="str">
        <f t="shared" si="127"/>
        <v>OK</v>
      </c>
      <c r="E7798" s="4" t="s">
        <v>1977</v>
      </c>
    </row>
    <row r="7799" spans="1:5" x14ac:dyDescent="0.2">
      <c r="A7799" s="126">
        <v>7738</v>
      </c>
      <c r="B7799" s="1831"/>
      <c r="D7799" s="2" t="str">
        <f t="shared" si="127"/>
        <v>OK</v>
      </c>
      <c r="E7799" s="4" t="s">
        <v>1977</v>
      </c>
    </row>
    <row r="7800" spans="1:5" x14ac:dyDescent="0.2">
      <c r="A7800">
        <v>7739</v>
      </c>
      <c r="B7800" s="1831">
        <f>'Rest Tax Levies-Tort Im 25'!K23</f>
        <v>0</v>
      </c>
      <c r="D7800" s="2" t="str">
        <f t="shared" si="127"/>
        <v>Error?</v>
      </c>
      <c r="E7800" s="4" t="s">
        <v>1964</v>
      </c>
    </row>
    <row r="7801" spans="1:5" x14ac:dyDescent="0.2">
      <c r="A7801">
        <v>7740</v>
      </c>
      <c r="B7801" s="1831">
        <f>'Revenues 9-14'!C120</f>
        <v>0</v>
      </c>
      <c r="D7801" s="2" t="str">
        <f t="shared" si="127"/>
        <v>Error?</v>
      </c>
      <c r="E7801" s="4" t="s">
        <v>1898</v>
      </c>
    </row>
    <row r="7802" spans="1:5" x14ac:dyDescent="0.2">
      <c r="A7802">
        <v>7741</v>
      </c>
      <c r="B7802" s="1831">
        <f>'Revenues 9-14'!D120</f>
        <v>0</v>
      </c>
      <c r="D7802" s="2" t="str">
        <f t="shared" si="127"/>
        <v>Error?</v>
      </c>
      <c r="E7802" s="4" t="s">
        <v>1898</v>
      </c>
    </row>
    <row r="7803" spans="1:5" x14ac:dyDescent="0.2">
      <c r="A7803">
        <v>7742</v>
      </c>
      <c r="B7803" s="1831">
        <f>'Revenues 9-14'!E120</f>
        <v>0</v>
      </c>
      <c r="D7803" s="2" t="str">
        <f t="shared" si="127"/>
        <v>Error?</v>
      </c>
      <c r="E7803" s="4" t="s">
        <v>1898</v>
      </c>
    </row>
    <row r="7804" spans="1:5" x14ac:dyDescent="0.2">
      <c r="A7804">
        <v>7743</v>
      </c>
      <c r="B7804" s="1831">
        <f>'Revenues 9-14'!F120</f>
        <v>0</v>
      </c>
      <c r="D7804" s="2" t="str">
        <f t="shared" si="127"/>
        <v>Error?</v>
      </c>
      <c r="E7804" s="4" t="s">
        <v>1898</v>
      </c>
    </row>
    <row r="7805" spans="1:5" x14ac:dyDescent="0.2">
      <c r="A7805">
        <v>7744</v>
      </c>
      <c r="B7805" s="1831">
        <f>'Revenues 9-14'!G120</f>
        <v>0</v>
      </c>
      <c r="D7805" s="2" t="str">
        <f t="shared" si="127"/>
        <v>Error?</v>
      </c>
      <c r="E7805" s="4" t="s">
        <v>1898</v>
      </c>
    </row>
    <row r="7806" spans="1:5" x14ac:dyDescent="0.2">
      <c r="A7806">
        <v>7745</v>
      </c>
      <c r="B7806" s="1831">
        <f>'Revenues 9-14'!H120</f>
        <v>0</v>
      </c>
      <c r="D7806" s="2" t="str">
        <f t="shared" si="127"/>
        <v>Error?</v>
      </c>
      <c r="E7806" s="4" t="s">
        <v>1898</v>
      </c>
    </row>
    <row r="7807" spans="1:5" x14ac:dyDescent="0.2">
      <c r="A7807">
        <v>7746</v>
      </c>
      <c r="B7807" s="1831">
        <f>'Revenues 9-14'!J120</f>
        <v>0</v>
      </c>
      <c r="D7807" s="2" t="str">
        <f t="shared" ref="D7807:D7821" si="128">IF(ISBLANK(B7807),"OK",IF(A7807-B7807=0,"OK","Error?"))</f>
        <v>Error?</v>
      </c>
      <c r="E7807" s="4" t="s">
        <v>1898</v>
      </c>
    </row>
    <row r="7808" spans="1:5" x14ac:dyDescent="0.2">
      <c r="A7808">
        <v>7747</v>
      </c>
      <c r="B7808" s="1831">
        <f>'Revenues 9-14'!K120</f>
        <v>0</v>
      </c>
      <c r="D7808" s="2" t="str">
        <f t="shared" si="128"/>
        <v>Error?</v>
      </c>
      <c r="E7808" s="4" t="s">
        <v>1898</v>
      </c>
    </row>
    <row r="7809" spans="1:5" x14ac:dyDescent="0.2">
      <c r="A7809">
        <v>7748</v>
      </c>
      <c r="B7809" s="1831">
        <f>'Revenues 9-14'!C261</f>
        <v>0</v>
      </c>
      <c r="D7809" s="2" t="str">
        <f t="shared" si="128"/>
        <v>Error?</v>
      </c>
      <c r="E7809" s="4" t="s">
        <v>1899</v>
      </c>
    </row>
    <row r="7810" spans="1:5" x14ac:dyDescent="0.2">
      <c r="A7810">
        <v>7749</v>
      </c>
      <c r="B7810" s="1831">
        <f>'Revenues 9-14'!D261</f>
        <v>0</v>
      </c>
      <c r="D7810" s="2" t="str">
        <f t="shared" si="128"/>
        <v>Error?</v>
      </c>
      <c r="E7810" s="4" t="s">
        <v>1899</v>
      </c>
    </row>
    <row r="7811" spans="1:5" x14ac:dyDescent="0.2">
      <c r="A7811">
        <v>7750</v>
      </c>
      <c r="B7811" s="1831">
        <f>'Revenues 9-14'!F261</f>
        <v>0</v>
      </c>
      <c r="D7811" s="2" t="str">
        <f t="shared" si="128"/>
        <v>Error?</v>
      </c>
      <c r="E7811" s="4" t="s">
        <v>1899</v>
      </c>
    </row>
    <row r="7812" spans="1:5" x14ac:dyDescent="0.2">
      <c r="A7812">
        <v>7751</v>
      </c>
      <c r="B7812" s="1831">
        <f>'Revenues 9-14'!G261</f>
        <v>0</v>
      </c>
      <c r="D7812" s="2" t="str">
        <f t="shared" si="128"/>
        <v>Error?</v>
      </c>
      <c r="E7812" s="4" t="s">
        <v>1899</v>
      </c>
    </row>
    <row r="7813" spans="1:5" x14ac:dyDescent="0.2">
      <c r="A7813">
        <v>7752</v>
      </c>
      <c r="B7813" s="1831">
        <f>'Revenues 9-14'!C262</f>
        <v>0</v>
      </c>
      <c r="D7813" s="2" t="str">
        <f t="shared" si="128"/>
        <v>Error?</v>
      </c>
      <c r="E7813" s="4" t="s">
        <v>1900</v>
      </c>
    </row>
    <row r="7814" spans="1:5" x14ac:dyDescent="0.2">
      <c r="A7814">
        <v>7753</v>
      </c>
      <c r="B7814" s="1831">
        <f>'Revenues 9-14'!D262</f>
        <v>0</v>
      </c>
      <c r="D7814" s="2" t="str">
        <f t="shared" si="128"/>
        <v>Error?</v>
      </c>
      <c r="E7814" s="4" t="s">
        <v>1900</v>
      </c>
    </row>
    <row r="7815" spans="1:5" x14ac:dyDescent="0.2">
      <c r="A7815">
        <v>7754</v>
      </c>
      <c r="B7815" s="1831">
        <f>'Revenues 9-14'!F262</f>
        <v>0</v>
      </c>
      <c r="D7815" s="2" t="str">
        <f t="shared" si="128"/>
        <v>Error?</v>
      </c>
      <c r="E7815" s="4" t="s">
        <v>1900</v>
      </c>
    </row>
    <row r="7816" spans="1:5" x14ac:dyDescent="0.2">
      <c r="A7816">
        <v>7755</v>
      </c>
      <c r="B7816" s="1831">
        <f>'Revenues 9-14'!G262</f>
        <v>0</v>
      </c>
      <c r="D7816" s="2" t="str">
        <f t="shared" si="128"/>
        <v>Error?</v>
      </c>
      <c r="E7816" s="4" t="s">
        <v>1900</v>
      </c>
    </row>
    <row r="7817" spans="1:5" x14ac:dyDescent="0.2">
      <c r="A7817">
        <v>7756</v>
      </c>
      <c r="B7817" s="1831">
        <f>'Short-Term Long-Term Debt 24'!C49</f>
        <v>57600000</v>
      </c>
      <c r="D7817" s="2" t="str">
        <f t="shared" si="128"/>
        <v>Error?</v>
      </c>
      <c r="E7817" s="4" t="s">
        <v>1964</v>
      </c>
    </row>
    <row r="7818" spans="1:5" x14ac:dyDescent="0.2">
      <c r="A7818">
        <v>7757</v>
      </c>
      <c r="B7818" s="1831">
        <f>'PCTC-OEPP 27-28'!F172</f>
        <v>1039847</v>
      </c>
      <c r="D7818" s="2" t="str">
        <f t="shared" si="128"/>
        <v>Error?</v>
      </c>
      <c r="E7818" s="4" t="s">
        <v>1978</v>
      </c>
    </row>
    <row r="7819" spans="1:5" x14ac:dyDescent="0.2">
      <c r="A7819">
        <v>7758</v>
      </c>
      <c r="B7819" s="1831">
        <f>'PCTC-OEPP 27-28'!F173</f>
        <v>334415</v>
      </c>
      <c r="D7819" s="2" t="str">
        <f t="shared" si="128"/>
        <v>Error?</v>
      </c>
      <c r="E7819" s="4" t="s">
        <v>1978</v>
      </c>
    </row>
    <row r="7820" spans="1:5" x14ac:dyDescent="0.2">
      <c r="A7820">
        <v>7759</v>
      </c>
      <c r="B7820" s="1831">
        <f>'ICR Computation 30'!E40</f>
        <v>-2379879</v>
      </c>
      <c r="D7820" s="2" t="str">
        <f t="shared" si="128"/>
        <v>Error?</v>
      </c>
    </row>
    <row r="7821" spans="1:5" x14ac:dyDescent="0.2">
      <c r="A7821">
        <v>7760</v>
      </c>
      <c r="B7821" s="1831">
        <f>'ICR Computation 30'!G40</f>
        <v>-2379879</v>
      </c>
      <c r="D7821" s="2" t="str">
        <f t="shared" si="128"/>
        <v>Error?</v>
      </c>
    </row>
    <row r="7822" spans="1:5" x14ac:dyDescent="0.2">
      <c r="A7822" s="1">
        <v>7761</v>
      </c>
      <c r="B7822" s="1831">
        <f>'PCTC-OEPP 27-28'!F14</f>
        <v>50909683</v>
      </c>
      <c r="D7822" s="4" t="s">
        <v>1995</v>
      </c>
      <c r="E7822" s="4" t="s">
        <v>1996</v>
      </c>
    </row>
    <row r="7823" spans="1:5" x14ac:dyDescent="0.2">
      <c r="A7823" s="1">
        <v>7762</v>
      </c>
      <c r="B7823" s="1831">
        <f>'PCTC-OEPP 27-28'!F30</f>
        <v>0</v>
      </c>
      <c r="D7823" s="4" t="s">
        <v>1995</v>
      </c>
      <c r="E7823" s="4" t="s">
        <v>1996</v>
      </c>
    </row>
    <row r="7824" spans="1:5" x14ac:dyDescent="0.2">
      <c r="A7824" s="1">
        <v>7763</v>
      </c>
      <c r="B7824" s="1831">
        <f>'PCTC-OEPP 27-28'!F31</f>
        <v>0</v>
      </c>
      <c r="D7824" s="4" t="s">
        <v>1995</v>
      </c>
      <c r="E7824" s="4" t="s">
        <v>1996</v>
      </c>
    </row>
    <row r="7825" spans="1:5" x14ac:dyDescent="0.2">
      <c r="A7825" s="1">
        <v>7764</v>
      </c>
      <c r="B7825" s="1831">
        <f>'PCTC-OEPP 27-28'!F32</f>
        <v>0</v>
      </c>
      <c r="D7825" s="2" t="str">
        <f t="shared" ref="D7825:D7887" si="129">IF(ISBLANK(B7825),"OK",IF(A7825-B7825=0,"OK","Error?"))</f>
        <v>Error?</v>
      </c>
      <c r="E7825" s="4" t="s">
        <v>1996</v>
      </c>
    </row>
    <row r="7826" spans="1:5" x14ac:dyDescent="0.2">
      <c r="A7826">
        <v>7765</v>
      </c>
      <c r="B7826" s="1831">
        <f>'PCTC-OEPP 27-28'!F34</f>
        <v>654494</v>
      </c>
      <c r="D7826" s="2" t="str">
        <f t="shared" si="129"/>
        <v>Error?</v>
      </c>
      <c r="E7826" s="4" t="s">
        <v>1996</v>
      </c>
    </row>
    <row r="7827" spans="1:5" x14ac:dyDescent="0.2">
      <c r="A7827">
        <v>7766</v>
      </c>
      <c r="B7827" s="1831">
        <f>'PCTC-OEPP 27-28'!F35</f>
        <v>335273</v>
      </c>
      <c r="D7827" s="2" t="str">
        <f t="shared" si="129"/>
        <v>Error?</v>
      </c>
      <c r="E7827" s="4" t="s">
        <v>1996</v>
      </c>
    </row>
    <row r="7828" spans="1:5" x14ac:dyDescent="0.2">
      <c r="A7828">
        <v>7767</v>
      </c>
      <c r="B7828" s="1831">
        <f>'PCTC-OEPP 27-28'!F36</f>
        <v>0</v>
      </c>
      <c r="D7828" s="2" t="str">
        <f t="shared" si="129"/>
        <v>Error?</v>
      </c>
      <c r="E7828" s="4" t="s">
        <v>1996</v>
      </c>
    </row>
    <row r="7829" spans="1:5" x14ac:dyDescent="0.2">
      <c r="A7829">
        <v>7768</v>
      </c>
      <c r="B7829" s="1831">
        <f>'PCTC-OEPP 27-28'!F37</f>
        <v>0</v>
      </c>
      <c r="D7829" s="2" t="str">
        <f t="shared" si="129"/>
        <v>Error?</v>
      </c>
      <c r="E7829" s="4" t="s">
        <v>1996</v>
      </c>
    </row>
    <row r="7830" spans="1:5" x14ac:dyDescent="0.2">
      <c r="A7830">
        <v>7769</v>
      </c>
      <c r="B7830" s="1831">
        <f>'PCTC-OEPP 27-28'!F38</f>
        <v>0</v>
      </c>
      <c r="D7830" s="2" t="str">
        <f t="shared" si="129"/>
        <v>Error?</v>
      </c>
      <c r="E7830" s="4" t="s">
        <v>1996</v>
      </c>
    </row>
    <row r="7831" spans="1:5" x14ac:dyDescent="0.2">
      <c r="A7831">
        <v>7770</v>
      </c>
      <c r="B7831" s="1831">
        <f>'PCTC-OEPP 27-28'!F52</f>
        <v>23719</v>
      </c>
      <c r="D7831" s="2" t="str">
        <f t="shared" si="129"/>
        <v>Error?</v>
      </c>
      <c r="E7831" s="4" t="s">
        <v>1996</v>
      </c>
    </row>
    <row r="7832" spans="1:5" x14ac:dyDescent="0.2">
      <c r="A7832">
        <v>7771</v>
      </c>
      <c r="B7832" s="1831">
        <f>'PCTC-OEPP 27-28'!F56</f>
        <v>0</v>
      </c>
      <c r="D7832" s="2" t="str">
        <f t="shared" si="129"/>
        <v>Error?</v>
      </c>
      <c r="E7832" s="4" t="s">
        <v>1996</v>
      </c>
    </row>
    <row r="7833" spans="1:5" x14ac:dyDescent="0.2">
      <c r="A7833">
        <v>7772</v>
      </c>
      <c r="B7833" s="1831">
        <f>'PCTC-OEPP 27-28'!F62</f>
        <v>0</v>
      </c>
      <c r="D7833" s="2" t="str">
        <f t="shared" si="129"/>
        <v>Error?</v>
      </c>
      <c r="E7833" s="4" t="s">
        <v>1996</v>
      </c>
    </row>
    <row r="7834" spans="1:5" x14ac:dyDescent="0.2">
      <c r="A7834">
        <v>7773</v>
      </c>
      <c r="B7834" s="1831">
        <f>'PCTC-OEPP 27-28'!F77</f>
        <v>9542330</v>
      </c>
      <c r="D7834" s="2" t="str">
        <f t="shared" si="129"/>
        <v>Error?</v>
      </c>
      <c r="E7834" s="4" t="s">
        <v>1996</v>
      </c>
    </row>
    <row r="7835" spans="1:5" x14ac:dyDescent="0.2">
      <c r="A7835">
        <v>7774</v>
      </c>
      <c r="B7835" s="1831">
        <f>'PCTC-OEPP 27-28'!F78</f>
        <v>41367353</v>
      </c>
      <c r="D7835" s="2" t="str">
        <f t="shared" si="129"/>
        <v>Error?</v>
      </c>
      <c r="E7835" s="4" t="s">
        <v>1996</v>
      </c>
    </row>
    <row r="7836" spans="1:5" x14ac:dyDescent="0.2">
      <c r="A7836" s="126">
        <v>7775</v>
      </c>
      <c r="B7836" s="1831"/>
      <c r="D7836" s="2" t="str">
        <f t="shared" si="129"/>
        <v>OK</v>
      </c>
      <c r="E7836" s="4" t="s">
        <v>1998</v>
      </c>
    </row>
    <row r="7837" spans="1:5" x14ac:dyDescent="0.2">
      <c r="A7837">
        <v>7776</v>
      </c>
      <c r="B7837" s="1831">
        <f>'PCTC-OEPP 27-28'!F80</f>
        <v>16507.98236162656</v>
      </c>
      <c r="D7837" s="2" t="str">
        <f t="shared" si="129"/>
        <v>Error?</v>
      </c>
      <c r="E7837" s="4" t="s">
        <v>1996</v>
      </c>
    </row>
    <row r="7838" spans="1:5" x14ac:dyDescent="0.2">
      <c r="A7838">
        <v>7777</v>
      </c>
      <c r="B7838" s="1831">
        <f>'PCTC-OEPP 27-28'!F96</f>
        <v>127733</v>
      </c>
      <c r="D7838" s="2" t="str">
        <f t="shared" si="129"/>
        <v>Error?</v>
      </c>
      <c r="E7838" s="4" t="s">
        <v>1996</v>
      </c>
    </row>
    <row r="7839" spans="1:5" x14ac:dyDescent="0.2">
      <c r="A7839">
        <v>7778</v>
      </c>
      <c r="B7839" s="1831">
        <f>'PCTC-OEPP 27-28'!F102</f>
        <v>42312</v>
      </c>
      <c r="D7839" s="2" t="str">
        <f t="shared" si="129"/>
        <v>Error?</v>
      </c>
      <c r="E7839" s="4" t="s">
        <v>1996</v>
      </c>
    </row>
    <row r="7840" spans="1:5" x14ac:dyDescent="0.2">
      <c r="A7840">
        <v>7779</v>
      </c>
      <c r="B7840" s="1831">
        <f>'PCTC-OEPP 27-28'!F103</f>
        <v>329105</v>
      </c>
      <c r="D7840" s="2" t="str">
        <f t="shared" si="129"/>
        <v>Error?</v>
      </c>
      <c r="E7840" s="4" t="s">
        <v>1996</v>
      </c>
    </row>
    <row r="7841" spans="1:5" x14ac:dyDescent="0.2">
      <c r="A7841">
        <v>7780</v>
      </c>
      <c r="B7841" s="1831">
        <f>'PCTC-OEPP 27-28'!F104</f>
        <v>62807</v>
      </c>
      <c r="D7841" s="2" t="str">
        <f t="shared" si="129"/>
        <v>Error?</v>
      </c>
      <c r="E7841" s="4" t="s">
        <v>1996</v>
      </c>
    </row>
    <row r="7842" spans="1:5" x14ac:dyDescent="0.2">
      <c r="A7842">
        <v>7781</v>
      </c>
      <c r="B7842" s="1831">
        <f>'PCTC-OEPP 27-28'!F106</f>
        <v>271136</v>
      </c>
      <c r="D7842" s="2" t="str">
        <f t="shared" si="129"/>
        <v>Error?</v>
      </c>
      <c r="E7842" s="4" t="s">
        <v>1996</v>
      </c>
    </row>
    <row r="7843" spans="1:5" x14ac:dyDescent="0.2">
      <c r="A7843">
        <v>7782</v>
      </c>
      <c r="B7843" s="1831">
        <f>'PCTC-OEPP 27-28'!F107</f>
        <v>2503</v>
      </c>
      <c r="D7843" s="2" t="str">
        <f t="shared" si="129"/>
        <v>Error?</v>
      </c>
      <c r="E7843" s="4" t="s">
        <v>1996</v>
      </c>
    </row>
    <row r="7844" spans="1:5" x14ac:dyDescent="0.2">
      <c r="A7844">
        <v>7783</v>
      </c>
      <c r="B7844" s="1831">
        <f>'PCTC-OEPP 27-28'!F108</f>
        <v>0</v>
      </c>
      <c r="D7844" s="2" t="str">
        <f t="shared" si="129"/>
        <v>Error?</v>
      </c>
      <c r="E7844" s="4" t="s">
        <v>1996</v>
      </c>
    </row>
    <row r="7845" spans="1:5" x14ac:dyDescent="0.2">
      <c r="A7845">
        <v>7784</v>
      </c>
      <c r="B7845" s="1831">
        <f>'PCTC-OEPP 27-28'!F110</f>
        <v>0</v>
      </c>
      <c r="D7845" s="2" t="str">
        <f t="shared" si="129"/>
        <v>Error?</v>
      </c>
      <c r="E7845" s="4" t="s">
        <v>1996</v>
      </c>
    </row>
    <row r="7846" spans="1:5" x14ac:dyDescent="0.2">
      <c r="A7846">
        <v>7785</v>
      </c>
      <c r="B7846" s="1831">
        <f>'PCTC-OEPP 27-28'!F111</f>
        <v>0</v>
      </c>
      <c r="D7846" s="2" t="str">
        <f t="shared" si="129"/>
        <v>Error?</v>
      </c>
      <c r="E7846" s="4" t="s">
        <v>1996</v>
      </c>
    </row>
    <row r="7847" spans="1:5" x14ac:dyDescent="0.2">
      <c r="A7847">
        <v>7786</v>
      </c>
      <c r="B7847" s="1831">
        <f>'PCTC-OEPP 27-28'!F112</f>
        <v>1019363</v>
      </c>
      <c r="D7847" s="2" t="str">
        <f t="shared" si="129"/>
        <v>Error?</v>
      </c>
      <c r="E7847" s="4" t="s">
        <v>1996</v>
      </c>
    </row>
    <row r="7848" spans="1:5" x14ac:dyDescent="0.2">
      <c r="A7848">
        <v>7787</v>
      </c>
      <c r="B7848" s="1831">
        <f>'PCTC-OEPP 27-28'!F114</f>
        <v>0</v>
      </c>
      <c r="D7848" s="2" t="str">
        <f t="shared" si="129"/>
        <v>Error?</v>
      </c>
      <c r="E7848" s="4" t="s">
        <v>1996</v>
      </c>
    </row>
    <row r="7849" spans="1:5" x14ac:dyDescent="0.2">
      <c r="A7849">
        <v>7788</v>
      </c>
      <c r="B7849" s="1831">
        <f>'PCTC-OEPP 27-28'!F115</f>
        <v>0</v>
      </c>
      <c r="D7849" s="2" t="str">
        <f t="shared" si="129"/>
        <v>Error?</v>
      </c>
      <c r="E7849" s="4" t="s">
        <v>1996</v>
      </c>
    </row>
    <row r="7850" spans="1:5" x14ac:dyDescent="0.2">
      <c r="A7850">
        <v>7789</v>
      </c>
      <c r="B7850" s="1831">
        <f>'PCTC-OEPP 27-28'!F116</f>
        <v>0</v>
      </c>
      <c r="D7850" s="2" t="str">
        <f t="shared" si="129"/>
        <v>Error?</v>
      </c>
      <c r="E7850" s="4" t="s">
        <v>1996</v>
      </c>
    </row>
    <row r="7851" spans="1:5" x14ac:dyDescent="0.2">
      <c r="A7851">
        <v>7790</v>
      </c>
      <c r="B7851" s="1831">
        <f>'PCTC-OEPP 27-28'!F117</f>
        <v>0</v>
      </c>
      <c r="D7851" s="2" t="str">
        <f t="shared" si="129"/>
        <v>Error?</v>
      </c>
      <c r="E7851" s="4" t="s">
        <v>1996</v>
      </c>
    </row>
    <row r="7852" spans="1:5" x14ac:dyDescent="0.2">
      <c r="A7852">
        <v>7791</v>
      </c>
      <c r="B7852" s="1831">
        <f>'PCTC-OEPP 27-28'!F118</f>
        <v>0</v>
      </c>
      <c r="D7852" s="2" t="str">
        <f t="shared" si="129"/>
        <v>Error?</v>
      </c>
      <c r="E7852" s="4" t="s">
        <v>1996</v>
      </c>
    </row>
    <row r="7853" spans="1:5" x14ac:dyDescent="0.2">
      <c r="A7853">
        <v>7792</v>
      </c>
      <c r="B7853" s="1831">
        <f>'PCTC-OEPP 27-28'!F119</f>
        <v>0</v>
      </c>
      <c r="D7853" s="2" t="str">
        <f t="shared" si="129"/>
        <v>Error?</v>
      </c>
      <c r="E7853" s="4" t="s">
        <v>1996</v>
      </c>
    </row>
    <row r="7854" spans="1:5" x14ac:dyDescent="0.2">
      <c r="A7854">
        <v>7793</v>
      </c>
      <c r="B7854" s="1831">
        <f>'PCTC-OEPP 27-28'!F120</f>
        <v>0</v>
      </c>
      <c r="D7854" s="2" t="str">
        <f t="shared" si="129"/>
        <v>Error?</v>
      </c>
      <c r="E7854" s="4" t="s">
        <v>1996</v>
      </c>
    </row>
    <row r="7855" spans="1:5" x14ac:dyDescent="0.2">
      <c r="A7855">
        <v>7794</v>
      </c>
      <c r="B7855" s="1831">
        <f>'PCTC-OEPP 27-28'!F122</f>
        <v>0</v>
      </c>
      <c r="D7855" s="2" t="str">
        <f t="shared" si="129"/>
        <v>Error?</v>
      </c>
      <c r="E7855" s="4" t="s">
        <v>1996</v>
      </c>
    </row>
    <row r="7856" spans="1:5" x14ac:dyDescent="0.2">
      <c r="A7856">
        <v>7795</v>
      </c>
      <c r="B7856" s="1831">
        <f>'PCTC-OEPP 27-28'!F124</f>
        <v>0</v>
      </c>
      <c r="D7856" s="2" t="str">
        <f t="shared" si="129"/>
        <v>Error?</v>
      </c>
      <c r="E7856" s="4" t="s">
        <v>1996</v>
      </c>
    </row>
    <row r="7857" spans="1:5" x14ac:dyDescent="0.2">
      <c r="A7857">
        <v>7796</v>
      </c>
      <c r="B7857" s="1831">
        <f>'PCTC-OEPP 27-28'!F125</f>
        <v>0</v>
      </c>
      <c r="D7857" s="2" t="str">
        <f t="shared" si="129"/>
        <v>Error?</v>
      </c>
      <c r="E7857" s="4" t="s">
        <v>1996</v>
      </c>
    </row>
    <row r="7858" spans="1:5" x14ac:dyDescent="0.2">
      <c r="A7858">
        <v>7797</v>
      </c>
      <c r="B7858" s="1831">
        <f>'PCTC-OEPP 27-28'!F126</f>
        <v>1120378</v>
      </c>
      <c r="D7858" s="2" t="str">
        <f t="shared" si="129"/>
        <v>Error?</v>
      </c>
      <c r="E7858" s="4" t="s">
        <v>1996</v>
      </c>
    </row>
    <row r="7859" spans="1:5" x14ac:dyDescent="0.2">
      <c r="A7859">
        <v>7798</v>
      </c>
      <c r="B7859" s="1831">
        <f>'PCTC-OEPP 27-28'!F127</f>
        <v>640464</v>
      </c>
      <c r="D7859" s="2" t="str">
        <f t="shared" si="129"/>
        <v>Error?</v>
      </c>
      <c r="E7859" s="4" t="s">
        <v>1996</v>
      </c>
    </row>
    <row r="7860" spans="1:5" x14ac:dyDescent="0.2">
      <c r="A7860">
        <v>7799</v>
      </c>
      <c r="B7860" s="1831">
        <f>'PCTC-OEPP 27-28'!F128</f>
        <v>21875</v>
      </c>
      <c r="D7860" s="2" t="str">
        <f t="shared" si="129"/>
        <v>Error?</v>
      </c>
      <c r="E7860" s="4" t="s">
        <v>1996</v>
      </c>
    </row>
    <row r="7861" spans="1:5" x14ac:dyDescent="0.2">
      <c r="A7861">
        <v>7800</v>
      </c>
      <c r="B7861" s="1831">
        <f>'PCTC-OEPP 27-28'!F129</f>
        <v>407091</v>
      </c>
      <c r="D7861" s="2" t="str">
        <f t="shared" si="129"/>
        <v>Error?</v>
      </c>
      <c r="E7861" s="4" t="s">
        <v>1996</v>
      </c>
    </row>
    <row r="7862" spans="1:5" x14ac:dyDescent="0.2">
      <c r="A7862">
        <v>7801</v>
      </c>
      <c r="B7862" s="1831">
        <f>'PCTC-OEPP 27-28'!F130</f>
        <v>24982</v>
      </c>
      <c r="D7862" s="2" t="str">
        <f t="shared" si="129"/>
        <v>Error?</v>
      </c>
      <c r="E7862" s="4" t="s">
        <v>1996</v>
      </c>
    </row>
    <row r="7863" spans="1:5" x14ac:dyDescent="0.2">
      <c r="A7863">
        <v>7802</v>
      </c>
      <c r="B7863" s="1831">
        <f>'PCTC-OEPP 27-28'!F131</f>
        <v>0</v>
      </c>
      <c r="D7863" s="2" t="str">
        <f t="shared" si="129"/>
        <v>Error?</v>
      </c>
      <c r="E7863" s="4" t="s">
        <v>1996</v>
      </c>
    </row>
    <row r="7864" spans="1:5" x14ac:dyDescent="0.2">
      <c r="A7864">
        <v>7803</v>
      </c>
      <c r="B7864" s="1831">
        <f>'PCTC-OEPP 27-28'!F132</f>
        <v>0</v>
      </c>
      <c r="D7864" s="2" t="str">
        <f t="shared" si="129"/>
        <v>Error?</v>
      </c>
      <c r="E7864" s="4" t="s">
        <v>1996</v>
      </c>
    </row>
    <row r="7865" spans="1:5" x14ac:dyDescent="0.2">
      <c r="A7865">
        <v>7804</v>
      </c>
      <c r="B7865" s="1831">
        <f>'PCTC-OEPP 27-28'!F133</f>
        <v>0</v>
      </c>
      <c r="D7865" s="2" t="str">
        <f t="shared" si="129"/>
        <v>Error?</v>
      </c>
      <c r="E7865" s="4" t="s">
        <v>1996</v>
      </c>
    </row>
    <row r="7866" spans="1:5" x14ac:dyDescent="0.2">
      <c r="A7866">
        <v>7805</v>
      </c>
      <c r="B7866" s="1831">
        <f>'PCTC-OEPP 27-28'!F158</f>
        <v>0</v>
      </c>
      <c r="D7866" s="2" t="str">
        <f t="shared" si="129"/>
        <v>Error?</v>
      </c>
      <c r="E7866" s="4" t="s">
        <v>1996</v>
      </c>
    </row>
    <row r="7867" spans="1:5" x14ac:dyDescent="0.2">
      <c r="A7867">
        <v>7806</v>
      </c>
      <c r="B7867" s="1831">
        <f>'PCTC-OEPP 27-28'!F160</f>
        <v>0</v>
      </c>
      <c r="D7867" s="2" t="str">
        <f t="shared" si="129"/>
        <v>Error?</v>
      </c>
      <c r="E7867" s="4" t="s">
        <v>1996</v>
      </c>
    </row>
    <row r="7868" spans="1:5" x14ac:dyDescent="0.2">
      <c r="A7868">
        <v>7807</v>
      </c>
      <c r="B7868" s="1831">
        <f>'PCTC-OEPP 27-28'!F161</f>
        <v>0</v>
      </c>
      <c r="D7868" s="2" t="str">
        <f t="shared" si="129"/>
        <v>Error?</v>
      </c>
      <c r="E7868" s="4" t="s">
        <v>1996</v>
      </c>
    </row>
    <row r="7869" spans="1:5" x14ac:dyDescent="0.2">
      <c r="A7869">
        <v>7808</v>
      </c>
      <c r="B7869" s="1831">
        <f>'PCTC-OEPP 27-28'!F162</f>
        <v>87766</v>
      </c>
      <c r="D7869" s="2" t="str">
        <f t="shared" si="129"/>
        <v>Error?</v>
      </c>
      <c r="E7869" s="4" t="s">
        <v>1996</v>
      </c>
    </row>
    <row r="7870" spans="1:5" x14ac:dyDescent="0.2">
      <c r="A7870">
        <v>7809</v>
      </c>
      <c r="B7870" s="1831">
        <f>'PCTC-OEPP 27-28'!F163</f>
        <v>0</v>
      </c>
      <c r="D7870" s="2" t="str">
        <f t="shared" si="129"/>
        <v>Error?</v>
      </c>
      <c r="E7870" s="4" t="s">
        <v>1996</v>
      </c>
    </row>
    <row r="7871" spans="1:5" x14ac:dyDescent="0.2">
      <c r="A7871">
        <v>7810</v>
      </c>
      <c r="B7871" s="1831">
        <f>'PCTC-OEPP 27-28'!F164</f>
        <v>0</v>
      </c>
      <c r="D7871" s="2" t="str">
        <f t="shared" si="129"/>
        <v>Error?</v>
      </c>
      <c r="E7871" s="4" t="s">
        <v>1996</v>
      </c>
    </row>
    <row r="7872" spans="1:5" x14ac:dyDescent="0.2">
      <c r="A7872">
        <v>7811</v>
      </c>
      <c r="B7872" s="1831">
        <f>'PCTC-OEPP 27-28'!F165</f>
        <v>97729</v>
      </c>
      <c r="D7872" s="2" t="str">
        <f t="shared" si="129"/>
        <v>Error?</v>
      </c>
      <c r="E7872" s="4" t="s">
        <v>1996</v>
      </c>
    </row>
    <row r="7873" spans="1:5" x14ac:dyDescent="0.2">
      <c r="A7873">
        <v>7812</v>
      </c>
      <c r="B7873" s="1831">
        <f>'PCTC-OEPP 27-28'!F166</f>
        <v>0</v>
      </c>
      <c r="D7873" s="2" t="str">
        <f t="shared" si="129"/>
        <v>Error?</v>
      </c>
      <c r="E7873" s="4" t="s">
        <v>1996</v>
      </c>
    </row>
    <row r="7874" spans="1:5" x14ac:dyDescent="0.2">
      <c r="A7874">
        <v>7813</v>
      </c>
      <c r="B7874" s="1831">
        <f>'PCTC-OEPP 27-28'!F169</f>
        <v>64879</v>
      </c>
      <c r="D7874" s="2" t="str">
        <f t="shared" si="129"/>
        <v>Error?</v>
      </c>
      <c r="E7874" s="4" t="s">
        <v>1996</v>
      </c>
    </row>
    <row r="7875" spans="1:5" x14ac:dyDescent="0.2">
      <c r="A7875">
        <v>7814</v>
      </c>
      <c r="B7875" s="1831">
        <f>'PCTC-OEPP 27-28'!F170</f>
        <v>204022</v>
      </c>
      <c r="D7875" s="2" t="str">
        <f t="shared" si="129"/>
        <v>Error?</v>
      </c>
      <c r="E7875" s="4" t="s">
        <v>1996</v>
      </c>
    </row>
    <row r="7876" spans="1:5" x14ac:dyDescent="0.2">
      <c r="A7876">
        <v>7815</v>
      </c>
      <c r="B7876" s="1831">
        <f>'PCTC-OEPP 27-28'!F171</f>
        <v>0</v>
      </c>
      <c r="D7876" s="2" t="str">
        <f t="shared" si="129"/>
        <v>Error?</v>
      </c>
      <c r="E7876" s="4" t="s">
        <v>1996</v>
      </c>
    </row>
    <row r="7877" spans="1:5" x14ac:dyDescent="0.2">
      <c r="A7877">
        <v>7816</v>
      </c>
      <c r="B7877" s="1831">
        <f>'PCTC-OEPP 27-28'!F175</f>
        <v>5942554</v>
      </c>
      <c r="D7877" s="2" t="str">
        <f t="shared" si="129"/>
        <v>Error?</v>
      </c>
      <c r="E7877" s="4" t="s">
        <v>1996</v>
      </c>
    </row>
    <row r="7878" spans="1:5" x14ac:dyDescent="0.2">
      <c r="A7878">
        <v>7817</v>
      </c>
      <c r="B7878" s="1831">
        <f>'PCTC-OEPP 27-28'!F176</f>
        <v>35424799</v>
      </c>
      <c r="D7878" s="2" t="str">
        <f t="shared" si="129"/>
        <v>Error?</v>
      </c>
      <c r="E7878" s="4" t="s">
        <v>1996</v>
      </c>
    </row>
    <row r="7879" spans="1:5" x14ac:dyDescent="0.2">
      <c r="A7879">
        <v>7818</v>
      </c>
      <c r="B7879" s="1831">
        <f>'PCTC-OEPP 27-28'!F178</f>
        <v>38879137.100000001</v>
      </c>
      <c r="D7879" s="2" t="str">
        <f t="shared" si="129"/>
        <v>Error?</v>
      </c>
      <c r="E7879" s="4" t="s">
        <v>1996</v>
      </c>
    </row>
    <row r="7880" spans="1:5" x14ac:dyDescent="0.2">
      <c r="A7880">
        <v>7819</v>
      </c>
      <c r="B7880" s="1831">
        <f>'PCTC-OEPP 27-28'!F180</f>
        <v>15515.039347140748</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4" t="str">
        <f>COVER!A17</f>
        <v xml:space="preserve"> Mannheim SD 83</v>
      </c>
      <c r="B7" s="2515"/>
      <c r="C7" s="2515"/>
      <c r="D7" s="2553"/>
      <c r="E7" s="2554">
        <f>COVER!A13</f>
        <v>6016083002</v>
      </c>
      <c r="F7" s="2555"/>
      <c r="G7" s="2521" t="str">
        <f>COVER!T23</f>
        <v>066-003289</v>
      </c>
      <c r="H7" s="2522"/>
      <c r="I7" s="2522"/>
      <c r="J7" s="2522"/>
      <c r="K7" s="2522"/>
      <c r="L7" s="252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4"/>
      <c r="B9" s="2525"/>
      <c r="C9" s="2525"/>
      <c r="D9" s="2525"/>
      <c r="E9" s="2525"/>
      <c r="F9" s="2526"/>
      <c r="G9" s="2527" t="str">
        <f>COVER!T13</f>
        <v>EVOY, KAMSCHULTE, JACOBS &amp; CO. LLP</v>
      </c>
      <c r="H9" s="2528"/>
      <c r="I9" s="2528"/>
      <c r="J9" s="2528"/>
      <c r="K9" s="2528"/>
      <c r="L9" s="2529"/>
    </row>
    <row r="10" spans="1:29" ht="13.5" customHeight="1" x14ac:dyDescent="0.2">
      <c r="A10" s="2511">
        <f>COVER!A38</f>
        <v>0</v>
      </c>
      <c r="B10" s="2512"/>
      <c r="C10" s="2512"/>
      <c r="D10" s="2512"/>
      <c r="E10" s="2512"/>
      <c r="F10" s="2513"/>
      <c r="G10" s="2527" t="str">
        <f>COVER!T17</f>
        <v>2122 YEOMAN STREET</v>
      </c>
      <c r="H10" s="2540"/>
      <c r="I10" s="2540"/>
      <c r="J10" s="2540"/>
      <c r="K10" s="2540"/>
      <c r="L10" s="2541"/>
    </row>
    <row r="11" spans="1:29" ht="13.5" customHeight="1" x14ac:dyDescent="0.2">
      <c r="A11" s="963" t="s">
        <v>1502</v>
      </c>
      <c r="B11" s="964"/>
      <c r="C11" s="965"/>
      <c r="D11" s="970"/>
      <c r="E11" s="965"/>
      <c r="F11" s="969"/>
      <c r="G11" s="2527" t="str">
        <f>COVER!T19</f>
        <v>WAUKEGAN</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JHENRY@EKJLLP.COM</v>
      </c>
      <c r="J13" s="2549"/>
      <c r="K13" s="2549"/>
      <c r="L13" s="2550"/>
    </row>
    <row r="14" spans="1:29" ht="13.5" customHeight="1" x14ac:dyDescent="0.2">
      <c r="A14" s="2527" t="str">
        <f>COVER!A19</f>
        <v>10401 WEST GRAND AVENUE</v>
      </c>
      <c r="B14" s="2540"/>
      <c r="C14" s="2540"/>
      <c r="D14" s="2540"/>
      <c r="E14" s="2540"/>
      <c r="F14" s="2541"/>
      <c r="G14" s="974" t="s">
        <v>1175</v>
      </c>
      <c r="H14" s="972"/>
      <c r="I14" s="972"/>
      <c r="J14" s="972"/>
      <c r="K14" s="972"/>
      <c r="L14" s="973"/>
    </row>
    <row r="15" spans="1:29" ht="13.5" customHeight="1" x14ac:dyDescent="0.2">
      <c r="A15" s="2527" t="str">
        <f>COVER!A21</f>
        <v>FRANKLIN PARK</v>
      </c>
      <c r="B15" s="2540"/>
      <c r="C15" s="2540"/>
      <c r="D15" s="2540"/>
      <c r="E15" s="2540"/>
      <c r="F15" s="2541"/>
      <c r="G15" s="2537" t="str">
        <f>COVER!T15</f>
        <v>JAMES HENRY, CPA</v>
      </c>
      <c r="H15" s="2538"/>
      <c r="I15" s="2538"/>
      <c r="J15" s="2538"/>
      <c r="K15" s="2538"/>
      <c r="L15" s="2539"/>
    </row>
    <row r="16" spans="1:29" ht="12.2" customHeight="1" x14ac:dyDescent="0.2">
      <c r="A16" s="2517">
        <f>COVER!A25</f>
        <v>60131</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1174</v>
      </c>
      <c r="H17" s="972"/>
      <c r="I17" s="972"/>
      <c r="J17" s="972"/>
      <c r="K17" s="976" t="s">
        <v>1173</v>
      </c>
      <c r="L17" s="969"/>
      <c r="M17" s="962"/>
    </row>
    <row r="18" spans="1:13" ht="12.2" customHeight="1" x14ac:dyDescent="0.2">
      <c r="A18" s="2511"/>
      <c r="B18" s="2512"/>
      <c r="C18" s="2512"/>
      <c r="D18" s="2512"/>
      <c r="E18" s="2512"/>
      <c r="F18" s="2513"/>
      <c r="G18" s="2514" t="str">
        <f>COVER!T21</f>
        <v>847-662-8300</v>
      </c>
      <c r="H18" s="2515"/>
      <c r="I18" s="2515"/>
      <c r="J18" s="2515"/>
      <c r="K18" s="2514" t="str">
        <f>COVER!X21</f>
        <v>847-662-8305</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82" zoomScale="125" zoomScaleNormal="125" workbookViewId="0">
      <selection activeCell="D126" sqref="D126"/>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Mannheim SD 83</v>
      </c>
      <c r="B1" s="2557"/>
      <c r="C1" s="2557"/>
      <c r="D1" s="2557"/>
    </row>
    <row r="2" spans="1:11" s="991" customFormat="1" ht="12.75" x14ac:dyDescent="0.2">
      <c r="A2" s="2558">
        <f>'Single Audit Cover'!E7</f>
        <v>6016083002</v>
      </c>
      <c r="B2" s="2559"/>
      <c r="C2" s="2559"/>
      <c r="D2" s="2559"/>
    </row>
    <row r="3" spans="1:11" s="991" customFormat="1" ht="12.75" x14ac:dyDescent="0.2">
      <c r="A3" s="2556" t="s">
        <v>1496</v>
      </c>
      <c r="B3" s="2557"/>
      <c r="C3" s="2557"/>
      <c r="D3" s="2557"/>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9" zoomScale="110" zoomScaleNormal="110" zoomScaleSheetLayoutView="100" workbookViewId="0">
      <selection activeCell="F34" sqref="F34"/>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Mannheim SD 83</v>
      </c>
      <c r="B1" s="2561"/>
      <c r="C1" s="2561"/>
      <c r="D1" s="2561"/>
      <c r="E1" s="2561"/>
    </row>
    <row r="2" spans="1:5" x14ac:dyDescent="0.2">
      <c r="A2" s="2562">
        <f>'Single Audit Cover'!E7</f>
        <v>6016083002</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6" t="s">
        <v>1232</v>
      </c>
    </row>
    <row r="10" spans="1:5" x14ac:dyDescent="0.2">
      <c r="A10" s="1037" t="s">
        <v>1231</v>
      </c>
      <c r="B10" s="1038" t="s">
        <v>1230</v>
      </c>
      <c r="C10" s="1038"/>
      <c r="D10" s="1039">
        <f>SUM('Acct Summary 7-8'!C7:K7)</f>
        <v>2680838</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98365</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-204022</v>
      </c>
    </row>
    <row r="19" spans="1:4" ht="13.5" thickBot="1" x14ac:dyDescent="0.25">
      <c r="A19" s="1041" t="s">
        <v>1224</v>
      </c>
      <c r="D19" s="1042">
        <f>SUM(D10:D17)</f>
        <v>2575181</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1222</v>
      </c>
      <c r="D32" s="1039">
        <f>SUM(D19:D30)</f>
        <v>2575181</v>
      </c>
    </row>
    <row r="33" spans="1:4" x14ac:dyDescent="0.2">
      <c r="D33" s="1045"/>
    </row>
    <row r="34" spans="1:4" x14ac:dyDescent="0.2">
      <c r="A34" s="295" t="s">
        <v>1221</v>
      </c>
    </row>
    <row r="35" spans="1:4" x14ac:dyDescent="0.2">
      <c r="A35" s="295" t="s">
        <v>1220</v>
      </c>
      <c r="B35" s="1034" t="s">
        <v>1219</v>
      </c>
      <c r="D35" s="1046">
        <v>2575181</v>
      </c>
    </row>
    <row r="37" spans="1:4" x14ac:dyDescent="0.2">
      <c r="A37" s="1036" t="s">
        <v>1218</v>
      </c>
    </row>
    <row r="39" spans="1:4" ht="13.35" customHeight="1" x14ac:dyDescent="0.2">
      <c r="A39" s="1043" t="s">
        <v>1217</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1216</v>
      </c>
      <c r="C47" s="1048"/>
      <c r="D47" s="1049">
        <f>SUM(D35:D45)</f>
        <v>2575181</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F21" sqref="F2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2084</v>
      </c>
      <c r="C11" s="1820"/>
      <c r="D11" s="1821"/>
      <c r="E11" s="1822"/>
      <c r="F11" s="1822"/>
      <c r="G11" s="1822"/>
      <c r="H11" s="1822"/>
      <c r="I11" s="1822"/>
      <c r="J11" s="1822"/>
      <c r="K11" s="1822"/>
      <c r="L11" s="1822">
        <f>+G11+I11+K11</f>
        <v>0</v>
      </c>
      <c r="M11" s="1822"/>
    </row>
    <row r="12" spans="2:14" ht="20.100000000000001" customHeight="1" x14ac:dyDescent="0.2">
      <c r="B12" s="1113" t="s">
        <v>2082</v>
      </c>
      <c r="C12" s="1823"/>
      <c r="D12" s="1824"/>
      <c r="E12" s="1825"/>
      <c r="F12" s="1825"/>
      <c r="G12" s="1825"/>
      <c r="H12" s="1825"/>
      <c r="I12" s="1825"/>
      <c r="J12" s="1825"/>
      <c r="K12" s="1825"/>
      <c r="L12" s="1822">
        <f t="shared" ref="L12:L27" si="0">+G12+I12+K12</f>
        <v>0</v>
      </c>
      <c r="M12" s="1825"/>
    </row>
    <row r="13" spans="2:14" ht="20.100000000000001" customHeight="1" x14ac:dyDescent="0.2">
      <c r="B13" s="1113" t="s">
        <v>2085</v>
      </c>
      <c r="C13" s="1823"/>
      <c r="D13" s="1824"/>
      <c r="E13" s="1825"/>
      <c r="F13" s="1825"/>
      <c r="G13" s="1825"/>
      <c r="H13" s="1825"/>
      <c r="I13" s="1825"/>
      <c r="J13" s="1825"/>
      <c r="K13" s="1825"/>
      <c r="L13" s="1822">
        <f t="shared" si="0"/>
        <v>0</v>
      </c>
      <c r="M13" s="1825"/>
    </row>
    <row r="14" spans="2:14" ht="20.100000000000001" customHeight="1" x14ac:dyDescent="0.2">
      <c r="B14" s="1113" t="s">
        <v>2086</v>
      </c>
      <c r="C14" s="1823">
        <v>10.555</v>
      </c>
      <c r="D14" s="1824" t="s">
        <v>2087</v>
      </c>
      <c r="E14" s="1825"/>
      <c r="F14" s="1825">
        <v>548127</v>
      </c>
      <c r="G14" s="1825"/>
      <c r="H14" s="1825"/>
      <c r="I14" s="1825">
        <v>548127</v>
      </c>
      <c r="J14" s="1825"/>
      <c r="K14" s="1825"/>
      <c r="L14" s="1822">
        <f t="shared" si="0"/>
        <v>548127</v>
      </c>
      <c r="M14" s="1825"/>
    </row>
    <row r="15" spans="2:14" ht="20.100000000000001" customHeight="1" x14ac:dyDescent="0.2">
      <c r="B15" s="1113" t="s">
        <v>2086</v>
      </c>
      <c r="C15" s="1823">
        <v>10.555</v>
      </c>
      <c r="D15" s="1824" t="s">
        <v>2088</v>
      </c>
      <c r="E15" s="1825">
        <v>687300</v>
      </c>
      <c r="F15" s="1825">
        <v>170845</v>
      </c>
      <c r="G15" s="1825">
        <v>687300</v>
      </c>
      <c r="H15" s="1825"/>
      <c r="I15" s="1825">
        <v>170845</v>
      </c>
      <c r="J15" s="1825"/>
      <c r="K15" s="1825"/>
      <c r="L15" s="1822">
        <f t="shared" si="0"/>
        <v>858145</v>
      </c>
      <c r="M15" s="1825"/>
    </row>
    <row r="16" spans="2:14" ht="20.100000000000001" customHeight="1" x14ac:dyDescent="0.2">
      <c r="B16" s="1113" t="s">
        <v>2089</v>
      </c>
      <c r="C16" s="1823">
        <v>10.553000000000001</v>
      </c>
      <c r="D16" s="1824" t="s">
        <v>2090</v>
      </c>
      <c r="E16" s="1825"/>
      <c r="F16" s="1825">
        <v>305631</v>
      </c>
      <c r="G16" s="1825"/>
      <c r="H16" s="1825"/>
      <c r="I16" s="1825">
        <v>305631</v>
      </c>
      <c r="J16" s="1825"/>
      <c r="K16" s="1825"/>
      <c r="L16" s="1822">
        <f t="shared" si="0"/>
        <v>305631</v>
      </c>
      <c r="M16" s="1825"/>
    </row>
    <row r="17" spans="2:14" ht="20.100000000000001" customHeight="1" x14ac:dyDescent="0.2">
      <c r="B17" s="1113" t="s">
        <v>2089</v>
      </c>
      <c r="C17" s="1823">
        <v>10.553000000000001</v>
      </c>
      <c r="D17" s="1824" t="s">
        <v>2091</v>
      </c>
      <c r="E17" s="1825">
        <v>393511</v>
      </c>
      <c r="F17" s="1825">
        <v>95775</v>
      </c>
      <c r="G17" s="1825">
        <v>393511</v>
      </c>
      <c r="H17" s="1825"/>
      <c r="I17" s="1825">
        <v>95775</v>
      </c>
      <c r="J17" s="1825"/>
      <c r="K17" s="1825"/>
      <c r="L17" s="1822">
        <f t="shared" si="0"/>
        <v>489286</v>
      </c>
      <c r="M17" s="1825"/>
    </row>
    <row r="18" spans="2:14" ht="20.100000000000001" customHeight="1" x14ac:dyDescent="0.2">
      <c r="B18" s="1113" t="s">
        <v>2092</v>
      </c>
      <c r="C18" s="1823">
        <v>10.555</v>
      </c>
      <c r="D18" s="1824" t="s">
        <v>2087</v>
      </c>
      <c r="E18" s="1825"/>
      <c r="F18" s="1825">
        <v>43431</v>
      </c>
      <c r="G18" s="1825"/>
      <c r="H18" s="1825"/>
      <c r="I18" s="1825">
        <v>43431</v>
      </c>
      <c r="J18" s="1825"/>
      <c r="K18" s="1825"/>
      <c r="L18" s="1822">
        <f t="shared" si="0"/>
        <v>43431</v>
      </c>
      <c r="M18" s="1825"/>
    </row>
    <row r="19" spans="2:14" ht="20.100000000000001" customHeight="1" x14ac:dyDescent="0.2">
      <c r="B19" s="1113" t="s">
        <v>2092</v>
      </c>
      <c r="C19" s="1823">
        <v>10.555</v>
      </c>
      <c r="D19" s="1824" t="s">
        <v>2088</v>
      </c>
      <c r="E19" s="1825">
        <v>37179</v>
      </c>
      <c r="F19" s="1825"/>
      <c r="G19" s="1825">
        <v>37179</v>
      </c>
      <c r="H19" s="1825"/>
      <c r="I19" s="1825"/>
      <c r="J19" s="1825"/>
      <c r="K19" s="1825"/>
      <c r="L19" s="1822">
        <f t="shared" si="0"/>
        <v>37179</v>
      </c>
      <c r="M19" s="1825"/>
    </row>
    <row r="20" spans="2:14" ht="20.100000000000001" customHeight="1" x14ac:dyDescent="0.2">
      <c r="B20" s="1113" t="s">
        <v>2093</v>
      </c>
      <c r="C20" s="1823">
        <v>10.555</v>
      </c>
      <c r="D20" s="1824" t="s">
        <v>2094</v>
      </c>
      <c r="E20" s="1825"/>
      <c r="F20" s="1825">
        <v>54934</v>
      </c>
      <c r="G20" s="1825"/>
      <c r="H20" s="1825"/>
      <c r="I20" s="1825">
        <v>54934</v>
      </c>
      <c r="J20" s="1825"/>
      <c r="K20" s="1825"/>
      <c r="L20" s="1822">
        <f t="shared" si="0"/>
        <v>54934</v>
      </c>
      <c r="M20" s="1825"/>
    </row>
    <row r="21" spans="2:14" ht="20.100000000000001" customHeight="1" x14ac:dyDescent="0.2">
      <c r="B21" s="1113" t="s">
        <v>2093</v>
      </c>
      <c r="C21" s="1823">
        <v>10.555</v>
      </c>
      <c r="D21" s="1824" t="s">
        <v>2095</v>
      </c>
      <c r="E21" s="1825">
        <v>52927</v>
      </c>
      <c r="F21" s="1825"/>
      <c r="G21" s="1825">
        <v>52927</v>
      </c>
      <c r="H21" s="1825"/>
      <c r="I21" s="1825"/>
      <c r="J21" s="1825"/>
      <c r="K21" s="1825"/>
      <c r="L21" s="1822">
        <f t="shared" si="0"/>
        <v>52927</v>
      </c>
      <c r="M21" s="1825"/>
    </row>
    <row r="22" spans="2:14" ht="20.100000000000001" customHeight="1" x14ac:dyDescent="0.2">
      <c r="B22" s="1113" t="s">
        <v>2096</v>
      </c>
      <c r="C22" s="1823"/>
      <c r="D22" s="1824"/>
      <c r="E22" s="1825">
        <v>1170917</v>
      </c>
      <c r="F22" s="1825">
        <v>1218743</v>
      </c>
      <c r="G22" s="1825">
        <v>1170917</v>
      </c>
      <c r="H22" s="1825"/>
      <c r="I22" s="1825">
        <v>1218743</v>
      </c>
      <c r="J22" s="1825"/>
      <c r="K22" s="1825"/>
      <c r="L22" s="1822">
        <f t="shared" si="0"/>
        <v>2389660</v>
      </c>
      <c r="M22" s="1825"/>
    </row>
    <row r="23" spans="2:14" ht="20.100000000000001" customHeight="1" x14ac:dyDescent="0.2">
      <c r="B23" s="1113" t="s">
        <v>2097</v>
      </c>
      <c r="C23" s="1823"/>
      <c r="D23" s="1824"/>
      <c r="E23" s="1825">
        <v>1170917</v>
      </c>
      <c r="F23" s="1825">
        <v>1218743</v>
      </c>
      <c r="G23" s="1825">
        <v>1170917</v>
      </c>
      <c r="H23" s="1825"/>
      <c r="I23" s="1825">
        <v>1218743</v>
      </c>
      <c r="J23" s="1825"/>
      <c r="K23" s="1825"/>
      <c r="L23" s="1822">
        <f t="shared" si="0"/>
        <v>2389660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I23" sqref="I2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2098</v>
      </c>
      <c r="C11" s="1820"/>
      <c r="D11" s="1821"/>
      <c r="E11" s="1822"/>
      <c r="F11" s="1822"/>
      <c r="G11" s="1822"/>
      <c r="H11" s="1822"/>
      <c r="I11" s="1822"/>
      <c r="J11" s="1822"/>
      <c r="K11" s="1822"/>
      <c r="L11" s="1822">
        <f>+G11+I11+K11</f>
        <v>0</v>
      </c>
      <c r="M11" s="1822"/>
    </row>
    <row r="12" spans="2:14" ht="20.100000000000001" customHeight="1" x14ac:dyDescent="0.2">
      <c r="B12" s="1113" t="s">
        <v>2085</v>
      </c>
      <c r="C12" s="1823"/>
      <c r="D12" s="1824"/>
      <c r="E12" s="1825"/>
      <c r="F12" s="1825"/>
      <c r="G12" s="1825"/>
      <c r="H12" s="1825"/>
      <c r="I12" s="1825"/>
      <c r="J12" s="1825"/>
      <c r="K12" s="1825"/>
      <c r="L12" s="1822">
        <f t="shared" ref="L12:L27" si="0">+G12+I12+K12</f>
        <v>0</v>
      </c>
      <c r="M12" s="1825"/>
    </row>
    <row r="13" spans="2:14" ht="20.100000000000001" customHeight="1" x14ac:dyDescent="0.2">
      <c r="B13" s="1113" t="s">
        <v>2099</v>
      </c>
      <c r="C13" s="1823">
        <v>84.01</v>
      </c>
      <c r="D13" s="1824" t="s">
        <v>2100</v>
      </c>
      <c r="E13" s="1825"/>
      <c r="F13" s="1825">
        <v>630226</v>
      </c>
      <c r="G13" s="1825"/>
      <c r="H13" s="1825"/>
      <c r="I13" s="1825">
        <v>632626</v>
      </c>
      <c r="J13" s="1825"/>
      <c r="K13" s="1825"/>
      <c r="L13" s="1822">
        <f t="shared" si="0"/>
        <v>632626</v>
      </c>
      <c r="M13" s="1825"/>
    </row>
    <row r="14" spans="2:14" ht="20.100000000000001" customHeight="1" x14ac:dyDescent="0.2">
      <c r="B14" s="1113" t="s">
        <v>2099</v>
      </c>
      <c r="C14" s="1823">
        <v>84.01</v>
      </c>
      <c r="D14" s="1824" t="s">
        <v>2101</v>
      </c>
      <c r="E14" s="1825">
        <v>634214</v>
      </c>
      <c r="F14" s="1825">
        <v>3486</v>
      </c>
      <c r="G14" s="1825">
        <v>637700</v>
      </c>
      <c r="H14" s="1825"/>
      <c r="I14" s="1825"/>
      <c r="J14" s="1825"/>
      <c r="K14" s="1825"/>
      <c r="L14" s="1822">
        <f t="shared" si="0"/>
        <v>637700</v>
      </c>
      <c r="M14" s="1825"/>
    </row>
    <row r="15" spans="2:14" ht="20.100000000000001" customHeight="1" x14ac:dyDescent="0.2">
      <c r="B15" s="1113" t="s">
        <v>2102</v>
      </c>
      <c r="C15" s="1823">
        <v>84.01</v>
      </c>
      <c r="D15" s="1824" t="s">
        <v>2103</v>
      </c>
      <c r="E15" s="1825"/>
      <c r="F15" s="1825">
        <v>6752</v>
      </c>
      <c r="G15" s="1825"/>
      <c r="H15" s="1825"/>
      <c r="I15" s="1825">
        <v>6752</v>
      </c>
      <c r="J15" s="1825"/>
      <c r="K15" s="1825"/>
      <c r="L15" s="1822">
        <f t="shared" si="0"/>
        <v>6752</v>
      </c>
      <c r="M15" s="1825"/>
    </row>
    <row r="16" spans="2:14" ht="20.100000000000001" customHeight="1" x14ac:dyDescent="0.2">
      <c r="B16" s="1113" t="s">
        <v>2102</v>
      </c>
      <c r="C16" s="1823">
        <v>84.01</v>
      </c>
      <c r="D16" s="1824" t="s">
        <v>2104</v>
      </c>
      <c r="E16" s="1825">
        <v>22245</v>
      </c>
      <c r="F16" s="1825"/>
      <c r="G16" s="1825">
        <v>22245</v>
      </c>
      <c r="H16" s="1825"/>
      <c r="I16" s="1825"/>
      <c r="J16" s="1825"/>
      <c r="K16" s="1825"/>
      <c r="L16" s="1822">
        <f t="shared" si="0"/>
        <v>22245</v>
      </c>
      <c r="M16" s="1825"/>
    </row>
    <row r="17" spans="2:14" ht="20.100000000000001" customHeight="1" x14ac:dyDescent="0.2">
      <c r="B17" s="1113" t="s">
        <v>2136</v>
      </c>
      <c r="C17" s="1823">
        <v>84.364999999999995</v>
      </c>
      <c r="D17" s="1824" t="s">
        <v>2137</v>
      </c>
      <c r="E17" s="1825"/>
      <c r="F17" s="1825">
        <v>21875</v>
      </c>
      <c r="G17" s="1825"/>
      <c r="H17" s="1825"/>
      <c r="I17" s="1825">
        <v>21875</v>
      </c>
      <c r="J17" s="1825"/>
      <c r="K17" s="1825"/>
      <c r="L17" s="1822">
        <f t="shared" si="0"/>
        <v>21875</v>
      </c>
      <c r="M17" s="1825"/>
    </row>
    <row r="18" spans="2:14" ht="20.100000000000001" customHeight="1" x14ac:dyDescent="0.2">
      <c r="B18" s="1113" t="s">
        <v>2106</v>
      </c>
      <c r="C18" s="1823">
        <v>84.364999999999995</v>
      </c>
      <c r="D18" s="1824" t="s">
        <v>2105</v>
      </c>
      <c r="E18" s="1825"/>
      <c r="F18" s="1825">
        <v>87766</v>
      </c>
      <c r="G18" s="1825"/>
      <c r="H18" s="1825"/>
      <c r="I18" s="1825">
        <v>87766</v>
      </c>
      <c r="J18" s="1825"/>
      <c r="K18" s="1825"/>
      <c r="L18" s="1822">
        <f t="shared" si="0"/>
        <v>87766</v>
      </c>
      <c r="M18" s="1825"/>
    </row>
    <row r="19" spans="2:14" ht="20.100000000000001" customHeight="1" x14ac:dyDescent="0.2">
      <c r="B19" s="1113" t="s">
        <v>2106</v>
      </c>
      <c r="C19" s="1823">
        <v>84.364999999999995</v>
      </c>
      <c r="D19" s="1824" t="s">
        <v>2107</v>
      </c>
      <c r="E19" s="1825">
        <v>136376</v>
      </c>
      <c r="F19" s="1825"/>
      <c r="G19" s="1825">
        <v>136376</v>
      </c>
      <c r="H19" s="1825"/>
      <c r="I19" s="1825"/>
      <c r="J19" s="1825"/>
      <c r="K19" s="1825"/>
      <c r="L19" s="1822">
        <f t="shared" si="0"/>
        <v>136376</v>
      </c>
      <c r="M19" s="1825"/>
    </row>
    <row r="20" spans="2:14" ht="20.100000000000001" customHeight="1" x14ac:dyDescent="0.2">
      <c r="B20" s="1113" t="s">
        <v>2108</v>
      </c>
      <c r="C20" s="1823">
        <v>84.367000000000004</v>
      </c>
      <c r="D20" s="1824" t="s">
        <v>2109</v>
      </c>
      <c r="E20" s="1825"/>
      <c r="F20" s="1825">
        <v>97729</v>
      </c>
      <c r="G20" s="1825"/>
      <c r="H20" s="1825"/>
      <c r="I20" s="1825">
        <v>97729</v>
      </c>
      <c r="J20" s="1825"/>
      <c r="K20" s="1825"/>
      <c r="L20" s="1822">
        <f t="shared" si="0"/>
        <v>97729</v>
      </c>
      <c r="M20" s="1825"/>
    </row>
    <row r="21" spans="2:14" ht="20.100000000000001" customHeight="1" x14ac:dyDescent="0.2">
      <c r="B21" s="1113" t="s">
        <v>2108</v>
      </c>
      <c r="C21" s="1823">
        <v>84.367000000000004</v>
      </c>
      <c r="D21" s="1824" t="s">
        <v>2110</v>
      </c>
      <c r="E21" s="1825">
        <v>78777</v>
      </c>
      <c r="F21" s="1825"/>
      <c r="G21" s="1825">
        <v>78777</v>
      </c>
      <c r="H21" s="1825"/>
      <c r="I21" s="1825"/>
      <c r="J21" s="1825"/>
      <c r="K21" s="1825"/>
      <c r="L21" s="1822">
        <f t="shared" si="0"/>
        <v>78777</v>
      </c>
      <c r="M21" s="1825"/>
    </row>
    <row r="22" spans="2:14" ht="20.100000000000001" customHeight="1" x14ac:dyDescent="0.2">
      <c r="B22" s="1113" t="s">
        <v>2148</v>
      </c>
      <c r="C22" s="1823">
        <v>84.424999999999997</v>
      </c>
      <c r="D22" s="1824" t="s">
        <v>2149</v>
      </c>
      <c r="E22" s="1825"/>
      <c r="F22" s="1825"/>
      <c r="G22" s="1825"/>
      <c r="H22" s="1825"/>
      <c r="I22" s="1825">
        <v>56693</v>
      </c>
      <c r="J22" s="1825"/>
      <c r="K22" s="1825"/>
      <c r="L22" s="1822">
        <f t="shared" si="0"/>
        <v>56693</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4" zoomScaleNormal="100" workbookViewId="0">
      <selection activeCell="I23" sqref="I2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2111</v>
      </c>
      <c r="C11" s="1820"/>
      <c r="D11" s="1821"/>
      <c r="E11" s="1822"/>
      <c r="F11" s="1822"/>
      <c r="G11" s="1822"/>
      <c r="H11" s="1822"/>
      <c r="I11" s="1822"/>
      <c r="J11" s="1822"/>
      <c r="K11" s="1822"/>
      <c r="L11" s="1822">
        <f>+G11+I11+K11</f>
        <v>0</v>
      </c>
      <c r="M11" s="1822"/>
    </row>
    <row r="12" spans="2:14" ht="20.100000000000001" customHeight="1" x14ac:dyDescent="0.2">
      <c r="B12" s="1113" t="s">
        <v>2112</v>
      </c>
      <c r="C12" s="1823"/>
      <c r="D12" s="1824"/>
      <c r="E12" s="1825"/>
      <c r="F12" s="1825"/>
      <c r="G12" s="1825"/>
      <c r="H12" s="1825"/>
      <c r="I12" s="1825"/>
      <c r="J12" s="1825"/>
      <c r="K12" s="1825"/>
      <c r="L12" s="1822">
        <f t="shared" ref="L12:L27" si="0">+G12+I12+K12</f>
        <v>0</v>
      </c>
      <c r="M12" s="1825"/>
    </row>
    <row r="13" spans="2:14" ht="20.100000000000001" customHeight="1" x14ac:dyDescent="0.2">
      <c r="B13" s="1113" t="s">
        <v>2113</v>
      </c>
      <c r="C13" s="1823"/>
      <c r="D13" s="1824"/>
      <c r="E13" s="1825"/>
      <c r="F13" s="1825"/>
      <c r="G13" s="1825"/>
      <c r="H13" s="1825"/>
      <c r="I13" s="1825"/>
      <c r="J13" s="1825"/>
      <c r="K13" s="1825"/>
      <c r="L13" s="1822">
        <f t="shared" si="0"/>
        <v>0</v>
      </c>
      <c r="M13" s="1825"/>
    </row>
    <row r="14" spans="2:14" ht="20.100000000000001" customHeight="1" x14ac:dyDescent="0.2">
      <c r="B14" s="1113" t="s">
        <v>2114</v>
      </c>
      <c r="C14" s="1823">
        <v>84.173000000000002</v>
      </c>
      <c r="D14" s="1824" t="s">
        <v>2115</v>
      </c>
      <c r="E14" s="1825"/>
      <c r="F14" s="1825">
        <v>11652</v>
      </c>
      <c r="G14" s="1825"/>
      <c r="H14" s="1825"/>
      <c r="I14" s="1825">
        <v>11652</v>
      </c>
      <c r="J14" s="1825"/>
      <c r="K14" s="1825"/>
      <c r="L14" s="1822">
        <f t="shared" si="0"/>
        <v>11652</v>
      </c>
      <c r="M14" s="1825"/>
    </row>
    <row r="15" spans="2:14" ht="20.100000000000001" customHeight="1" x14ac:dyDescent="0.2">
      <c r="B15" s="1113" t="s">
        <v>2114</v>
      </c>
      <c r="C15" s="1823">
        <v>84.173000000000002</v>
      </c>
      <c r="D15" s="1824" t="s">
        <v>2116</v>
      </c>
      <c r="E15" s="1825">
        <v>11666</v>
      </c>
      <c r="F15" s="1825"/>
      <c r="G15" s="1825">
        <v>11666</v>
      </c>
      <c r="H15" s="1825"/>
      <c r="I15" s="1825"/>
      <c r="J15" s="1825"/>
      <c r="K15" s="1825"/>
      <c r="L15" s="1822">
        <f t="shared" si="0"/>
        <v>11666</v>
      </c>
      <c r="M15" s="1825"/>
    </row>
    <row r="16" spans="2:14" ht="20.100000000000001" customHeight="1" x14ac:dyDescent="0.2">
      <c r="B16" s="1113" t="s">
        <v>2117</v>
      </c>
      <c r="C16" s="1823">
        <v>84.027000000000001</v>
      </c>
      <c r="D16" s="1824" t="s">
        <v>2118</v>
      </c>
      <c r="E16" s="1825"/>
      <c r="F16" s="1825">
        <v>407091</v>
      </c>
      <c r="G16" s="1825"/>
      <c r="H16" s="1825"/>
      <c r="I16" s="1825">
        <v>407091</v>
      </c>
      <c r="J16" s="1825"/>
      <c r="K16" s="1825"/>
      <c r="L16" s="1822">
        <f t="shared" si="0"/>
        <v>407091</v>
      </c>
      <c r="M16" s="1825"/>
    </row>
    <row r="17" spans="2:14" ht="20.100000000000001" customHeight="1" x14ac:dyDescent="0.2">
      <c r="B17" s="1113" t="s">
        <v>2117</v>
      </c>
      <c r="C17" s="1823">
        <v>84.027000000000001</v>
      </c>
      <c r="D17" s="1824" t="s">
        <v>2119</v>
      </c>
      <c r="E17" s="1825">
        <v>317324</v>
      </c>
      <c r="F17" s="1825"/>
      <c r="G17" s="1825">
        <v>317324</v>
      </c>
      <c r="H17" s="1825"/>
      <c r="I17" s="1825"/>
      <c r="J17" s="1825"/>
      <c r="K17" s="1825"/>
      <c r="L17" s="1822">
        <f t="shared" si="0"/>
        <v>317324</v>
      </c>
      <c r="M17" s="1825"/>
    </row>
    <row r="18" spans="2:14" ht="20.100000000000001" customHeight="1" x14ac:dyDescent="0.2">
      <c r="B18" s="1113" t="s">
        <v>2085</v>
      </c>
      <c r="C18" s="1823"/>
      <c r="D18" s="1824"/>
      <c r="E18" s="1825"/>
      <c r="F18" s="1825"/>
      <c r="G18" s="1825"/>
      <c r="H18" s="1825"/>
      <c r="I18" s="1825"/>
      <c r="J18" s="1825"/>
      <c r="K18" s="1825"/>
      <c r="L18" s="1822">
        <f t="shared" si="0"/>
        <v>0</v>
      </c>
      <c r="M18" s="1825"/>
    </row>
    <row r="19" spans="2:14" ht="20.100000000000001" customHeight="1" x14ac:dyDescent="0.2">
      <c r="B19" s="1113" t="s">
        <v>2120</v>
      </c>
      <c r="C19" s="1823">
        <v>84.027000000000001</v>
      </c>
      <c r="D19" s="1824" t="s">
        <v>2121</v>
      </c>
      <c r="E19" s="1825"/>
      <c r="F19" s="1825">
        <v>0</v>
      </c>
      <c r="G19" s="1825"/>
      <c r="H19" s="1825"/>
      <c r="I19" s="1825">
        <v>12941</v>
      </c>
      <c r="J19" s="1825"/>
      <c r="K19" s="1825"/>
      <c r="L19" s="1822">
        <f t="shared" si="0"/>
        <v>12941</v>
      </c>
      <c r="M19" s="1825"/>
    </row>
    <row r="20" spans="2:14" ht="20.100000000000001" customHeight="1" x14ac:dyDescent="0.2">
      <c r="B20" s="1113" t="s">
        <v>2120</v>
      </c>
      <c r="C20" s="1823">
        <v>84.027000000000001</v>
      </c>
      <c r="D20" s="1824" t="s">
        <v>2122</v>
      </c>
      <c r="E20" s="1825"/>
      <c r="F20" s="1825">
        <v>24982</v>
      </c>
      <c r="G20" s="1825">
        <v>24982</v>
      </c>
      <c r="H20" s="1825"/>
      <c r="I20" s="1825"/>
      <c r="J20" s="1825"/>
      <c r="K20" s="1825"/>
      <c r="L20" s="1822">
        <f t="shared" si="0"/>
        <v>24982</v>
      </c>
      <c r="M20" s="1825"/>
    </row>
    <row r="21" spans="2:14" ht="20.100000000000001" customHeight="1" x14ac:dyDescent="0.2">
      <c r="B21" s="1113" t="s">
        <v>2123</v>
      </c>
      <c r="C21" s="1823"/>
      <c r="D21" s="1824"/>
      <c r="E21" s="1825">
        <v>328990</v>
      </c>
      <c r="F21" s="1825">
        <v>443725</v>
      </c>
      <c r="G21" s="1825">
        <v>353972</v>
      </c>
      <c r="H21" s="1825"/>
      <c r="I21" s="1825">
        <v>431684</v>
      </c>
      <c r="J21" s="1825"/>
      <c r="K21" s="1825"/>
      <c r="L21" s="1822">
        <f t="shared" si="0"/>
        <v>785656</v>
      </c>
      <c r="M21" s="1825"/>
    </row>
    <row r="22" spans="2:14" ht="20.100000000000001" customHeight="1" x14ac:dyDescent="0.2">
      <c r="B22" s="1113" t="s">
        <v>2124</v>
      </c>
      <c r="C22" s="1823"/>
      <c r="D22" s="1824"/>
      <c r="E22" s="1825">
        <v>1200602</v>
      </c>
      <c r="F22" s="1825">
        <v>1291559</v>
      </c>
      <c r="G22" s="1825">
        <v>1229070</v>
      </c>
      <c r="H22" s="1825"/>
      <c r="I22" s="1825">
        <v>1335125</v>
      </c>
      <c r="J22" s="1825"/>
      <c r="K22" s="1825"/>
      <c r="L22" s="1822">
        <f t="shared" si="0"/>
        <v>2564195</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H20" sqref="H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Mannheim SD 83</v>
      </c>
      <c r="C1" s="2565"/>
      <c r="D1" s="2565"/>
      <c r="E1" s="2565"/>
      <c r="F1" s="2565"/>
      <c r="G1" s="2565"/>
      <c r="H1" s="2565"/>
      <c r="I1" s="2565"/>
      <c r="J1" s="2565"/>
      <c r="K1" s="2565"/>
      <c r="L1" s="2565"/>
      <c r="M1" s="2565"/>
    </row>
    <row r="2" spans="2:14" ht="15" x14ac:dyDescent="0.2">
      <c r="B2" s="2566">
        <f>'Single Audit Cover'!E7</f>
        <v>6016083002</v>
      </c>
      <c r="C2" s="2566"/>
      <c r="D2" s="2566"/>
      <c r="E2" s="2566"/>
      <c r="F2" s="2566"/>
      <c r="G2" s="2566"/>
      <c r="H2" s="2566"/>
      <c r="I2" s="2566"/>
      <c r="J2" s="2566"/>
      <c r="K2" s="2566"/>
      <c r="L2" s="2566"/>
      <c r="M2" s="2566"/>
      <c r="N2" s="1078"/>
    </row>
    <row r="3" spans="2:14" ht="15" x14ac:dyDescent="0.2">
      <c r="B3" s="2567" t="s">
        <v>1208</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4"/>
      <c r="J5" s="1914"/>
    </row>
    <row r="6" spans="2:14" x14ac:dyDescent="0.2">
      <c r="B6" s="1079"/>
      <c r="C6" s="1080"/>
      <c r="D6" s="1081" t="s">
        <v>1254</v>
      </c>
      <c r="E6" s="1082" t="s">
        <v>524</v>
      </c>
      <c r="F6" s="1083"/>
      <c r="G6" s="1084" t="s">
        <v>1709</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8"/>
      <c r="C8" s="1089" t="s">
        <v>1253</v>
      </c>
      <c r="D8" s="1090" t="s">
        <v>1252</v>
      </c>
      <c r="E8" s="1098" t="s">
        <v>1251</v>
      </c>
      <c r="F8" s="1099" t="s">
        <v>1251</v>
      </c>
      <c r="G8" s="1100" t="s">
        <v>1251</v>
      </c>
      <c r="H8" s="1818" t="str">
        <f>"7/1/"&amp;MID('AFR20'!$E$2,3,2)-2&amp;"-6/30/"&amp;MID('AFR20'!$E$2,3,2)-1</f>
        <v>7/1/18-6/30/19</v>
      </c>
      <c r="I8" s="1095" t="s">
        <v>1251</v>
      </c>
      <c r="J8" s="1819" t="str">
        <f>"7/1/"&amp;MID('AFR20'!$E$2,3,2)-1&amp;"-6/30/"&amp;MID('AFR20'!$E$2,3,2)</f>
        <v>7/1/19-6/30/20</v>
      </c>
      <c r="K8" s="1095" t="s">
        <v>1250</v>
      </c>
      <c r="L8" s="1096" t="s">
        <v>1246</v>
      </c>
      <c r="M8" s="1097" t="s">
        <v>30</v>
      </c>
    </row>
    <row r="9" spans="2:14" ht="14.25" x14ac:dyDescent="0.2">
      <c r="B9" s="1101" t="s">
        <v>1248</v>
      </c>
      <c r="C9" s="1089" t="s">
        <v>1710</v>
      </c>
      <c r="D9" s="1090" t="s">
        <v>1711</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2125</v>
      </c>
      <c r="C11" s="1820"/>
      <c r="D11" s="1821"/>
      <c r="E11" s="1822"/>
      <c r="F11" s="1822"/>
      <c r="G11" s="1822"/>
      <c r="H11" s="1822"/>
      <c r="I11" s="1822"/>
      <c r="J11" s="1822"/>
      <c r="K11" s="1822"/>
      <c r="L11" s="1822">
        <f>+G11+I11+K11</f>
        <v>0</v>
      </c>
      <c r="M11" s="1822"/>
    </row>
    <row r="12" spans="2:14" ht="20.100000000000001" customHeight="1" x14ac:dyDescent="0.2">
      <c r="B12" s="1113" t="s">
        <v>2126</v>
      </c>
      <c r="C12" s="1823"/>
      <c r="D12" s="1824"/>
      <c r="E12" s="1825"/>
      <c r="F12" s="1825"/>
      <c r="G12" s="1825"/>
      <c r="H12" s="1825"/>
      <c r="I12" s="1825"/>
      <c r="J12" s="1825"/>
      <c r="K12" s="1825"/>
      <c r="L12" s="1822">
        <f t="shared" ref="L12:L27" si="0">+G12+I12+K12</f>
        <v>0</v>
      </c>
      <c r="M12" s="1825"/>
    </row>
    <row r="13" spans="2:14" ht="20.100000000000001" customHeight="1" x14ac:dyDescent="0.2">
      <c r="B13" s="1113" t="s">
        <v>2127</v>
      </c>
      <c r="C13" s="1823">
        <v>93.778000000000006</v>
      </c>
      <c r="D13" s="1824" t="s">
        <v>2128</v>
      </c>
      <c r="E13" s="1825"/>
      <c r="F13" s="1825">
        <v>64879</v>
      </c>
      <c r="G13" s="1825"/>
      <c r="H13" s="1825"/>
      <c r="I13" s="1825">
        <v>64879</v>
      </c>
      <c r="J13" s="1825"/>
      <c r="K13" s="1825"/>
      <c r="L13" s="1822">
        <f t="shared" si="0"/>
        <v>64879</v>
      </c>
      <c r="M13" s="1825"/>
    </row>
    <row r="14" spans="2:14" ht="20.100000000000001" customHeight="1" x14ac:dyDescent="0.2">
      <c r="B14" s="1113" t="s">
        <v>2127</v>
      </c>
      <c r="C14" s="1823">
        <v>93.778000000000006</v>
      </c>
      <c r="D14" s="1824" t="s">
        <v>2129</v>
      </c>
      <c r="E14" s="1825">
        <v>91309</v>
      </c>
      <c r="F14" s="1825"/>
      <c r="G14" s="1825">
        <v>91309</v>
      </c>
      <c r="H14" s="1825"/>
      <c r="I14" s="1825"/>
      <c r="J14" s="1825"/>
      <c r="K14" s="1825"/>
      <c r="L14" s="1822">
        <f t="shared" si="0"/>
        <v>91309</v>
      </c>
      <c r="M14" s="1825"/>
    </row>
    <row r="15" spans="2:14" ht="20.100000000000001" customHeight="1" x14ac:dyDescent="0.2">
      <c r="B15" s="1113" t="s">
        <v>2130</v>
      </c>
      <c r="C15" s="1823"/>
      <c r="D15" s="1824"/>
      <c r="E15" s="1825">
        <v>91309</v>
      </c>
      <c r="F15" s="1825">
        <v>64879</v>
      </c>
      <c r="G15" s="1825">
        <v>91309</v>
      </c>
      <c r="H15" s="1825"/>
      <c r="I15" s="1825">
        <v>64879</v>
      </c>
      <c r="J15" s="1825"/>
      <c r="K15" s="1825"/>
      <c r="L15" s="1822">
        <f t="shared" si="0"/>
        <v>156188</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t="s">
        <v>2131</v>
      </c>
      <c r="C18" s="1823"/>
      <c r="D18" s="1824"/>
      <c r="E18" s="1825">
        <v>2462828</v>
      </c>
      <c r="F18" s="1825">
        <v>2575181</v>
      </c>
      <c r="G18" s="1825">
        <v>2491296</v>
      </c>
      <c r="H18" s="1825"/>
      <c r="I18" s="1825">
        <v>2618747</v>
      </c>
      <c r="J18" s="1825"/>
      <c r="K18" s="1825"/>
      <c r="L18" s="1822">
        <f t="shared" si="0"/>
        <v>5110043</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t="s">
        <v>2132</v>
      </c>
      <c r="C24" s="1823"/>
      <c r="D24" s="1824"/>
      <c r="E24" s="1825">
        <v>0</v>
      </c>
      <c r="F24" s="1825">
        <v>98365</v>
      </c>
      <c r="G24" s="1825">
        <v>0</v>
      </c>
      <c r="H24" s="1825"/>
      <c r="I24" s="1825">
        <v>98365</v>
      </c>
      <c r="J24" s="1825"/>
      <c r="K24" s="1825"/>
      <c r="L24" s="1822">
        <f t="shared" si="0"/>
        <v>98365</v>
      </c>
      <c r="M24" s="1825"/>
    </row>
    <row r="25" spans="2:14" ht="20.100000000000001" customHeight="1" x14ac:dyDescent="0.2">
      <c r="B25" s="1113" t="s">
        <v>2133</v>
      </c>
      <c r="C25" s="1823"/>
      <c r="D25" s="1824"/>
      <c r="E25" s="1825">
        <v>0</v>
      </c>
      <c r="F25" s="1825">
        <v>0</v>
      </c>
      <c r="G25" s="1825">
        <v>0</v>
      </c>
      <c r="H25" s="1825"/>
      <c r="I25" s="1825">
        <v>0</v>
      </c>
      <c r="J25" s="1825"/>
      <c r="K25" s="1825"/>
      <c r="L25" s="1822">
        <f t="shared" si="0"/>
        <v>0</v>
      </c>
      <c r="M25" s="1825"/>
    </row>
    <row r="26" spans="2:14" ht="20.100000000000001" customHeight="1" x14ac:dyDescent="0.2">
      <c r="B26" s="1113" t="s">
        <v>2134</v>
      </c>
      <c r="C26" s="1823"/>
      <c r="D26" s="1824"/>
      <c r="E26" s="1825">
        <v>0</v>
      </c>
      <c r="F26" s="1825">
        <v>0</v>
      </c>
      <c r="G26" s="1825">
        <v>0</v>
      </c>
      <c r="H26" s="1825"/>
      <c r="I26" s="1825">
        <v>0</v>
      </c>
      <c r="J26" s="1825"/>
      <c r="K26" s="1825"/>
      <c r="L26" s="1822">
        <f t="shared" si="0"/>
        <v>0</v>
      </c>
      <c r="M26" s="1825"/>
    </row>
    <row r="27" spans="2:14" ht="20.100000000000001" customHeight="1" x14ac:dyDescent="0.2">
      <c r="B27" s="1113" t="s">
        <v>2135</v>
      </c>
      <c r="C27" s="1823"/>
      <c r="D27" s="1824"/>
      <c r="E27" s="1825">
        <v>0</v>
      </c>
      <c r="F27" s="1825">
        <v>0</v>
      </c>
      <c r="G27" s="1825">
        <v>0</v>
      </c>
      <c r="H27" s="1825"/>
      <c r="I27" s="1825">
        <v>0</v>
      </c>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2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topLeftCell="A25" zoomScale="120" zoomScaleNormal="120" workbookViewId="0">
      <selection activeCell="E40" sqref="E40"/>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 xml:space="preserve"> Mannheim SD 83</v>
      </c>
      <c r="B1" s="2570"/>
      <c r="C1" s="2570"/>
      <c r="D1" s="2570"/>
      <c r="E1" s="2570"/>
      <c r="F1" s="2570"/>
    </row>
    <row r="2" spans="1:7" ht="13.5" customHeight="1" x14ac:dyDescent="0.2">
      <c r="A2" s="2566">
        <f>'Single Audit Cover'!E7</f>
        <v>6016083002</v>
      </c>
      <c r="B2" s="2566"/>
      <c r="C2" s="2566"/>
      <c r="D2" s="2566"/>
      <c r="E2" s="2566"/>
      <c r="F2" s="2566"/>
      <c r="G2" s="1051"/>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2" t="s">
        <v>1705</v>
      </c>
      <c r="C6" s="295"/>
      <c r="D6" s="295"/>
    </row>
    <row r="7" spans="1:7" ht="60.95" customHeight="1" x14ac:dyDescent="0.2">
      <c r="A7" s="2569" t="s">
        <v>2076</v>
      </c>
      <c r="B7" s="2569"/>
      <c r="C7" s="2569"/>
      <c r="D7" s="2569"/>
      <c r="E7" s="2569"/>
      <c r="F7" s="256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524"/>
      <c r="D11" s="1056"/>
      <c r="E11" s="1524"/>
      <c r="F11" s="1056"/>
      <c r="G11" s="1054"/>
    </row>
    <row r="12" spans="1:7" x14ac:dyDescent="0.2">
      <c r="A12" s="1052" t="s">
        <v>1570</v>
      </c>
      <c r="C12" s="1036"/>
      <c r="D12" s="1036"/>
    </row>
    <row r="13" spans="1:7" ht="15" customHeight="1" x14ac:dyDescent="0.2">
      <c r="A13" s="2569" t="s">
        <v>1707</v>
      </c>
      <c r="B13" s="2569"/>
      <c r="C13" s="2569"/>
      <c r="D13" s="2569"/>
      <c r="E13" s="2569"/>
      <c r="F13" s="2569"/>
    </row>
    <row r="14" spans="1:7" ht="9.75" customHeight="1" x14ac:dyDescent="0.2">
      <c r="C14" s="1036"/>
      <c r="D14" s="1036"/>
    </row>
    <row r="15" spans="1:7" ht="13.5" customHeight="1" x14ac:dyDescent="0.2">
      <c r="C15" s="1475" t="s">
        <v>1259</v>
      </c>
      <c r="D15" s="2574" t="s">
        <v>1258</v>
      </c>
      <c r="E15" s="2574"/>
      <c r="F15" s="2574"/>
    </row>
    <row r="16" spans="1:7" ht="13.5" customHeight="1" x14ac:dyDescent="0.2">
      <c r="A16" s="1058"/>
      <c r="B16" s="1052" t="s">
        <v>1257</v>
      </c>
      <c r="C16" s="1475" t="s">
        <v>1256</v>
      </c>
      <c r="D16" s="2575" t="s">
        <v>1571</v>
      </c>
      <c r="E16" s="2575"/>
      <c r="F16" s="2575"/>
    </row>
    <row r="17" spans="1:6" ht="20.45" customHeight="1" x14ac:dyDescent="0.2">
      <c r="A17" s="1059"/>
      <c r="B17" s="1060" t="s">
        <v>2077</v>
      </c>
      <c r="C17" s="1061" t="s">
        <v>2078</v>
      </c>
      <c r="D17" s="2573" t="s">
        <v>2079</v>
      </c>
      <c r="E17" s="2573"/>
      <c r="F17" s="2573"/>
    </row>
    <row r="18" spans="1:6" ht="20.65" customHeight="1" x14ac:dyDescent="0.2">
      <c r="A18" s="1059"/>
      <c r="B18" s="1060"/>
      <c r="C18" s="1061"/>
      <c r="D18" s="2573"/>
      <c r="E18" s="2573"/>
      <c r="F18" s="2573"/>
    </row>
    <row r="19" spans="1:6" ht="20.65" customHeight="1" x14ac:dyDescent="0.2">
      <c r="A19" s="1059"/>
      <c r="B19" s="1060"/>
      <c r="C19" s="1061"/>
      <c r="D19" s="2573"/>
      <c r="E19" s="2573"/>
      <c r="F19" s="2573"/>
    </row>
    <row r="20" spans="1:6" ht="20.65" customHeight="1" x14ac:dyDescent="0.2">
      <c r="A20" s="1059"/>
      <c r="B20" s="1060"/>
      <c r="C20" s="1061"/>
      <c r="D20" s="2573"/>
      <c r="E20" s="2573"/>
      <c r="F20" s="2573"/>
    </row>
    <row r="21" spans="1:6" ht="20.65" customHeight="1" x14ac:dyDescent="0.2">
      <c r="A21" s="1059"/>
      <c r="B21" s="1060"/>
      <c r="C21" s="1061"/>
      <c r="D21" s="2573"/>
      <c r="E21" s="2573"/>
      <c r="F21" s="2573"/>
    </row>
    <row r="22" spans="1:6" ht="20.65" customHeight="1" x14ac:dyDescent="0.2">
      <c r="A22" s="1059"/>
      <c r="B22" s="1060"/>
      <c r="C22" s="1061"/>
      <c r="D22" s="2573"/>
      <c r="E22" s="2573"/>
      <c r="F22" s="2573"/>
    </row>
    <row r="23" spans="1:6" ht="20.65" customHeight="1" x14ac:dyDescent="0.2">
      <c r="A23" s="1059"/>
      <c r="B23" s="1060"/>
      <c r="C23" s="1061"/>
      <c r="D23" s="2573"/>
      <c r="E23" s="2573"/>
      <c r="F23" s="2573"/>
    </row>
    <row r="24" spans="1:6" ht="20.65" customHeight="1" x14ac:dyDescent="0.2">
      <c r="A24" s="1059"/>
      <c r="B24" s="1060"/>
      <c r="C24" s="1061"/>
      <c r="D24" s="2573"/>
      <c r="E24" s="2573"/>
      <c r="F24" s="2573"/>
    </row>
    <row r="25" spans="1:6" ht="20.65" customHeight="1" x14ac:dyDescent="0.2">
      <c r="A25" s="1059"/>
      <c r="B25" s="1060"/>
      <c r="C25" s="1061"/>
      <c r="D25" s="2573"/>
      <c r="E25" s="2573"/>
      <c r="F25" s="2573"/>
    </row>
    <row r="26" spans="1:6" ht="20.65" customHeight="1" x14ac:dyDescent="0.2">
      <c r="A26" s="1059"/>
      <c r="B26" s="1060"/>
      <c r="C26" s="1061"/>
      <c r="D26" s="2573"/>
      <c r="E26" s="2573"/>
      <c r="F26" s="2573"/>
    </row>
    <row r="27" spans="1:6" ht="20.65" customHeight="1" x14ac:dyDescent="0.2">
      <c r="A27" s="1059"/>
      <c r="B27" s="1060"/>
      <c r="C27" s="1061"/>
      <c r="D27" s="2573"/>
      <c r="E27" s="2573"/>
      <c r="F27" s="2573"/>
    </row>
    <row r="28" spans="1:6" ht="20.65" customHeight="1" x14ac:dyDescent="0.2">
      <c r="A28" s="1059"/>
      <c r="B28" s="1060"/>
      <c r="C28" s="1061"/>
      <c r="D28" s="2573"/>
      <c r="E28" s="2573"/>
      <c r="F28" s="2573"/>
    </row>
    <row r="29" spans="1:6" ht="20.65" customHeight="1" x14ac:dyDescent="0.2">
      <c r="A29" s="1059"/>
      <c r="B29" s="1060"/>
      <c r="C29" s="1061"/>
      <c r="D29" s="2573"/>
      <c r="E29" s="2573"/>
      <c r="F29" s="2573"/>
    </row>
    <row r="30" spans="1:6" ht="12" customHeight="1" x14ac:dyDescent="0.2">
      <c r="A30" s="306"/>
      <c r="B30" s="306"/>
      <c r="C30" s="1233"/>
      <c r="D30" s="1525"/>
      <c r="E30" s="1062"/>
    </row>
    <row r="31" spans="1:6" ht="12" customHeight="1" x14ac:dyDescent="0.2">
      <c r="A31" s="1063" t="s">
        <v>1532</v>
      </c>
      <c r="B31" s="306"/>
      <c r="C31" s="1233"/>
      <c r="D31" s="1525"/>
      <c r="E31" s="1062"/>
    </row>
    <row r="32" spans="1:6" ht="30" customHeight="1" x14ac:dyDescent="0.2">
      <c r="A32" s="2577" t="s">
        <v>2080</v>
      </c>
      <c r="B32" s="2577"/>
      <c r="C32" s="2577"/>
      <c r="D32" s="2577"/>
      <c r="E32" s="2577"/>
      <c r="F32" s="2577"/>
    </row>
    <row r="33" spans="1:6" ht="13.5" customHeight="1" x14ac:dyDescent="0.2">
      <c r="A33" s="306" t="s">
        <v>1417</v>
      </c>
      <c r="B33" s="306"/>
      <c r="C33" s="1064">
        <v>43431</v>
      </c>
      <c r="D33" s="1525"/>
      <c r="E33" s="1062"/>
    </row>
    <row r="34" spans="1:6" ht="13.5" customHeight="1" x14ac:dyDescent="0.2">
      <c r="A34" s="306" t="s">
        <v>1809</v>
      </c>
      <c r="B34" s="306"/>
      <c r="C34" s="1065">
        <v>54934</v>
      </c>
      <c r="D34" s="1525" t="s">
        <v>1572</v>
      </c>
      <c r="E34" s="2578">
        <f>+C33+C34</f>
        <v>98365</v>
      </c>
      <c r="F34" s="2579"/>
    </row>
    <row r="35" spans="1:6" ht="12" customHeight="1" x14ac:dyDescent="0.2">
      <c r="A35" s="306"/>
      <c r="B35" s="306"/>
      <c r="C35" s="1526"/>
      <c r="D35" s="1525"/>
      <c r="E35" s="1066"/>
      <c r="F35" s="1067"/>
    </row>
    <row r="36" spans="1:6" ht="13.5" customHeight="1" x14ac:dyDescent="0.2">
      <c r="A36" s="1063" t="s">
        <v>1533</v>
      </c>
      <c r="B36" s="306"/>
      <c r="C36" s="1233"/>
      <c r="D36" s="1525"/>
      <c r="E36" s="1062"/>
    </row>
    <row r="37" spans="1:6" ht="14.25" customHeight="1" x14ac:dyDescent="0.2">
      <c r="A37" s="306" t="s">
        <v>1467</v>
      </c>
      <c r="B37" s="306"/>
      <c r="C37" s="1527"/>
      <c r="D37" s="1525"/>
      <c r="E37" s="1062"/>
    </row>
    <row r="38" spans="1:6" ht="14.25" customHeight="1" x14ac:dyDescent="0.2">
      <c r="A38" s="306"/>
      <c r="B38" s="306" t="s">
        <v>1418</v>
      </c>
      <c r="C38" s="1068">
        <v>0</v>
      </c>
      <c r="D38" s="1525"/>
      <c r="E38" s="1062"/>
    </row>
    <row r="39" spans="1:6" ht="14.25" customHeight="1" x14ac:dyDescent="0.2">
      <c r="A39" s="306"/>
      <c r="B39" s="306" t="s">
        <v>1419</v>
      </c>
      <c r="C39" s="1068">
        <v>0</v>
      </c>
      <c r="D39" s="1525"/>
      <c r="E39" s="1062"/>
    </row>
    <row r="40" spans="1:6" ht="14.25" customHeight="1" x14ac:dyDescent="0.2">
      <c r="A40" s="306"/>
      <c r="B40" s="306" t="s">
        <v>1420</v>
      </c>
      <c r="C40" s="1068">
        <v>0</v>
      </c>
      <c r="D40" s="1525"/>
      <c r="E40" s="1062"/>
    </row>
    <row r="41" spans="1:6" ht="14.25" customHeight="1" x14ac:dyDescent="0.2">
      <c r="A41" s="306"/>
      <c r="B41" s="306" t="s">
        <v>1421</v>
      </c>
      <c r="C41" s="1068">
        <v>0</v>
      </c>
      <c r="D41" s="1525"/>
      <c r="E41" s="1062"/>
    </row>
    <row r="42" spans="1:6" ht="14.25" customHeight="1" x14ac:dyDescent="0.2">
      <c r="A42" s="306" t="s">
        <v>1422</v>
      </c>
      <c r="B42" s="306"/>
      <c r="C42" s="1523">
        <v>0</v>
      </c>
      <c r="D42" s="1525"/>
      <c r="E42" s="1062"/>
    </row>
    <row r="43" spans="1:6" ht="14.25" customHeight="1" x14ac:dyDescent="0.2">
      <c r="A43" s="306" t="s">
        <v>1423</v>
      </c>
      <c r="B43" s="306"/>
      <c r="C43" s="1069" t="s">
        <v>380</v>
      </c>
      <c r="D43" s="1525"/>
      <c r="E43" s="1062"/>
    </row>
    <row r="44" spans="1:6" ht="14.25" customHeight="1" x14ac:dyDescent="0.2">
      <c r="A44" s="306"/>
      <c r="B44" s="306"/>
      <c r="C44" s="1527" t="s">
        <v>1424</v>
      </c>
      <c r="D44" s="1525"/>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0" t="s">
        <v>1573</v>
      </c>
      <c r="C49" s="2580"/>
      <c r="D49" s="2580"/>
      <c r="E49" s="1168"/>
    </row>
    <row r="50" spans="1:5" s="1076" customFormat="1" ht="3.75" customHeight="1" x14ac:dyDescent="0.2">
      <c r="A50" s="1075"/>
      <c r="B50" s="1474"/>
      <c r="C50" s="1474"/>
      <c r="D50" s="1474"/>
      <c r="E50" s="1168"/>
    </row>
    <row r="51" spans="1:5" s="1076" customFormat="1" ht="20.25" customHeight="1" x14ac:dyDescent="0.2">
      <c r="A51" s="1077">
        <v>6</v>
      </c>
      <c r="B51" s="2576" t="s">
        <v>1534</v>
      </c>
      <c r="C51" s="2576"/>
      <c r="D51" s="2576"/>
    </row>
    <row r="52" spans="1:5" ht="14.25" customHeight="1" x14ac:dyDescent="0.2">
      <c r="A52" s="1077"/>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28" zoomScale="110" zoomScaleNormal="110" workbookViewId="0">
      <selection activeCell="C45" sqref="C45"/>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 xml:space="preserve"> Mannheim SD 83</v>
      </c>
      <c r="C1" s="2586"/>
      <c r="D1" s="2586"/>
      <c r="E1" s="2586"/>
      <c r="F1" s="2586"/>
      <c r="G1" s="2586"/>
      <c r="H1" s="2586"/>
      <c r="I1" s="2586"/>
      <c r="J1" s="1178"/>
    </row>
    <row r="2" spans="2:10" s="295" customFormat="1" ht="12.75" customHeight="1" x14ac:dyDescent="0.2">
      <c r="B2" s="2587">
        <f>'Single Audit Cover'!E7</f>
        <v>6016083002</v>
      </c>
      <c r="C2" s="2588"/>
      <c r="D2" s="2588"/>
      <c r="E2" s="2588"/>
      <c r="F2" s="2588"/>
      <c r="G2" s="2588"/>
      <c r="H2" s="2588"/>
      <c r="I2" s="2588"/>
      <c r="J2" s="1178"/>
    </row>
    <row r="3" spans="2:10" s="295" customFormat="1" ht="12.75" customHeight="1" x14ac:dyDescent="0.2">
      <c r="B3" s="2589" t="s">
        <v>1274</v>
      </c>
      <c r="C3" s="2590"/>
      <c r="D3" s="2590"/>
      <c r="E3" s="2590"/>
      <c r="F3" s="2590"/>
      <c r="G3" s="2590"/>
      <c r="H3" s="2590"/>
      <c r="I3" s="2590"/>
      <c r="J3" s="1179"/>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9" t="s">
        <v>1273</v>
      </c>
      <c r="C7" s="2590"/>
      <c r="D7" s="2590"/>
      <c r="E7" s="2590"/>
      <c r="F7" s="2590"/>
      <c r="G7" s="2590"/>
      <c r="H7" s="2590"/>
      <c r="I7" s="2590"/>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1" t="s">
        <v>1154</v>
      </c>
      <c r="D11" s="2591"/>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2049</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2049</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2049</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2049</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2049</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2" t="s">
        <v>2081</v>
      </c>
      <c r="E29" s="2592"/>
      <c r="F29" s="2592"/>
      <c r="G29" s="2592"/>
      <c r="H29" s="2592"/>
      <c r="I29" s="2592"/>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2049</v>
      </c>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93" t="s">
        <v>1726</v>
      </c>
      <c r="D37" s="2594"/>
      <c r="E37" s="2594"/>
      <c r="F37" s="2595"/>
      <c r="G37" s="2593" t="s">
        <v>1575</v>
      </c>
      <c r="H37" s="2594"/>
      <c r="I37" s="2595"/>
    </row>
    <row r="38" spans="2:9" ht="16.5" customHeight="1" x14ac:dyDescent="0.2">
      <c r="B38" s="1200" t="s">
        <v>2083</v>
      </c>
      <c r="C38" s="2581" t="s">
        <v>2082</v>
      </c>
      <c r="D38" s="2582"/>
      <c r="E38" s="2582"/>
      <c r="F38" s="2583"/>
      <c r="G38" s="2596">
        <v>1218743</v>
      </c>
      <c r="H38" s="2597"/>
      <c r="I38" s="2598"/>
    </row>
    <row r="39" spans="2:9" ht="16.5" customHeight="1" x14ac:dyDescent="0.2">
      <c r="B39" s="1200"/>
      <c r="C39" s="2581"/>
      <c r="D39" s="2582"/>
      <c r="E39" s="2582"/>
      <c r="F39" s="2583"/>
      <c r="G39" s="2584"/>
      <c r="H39" s="2584"/>
      <c r="I39" s="2584"/>
    </row>
    <row r="40" spans="2:9" ht="16.5" customHeight="1" x14ac:dyDescent="0.2">
      <c r="B40" s="1200"/>
      <c r="C40" s="2581"/>
      <c r="D40" s="2582"/>
      <c r="E40" s="2582"/>
      <c r="F40" s="2583"/>
      <c r="G40" s="2584"/>
      <c r="H40" s="2584"/>
      <c r="I40" s="2584"/>
    </row>
    <row r="41" spans="2:9" ht="16.5" customHeight="1" x14ac:dyDescent="0.2">
      <c r="B41" s="1200"/>
      <c r="C41" s="2581"/>
      <c r="D41" s="2582"/>
      <c r="E41" s="2582"/>
      <c r="F41" s="2583"/>
      <c r="G41" s="2584"/>
      <c r="H41" s="2584"/>
      <c r="I41" s="2584"/>
    </row>
    <row r="42" spans="2:9" ht="16.5" customHeight="1" x14ac:dyDescent="0.2">
      <c r="B42" s="1200"/>
      <c r="C42" s="2581"/>
      <c r="D42" s="2582"/>
      <c r="E42" s="2582"/>
      <c r="F42" s="2583"/>
      <c r="G42" s="2584"/>
      <c r="H42" s="2584"/>
      <c r="I42" s="2584"/>
    </row>
    <row r="43" spans="2:9" ht="16.5" customHeight="1" x14ac:dyDescent="0.2">
      <c r="B43" s="1200"/>
      <c r="C43" s="2599" t="s">
        <v>1576</v>
      </c>
      <c r="D43" s="2600"/>
      <c r="E43" s="2600"/>
      <c r="F43" s="2601"/>
      <c r="G43" s="2602">
        <f>SUM(G38:I42)</f>
        <v>1218743</v>
      </c>
      <c r="H43" s="2602"/>
      <c r="I43" s="2602"/>
    </row>
    <row r="44" spans="2:9" ht="12.75" customHeight="1" x14ac:dyDescent="0.2"/>
    <row r="45" spans="2:9" ht="12.75" customHeight="1" x14ac:dyDescent="0.2">
      <c r="B45" s="1916" t="str">
        <f>"Total Federal Expenditures for 7/1/"&amp;MID('AFR20'!E2,3,2)-1&amp;"-6/30/"&amp;MID('AFR20'!E2,3,2)</f>
        <v>Total Federal Expenditures for 7/1/19-6/30/20</v>
      </c>
      <c r="C45" s="1917"/>
      <c r="D45" s="2603">
        <v>2618747</v>
      </c>
      <c r="E45" s="2604"/>
    </row>
    <row r="46" spans="2:9" ht="5.25" customHeight="1" x14ac:dyDescent="0.2">
      <c r="B46" s="1201"/>
      <c r="D46" s="1202"/>
      <c r="E46" s="1203"/>
    </row>
    <row r="47" spans="2:9" ht="12.75" customHeight="1" x14ac:dyDescent="0.2">
      <c r="B47" s="1076" t="s">
        <v>1577</v>
      </c>
      <c r="C47" s="1076"/>
      <c r="D47" s="1204">
        <f>+G43/D45</f>
        <v>0.46539165486394829</v>
      </c>
      <c r="E47" s="1205"/>
      <c r="F47" s="1206"/>
      <c r="I47" s="1207"/>
    </row>
    <row r="48" spans="2:9" ht="9.9499999999999993" customHeight="1" x14ac:dyDescent="0.2"/>
    <row r="49" spans="1:9" x14ac:dyDescent="0.2">
      <c r="B49" s="1138" t="s">
        <v>1262</v>
      </c>
      <c r="C49" s="1058"/>
      <c r="D49" s="1058"/>
      <c r="E49" s="2605">
        <v>750000</v>
      </c>
      <c r="F49" s="2605"/>
      <c r="G49" s="2605"/>
      <c r="H49" s="300"/>
    </row>
    <row r="51" spans="1:9" ht="13.5" customHeight="1" x14ac:dyDescent="0.2">
      <c r="B51" s="1138" t="s">
        <v>1261</v>
      </c>
      <c r="C51" s="1058"/>
      <c r="E51" s="1194" t="s">
        <v>2049</v>
      </c>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24" header="0.26" footer="0.28999999999999998"/>
  <pageSetup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 xml:space="preserve"> Mannheim SD 83</v>
      </c>
      <c r="C1" s="2585"/>
      <c r="D1" s="2585"/>
      <c r="E1" s="2585"/>
      <c r="F1" s="2585"/>
      <c r="G1" s="2585"/>
      <c r="H1" s="2585"/>
      <c r="I1" s="2585"/>
      <c r="J1" s="2585"/>
      <c r="K1" s="2585"/>
      <c r="L1" s="1144"/>
      <c r="M1" s="1144"/>
    </row>
    <row r="2" spans="1:13" ht="12" customHeight="1" x14ac:dyDescent="0.2">
      <c r="B2" s="2587">
        <f>'Single Audit Cover'!E7</f>
        <v>6016083002</v>
      </c>
      <c r="C2" s="2587"/>
      <c r="D2" s="2587"/>
      <c r="E2" s="2587"/>
      <c r="F2" s="2587"/>
      <c r="G2" s="2587"/>
      <c r="H2" s="2587"/>
      <c r="I2" s="2587"/>
      <c r="J2" s="2587"/>
      <c r="K2" s="2587"/>
      <c r="L2" s="1145"/>
      <c r="M2" s="1146"/>
    </row>
    <row r="3" spans="1:13" ht="10.35" customHeight="1" x14ac:dyDescent="0.2">
      <c r="B3" s="2608" t="s">
        <v>1274</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1285</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918" t="str">
        <f>'AFR20'!$E$2&amp;"-"</f>
        <v>2020-</v>
      </c>
      <c r="D10" s="1155" t="s">
        <v>2078</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7" t="s">
        <v>2077</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7"/>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11"/>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7"/>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7"/>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6"/>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06"/>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1275</v>
      </c>
      <c r="C39" s="1076"/>
      <c r="M39" s="1177"/>
    </row>
    <row r="40" spans="1:13" ht="12.6" customHeight="1" x14ac:dyDescent="0.2">
      <c r="B40" s="1176" t="s">
        <v>1722</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O12" sqref="O1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Mannheim SD 83</v>
      </c>
      <c r="C1" s="2612"/>
      <c r="D1" s="2612"/>
      <c r="E1" s="2612"/>
      <c r="F1" s="2612"/>
      <c r="G1" s="2612"/>
      <c r="H1" s="2612"/>
      <c r="I1" s="2612"/>
      <c r="J1" s="2612"/>
      <c r="K1" s="2612"/>
      <c r="L1" s="1221"/>
    </row>
    <row r="2" spans="1:12" ht="12.75" customHeight="1" x14ac:dyDescent="0.2">
      <c r="B2" s="2613">
        <f>'Single Audit Cover'!E7</f>
        <v>6016083002</v>
      </c>
      <c r="C2" s="2613"/>
      <c r="D2" s="2613"/>
      <c r="E2" s="2613"/>
      <c r="F2" s="2613"/>
      <c r="G2" s="2613"/>
      <c r="H2" s="2613"/>
      <c r="I2" s="2613"/>
      <c r="J2" s="2613"/>
      <c r="K2" s="2613"/>
      <c r="L2" s="1222"/>
    </row>
    <row r="3" spans="1:12" ht="12.75" customHeight="1" x14ac:dyDescent="0.2">
      <c r="B3" s="2608" t="s">
        <v>1274</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1159</v>
      </c>
      <c r="C5" s="1036"/>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918" t="str">
        <f>'AFR20'!$E$2&amp;"-"</f>
        <v>2020-</v>
      </c>
      <c r="D8" s="1223" t="s">
        <v>2078</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2"/>
      <c r="G12" s="2592"/>
      <c r="H12" s="2592"/>
      <c r="I12" s="2592"/>
      <c r="J12" s="2592"/>
      <c r="K12" s="2592"/>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5"/>
      <c r="E14" s="2615"/>
      <c r="F14" s="2615"/>
      <c r="H14" s="1230" t="s">
        <v>1292</v>
      </c>
      <c r="I14" s="2616"/>
      <c r="J14" s="2616"/>
      <c r="K14" s="2616"/>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6"/>
      <c r="E16" s="2616"/>
      <c r="F16" s="2616"/>
      <c r="G16" s="2616"/>
      <c r="H16" s="2616"/>
      <c r="I16" s="2616"/>
      <c r="J16" s="2616"/>
      <c r="K16" s="2616"/>
      <c r="L16" s="300"/>
    </row>
    <row r="17" spans="2:12" ht="13.5" customHeight="1" x14ac:dyDescent="0.2">
      <c r="B17" s="1156" t="s">
        <v>1290</v>
      </c>
      <c r="C17" s="1156"/>
      <c r="D17" s="2617"/>
      <c r="E17" s="2617"/>
      <c r="F17" s="2617"/>
      <c r="G17" s="2617"/>
      <c r="H17" s="2617"/>
      <c r="I17" s="2617"/>
      <c r="J17" s="2617"/>
      <c r="K17" s="2617"/>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7" t="s">
        <v>2077</v>
      </c>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12" sqref="C1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5" t="str">
        <f>'Single Audit Cover'!A7</f>
        <v xml:space="preserve"> Mannheim SD 83</v>
      </c>
      <c r="C1" s="2585"/>
      <c r="D1" s="2585"/>
      <c r="E1" s="1240"/>
    </row>
    <row r="2" spans="2:5" s="1058" customFormat="1" ht="12.75" customHeight="1" x14ac:dyDescent="0.2">
      <c r="B2" s="2587">
        <f>'Single Audit Cover'!E7</f>
        <v>6016083002</v>
      </c>
      <c r="C2" s="2587"/>
      <c r="D2" s="2587"/>
      <c r="E2" s="1241"/>
    </row>
    <row r="3" spans="2:5" ht="12.75" customHeight="1" x14ac:dyDescent="0.2">
      <c r="B3" s="2608" t="s">
        <v>1741</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1742</v>
      </c>
      <c r="C5" s="306"/>
      <c r="D5" s="306"/>
      <c r="E5" s="306"/>
    </row>
    <row r="6" spans="2:5" s="1058" customFormat="1" ht="13.5" customHeight="1" x14ac:dyDescent="0.2">
      <c r="B6" s="1244" t="s">
        <v>1304</v>
      </c>
      <c r="C6" s="1244" t="s">
        <v>1303</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301" t="s">
        <v>2077</v>
      </c>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1302</v>
      </c>
      <c r="C44" s="300"/>
    </row>
    <row r="45" spans="2:5" ht="12.2" customHeight="1" x14ac:dyDescent="0.2">
      <c r="B45" s="1253" t="s">
        <v>1744</v>
      </c>
    </row>
    <row r="46" spans="2:5" ht="12.2" customHeight="1" x14ac:dyDescent="0.2">
      <c r="B46" s="1253" t="s">
        <v>1745</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schemas.microsoft.com/sharepoint/v3"/>
    <ds:schemaRef ds:uri="d21dc803-237d-4c68-8692-8d731fd29118"/>
    <ds:schemaRef ds:uri="4d435f69-8686-490b-bd6d-b153bf22ab5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6ce3111e-7420-4802-b50a-75d4e9a0b980"/>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2020-11-17T18:45:51Z</cp:lastPrinted>
  <dcterms:created xsi:type="dcterms:W3CDTF">2003-10-29T19:06:34Z</dcterms:created>
  <dcterms:modified xsi:type="dcterms:W3CDTF">2021-04-22T16:34:52Z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