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A33FCEA-2FED-4C55-B596-23A9FE7E1A08}"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4" i="37"/>
  <c r="B4270" i="106" s="1"/>
  <c r="D4270" i="106" s="1"/>
  <c r="F50" i="34" l="1"/>
  <c r="L22" i="37"/>
  <c r="D22" i="37"/>
  <c r="H33" i="118"/>
  <c r="H76" i="4"/>
  <c r="B3298" i="106" s="1"/>
  <c r="D3298" i="106" s="1"/>
  <c r="B6289" i="106"/>
  <c r="D6289" i="106" s="1"/>
  <c r="F67" i="34"/>
  <c r="F71" i="34"/>
  <c r="G14" i="4"/>
  <c r="B2609" i="106" s="1"/>
  <c r="D2609" i="106" s="1"/>
  <c r="F34" i="34"/>
  <c r="B7826" i="106" s="1"/>
  <c r="D7826" i="106" s="1"/>
  <c r="C342" i="29"/>
  <c r="B7216" i="106" s="1"/>
  <c r="D7216" i="106" s="1"/>
  <c r="J129" i="29"/>
  <c r="B7038" i="106" s="1"/>
  <c r="D7038" i="106" s="1"/>
  <c r="B7047" i="106"/>
  <c r="D7047" i="106" s="1"/>
  <c r="F37" i="34"/>
  <c r="B7829" i="106" s="1"/>
  <c r="D7829" i="106" s="1"/>
  <c r="H12" i="184"/>
  <c r="F72" i="34"/>
  <c r="B1130" i="106"/>
  <c r="D1130" i="106" s="1"/>
  <c r="E10" i="108"/>
  <c r="E30" i="108" s="1"/>
  <c r="H15" i="184"/>
  <c r="D31" i="108"/>
  <c r="E16" i="184"/>
  <c r="H16" i="184" s="1"/>
  <c r="G33" i="108"/>
  <c r="E17" i="184"/>
  <c r="H17" i="184" s="1"/>
  <c r="C129" i="29"/>
  <c r="B1225" i="106" s="1"/>
  <c r="D1225" i="106" s="1"/>
  <c r="F77" i="4"/>
  <c r="B3255" i="106" s="1"/>
  <c r="D3255" i="106" s="1"/>
  <c r="H365" i="29"/>
  <c r="B7242" i="106" s="1"/>
  <c r="D7242" i="106" s="1"/>
  <c r="B7198" i="106"/>
  <c r="D7198" i="106" s="1"/>
  <c r="E65" i="184"/>
  <c r="N65" i="184" s="1"/>
  <c r="B7126" i="106"/>
  <c r="D7126" i="106" s="1"/>
  <c r="E57" i="184"/>
  <c r="B7162" i="106"/>
  <c r="D7162" i="106" s="1"/>
  <c r="E61" i="184"/>
  <c r="N61" i="184" s="1"/>
  <c r="B7189" i="106"/>
  <c r="D7189" i="106" s="1"/>
  <c r="E64" i="184"/>
  <c r="N64" i="184" s="1"/>
  <c r="B7180" i="106"/>
  <c r="D7180" i="106" s="1"/>
  <c r="E63" i="184"/>
  <c r="N63" i="184" s="1"/>
  <c r="B7171" i="106"/>
  <c r="D7171" i="106" s="1"/>
  <c r="E62" i="184"/>
  <c r="N62" i="184" s="1"/>
  <c r="B7153" i="106"/>
  <c r="D7153" i="106" s="1"/>
  <c r="E60" i="184"/>
  <c r="N60" i="184" s="1"/>
  <c r="B7705" i="106"/>
  <c r="D7705" i="106" s="1"/>
  <c r="E67" i="184"/>
  <c r="N67" i="184" s="1"/>
  <c r="H342" i="29"/>
  <c r="B7221" i="106" s="1"/>
  <c r="D7221" i="106" s="1"/>
  <c r="B7696" i="106"/>
  <c r="D7696" i="106" s="1"/>
  <c r="E66" i="184"/>
  <c r="N66" i="184" s="1"/>
  <c r="B7135" i="106"/>
  <c r="D7135" i="106" s="1"/>
  <c r="E58" i="184"/>
  <c r="N58" i="184" s="1"/>
  <c r="J210" i="29"/>
  <c r="B7072" i="106" s="1"/>
  <c r="D7072" i="106" s="1"/>
  <c r="I210" i="29"/>
  <c r="B7071" i="106" s="1"/>
  <c r="D7071" i="106" s="1"/>
  <c r="I129" i="29"/>
  <c r="B7037" i="106" s="1"/>
  <c r="D7037" i="106" s="1"/>
  <c r="C352" i="29"/>
  <c r="B3621" i="106" s="1"/>
  <c r="D3621" i="106" s="1"/>
  <c r="D69" i="3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2058" i="106" l="1"/>
  <c r="D2058" i="106" s="1"/>
  <c r="M18" i="3"/>
  <c r="B275" i="106" s="1"/>
  <c r="D275" i="106" s="1"/>
  <c r="B2059" i="106"/>
  <c r="D2059" i="106" s="1"/>
  <c r="M19" i="3"/>
  <c r="B276" i="106" s="1"/>
  <c r="D276" i="106" s="1"/>
  <c r="B3459" i="106"/>
  <c r="D3459" i="106" s="1"/>
  <c r="M20" i="3"/>
  <c r="B2864" i="106" s="1"/>
  <c r="D2864" i="106" s="1"/>
  <c r="B2056" i="106"/>
  <c r="D2056" i="106" s="1"/>
  <c r="M16" i="3"/>
  <c r="B2057" i="106"/>
  <c r="D2057" i="106" s="1"/>
  <c r="M17" i="3"/>
  <c r="B274" i="106" s="1"/>
  <c r="D274" i="106" s="1"/>
  <c r="F66" i="34"/>
  <c r="C151" i="29"/>
  <c r="B1226" i="106" s="1"/>
  <c r="D1226" i="106" s="1"/>
  <c r="H77" i="4"/>
  <c r="B3299" i="106" s="1"/>
  <c r="D3299" i="106" s="1"/>
  <c r="D44" i="36"/>
  <c r="J151" i="29"/>
  <c r="B7052" i="106" s="1"/>
  <c r="D7052" i="106" s="1"/>
  <c r="B1266" i="106"/>
  <c r="D1266" i="106" s="1"/>
  <c r="B3730" i="106"/>
  <c r="D3730" i="106" s="1"/>
  <c r="G30" i="108"/>
  <c r="F41" i="108"/>
  <c r="G43" i="108" s="1"/>
  <c r="H19" i="184"/>
  <c r="L20" i="184" s="1"/>
  <c r="E19" i="184"/>
  <c r="B5527" i="106"/>
  <c r="D5527" i="106" s="1"/>
  <c r="B5770" i="106"/>
  <c r="D5770" i="106" s="1"/>
  <c r="I7" i="4"/>
  <c r="B4444" i="106" s="1"/>
  <c r="D4444" i="106" s="1"/>
  <c r="K77" i="4"/>
  <c r="B3587" i="106" s="1"/>
  <c r="D3587" i="106" s="1"/>
  <c r="K342" i="29"/>
  <c r="F13" i="34" s="1"/>
  <c r="B6216" i="106"/>
  <c r="D6216" i="106" s="1"/>
  <c r="I151" i="29"/>
  <c r="F59" i="34" s="1"/>
  <c r="C367" i="29"/>
  <c r="B3622" i="106" s="1"/>
  <c r="D3622" i="106" s="1"/>
  <c r="N57" i="184"/>
  <c r="N68" i="184" s="1"/>
  <c r="E68" i="184"/>
  <c r="B1381" i="106"/>
  <c r="D1381" i="106" s="1"/>
  <c r="J16" i="4"/>
  <c r="B6226" i="106" s="1"/>
  <c r="D6226" i="106" s="1"/>
  <c r="B1328" i="106"/>
  <c r="D1328" i="106" s="1"/>
  <c r="K365" i="29"/>
  <c r="K16" i="4" s="1"/>
  <c r="E367" i="29"/>
  <c r="B3636" i="106" s="1"/>
  <c r="D3636" i="106" s="1"/>
  <c r="B3635" i="106"/>
  <c r="D3635" i="106" s="1"/>
  <c r="B7222" i="106"/>
  <c r="D7222" i="106" s="1"/>
  <c r="F76" i="34"/>
  <c r="B7887" i="106" s="1"/>
  <c r="D7887" i="106" s="1"/>
  <c r="B7235" i="106"/>
  <c r="D7235" i="106" s="1"/>
  <c r="B7220" i="106"/>
  <c r="D7220" i="106" s="1"/>
  <c r="F75" i="34"/>
  <c r="B7886" i="106" s="1"/>
  <c r="D7886" i="106" s="1"/>
  <c r="B7215" i="106"/>
  <c r="D7215" i="106" s="1"/>
  <c r="L114" i="29"/>
  <c r="L16" i="1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B2061" i="106"/>
  <c r="D2061" i="106" s="1"/>
  <c r="M40" i="3"/>
  <c r="B7224" i="106"/>
  <c r="D7224" i="106" s="1"/>
  <c r="B7051" i="106"/>
  <c r="D7051" i="106" s="1"/>
  <c r="B1145" i="106"/>
  <c r="D1145" i="106" s="1"/>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D54" i="36"/>
  <c r="B3678" i="106"/>
  <c r="D3678" i="106" s="1"/>
  <c r="B6223" i="106"/>
  <c r="D6223" i="106" s="1"/>
  <c r="F8" i="4"/>
  <c r="F10" i="4" s="1"/>
  <c r="B4125" i="106" s="1"/>
  <c r="D4125" i="106" s="1"/>
  <c r="J20" i="4"/>
  <c r="B6230" i="106" s="1"/>
  <c r="D6230" i="106" s="1"/>
  <c r="B6227" i="106"/>
  <c r="D6227" i="106" s="1"/>
  <c r="F77" i="34"/>
  <c r="B7834" i="106" s="1"/>
  <c r="D7834" i="106" s="1"/>
  <c r="K17" i="4"/>
  <c r="K20"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J78" i="4"/>
  <c r="J81" i="4" s="1"/>
  <c r="B3575" i="106"/>
  <c r="D3575" i="106"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B6263" i="106"/>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<sst xmlns="http://schemas.openxmlformats.org/spreadsheetml/2006/main" count="5163" uniqueCount="2088">
  <si>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</si>
  <si>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</si>
  <si>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</si>
  <si>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</si>
  <si>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</si>
  <si>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</si>
  <si>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</si>
  <si>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</si>
  <si>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</si>
  <si>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</si>
  <si>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</si>
  <si>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</si>
  <si>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</si>
  <si>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</si>
  <si>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</si>
  <si>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</si>
  <si>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</si>
  <si>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</si>
  <si>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</si>
  <si>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</si>
  <si>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</si>
  <si>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</si>
  <si>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</si>
  <si>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</si>
  <si>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</si>
  <si>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</si>
  <si>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</si>
  <si>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</si>
  <si>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</si>
  <si>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</si>
  <si>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</si>
  <si>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</si>
  <si>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</si>
  <si>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</si>
  <si>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</si>
  <si>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</si>
  <si>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</si>
  <si>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</si>
  <si>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</si>
  <si>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</si>
  <si>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</si>
  <si>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</si>
  <si>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</si>
  <si>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</si>
  <si>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</si>
  <si>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</si>
  <si>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</si>
  <si>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</si>
  <si>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</si>
  <si>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</si>
  <si>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</si>
  <si>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</si>
  <si>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</si>
  <si>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</si>
  <si>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</si>
  <si>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</si>
  <si>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</si>
  <si>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</si>
  <si>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</si>
  <si>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</si>
  <si>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</si>
  <si>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</si>
  <si>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</si>
  <si>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</si>
  <si>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</si>
  <si>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</si>
  <si>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</si>
  <si>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</si>
  <si>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</si>
  <si>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</si>
  <si>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</si>
  <si>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</si>
  <si>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</si>
  <si>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</si>
  <si>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</si>
  <si>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</si>
  <si>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</si>
  <si>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</si>
  <si>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</si>
  <si>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</si>
  <si>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</si>
  <si>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</si>
  <si>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</si>
  <si>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</si>
  <si>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</si>
  <si>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</si>
  <si>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</si>
  <si>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</si>
  <si>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</si>
  <si>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</si>
  <si>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</si>
  <si>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</si>
  <si>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</si>
  <si>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</si>
  <si>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</si>
  <si>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</si>
  <si>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</si>
  <si>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</si>
  <si>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</si>
  <si>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</si>
  <si>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</si>
  <si>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</si>
  <si>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</si>
  <si>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</si>
  <si>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</si>
  <si>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</si>
  <si>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</si>
  <si>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</si>
  <si>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</si>
  <si>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</si>
  <si>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</si>
  <si>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</si>
  <si>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</si>
  <si>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</si>
  <si>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</si>
  <si>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</si>
  <si>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</si>
  <si>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</si>
  <si>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</si>
  <si>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</si>
  <si>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</si>
  <si>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</si>
  <si>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</si>
  <si>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</si>
  <si>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</si>
  <si>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</si>
  <si>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</si>
  <si>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</si>
  <si>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</si>
  <si>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</si>
  <si>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</si>
  <si>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</si>
  <si>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</si>
  <si>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</si>
  <si>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</si>
  <si>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</si>
  <si>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</si>
  <si>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</si>
  <si>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</si>
  <si>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</si>
  <si>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</si>
  <si>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</si>
  <si>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</si>
  <si>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</si>
  <si>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</si>
  <si>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</si>
  <si>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</si>
  <si>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</si>
  <si>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</si>
  <si>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</si>
  <si>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</si>
  <si>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</si>
  <si>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</si>
  <si>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</si>
  <si>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</si>
  <si>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</si>
  <si>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</si>
  <si>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</si>
  <si>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</si>
  <si>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</si>
  <si>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</si>
  <si>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</si>
  <si>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</si>
  <si>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</si>
  <si>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</si>
  <si>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</si>
  <si>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</si>
  <si>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</si>
  <si>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</si>
  <si>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</si>
  <si>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</si>
  <si>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</si>
  <si>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</si>
  <si>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</si>
  <si>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</si>
  <si>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</si>
  <si>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</si>
  <si>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</si>
  <si>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</si>
  <si>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</si>
  <si>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</si>
  <si>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</si>
  <si>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</si>
  <si>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</si>
  <si>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</si>
  <si>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</si>
  <si>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</si>
  <si>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</si>
  <si>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</si>
  <si>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</si>
  <si>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</si>
  <si>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</si>
  <si>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</si>
  <si>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</si>
  <si>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</si>
  <si>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</si>
  <si>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</si>
  <si>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</si>
  <si>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</si>
  <si>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</si>
  <si>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</si>
  <si>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</si>
  <si>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</si>
  <si>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</si>
  <si>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</si>
  <si>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</si>
  <si>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</si>
  <si>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</si>
  <si>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</si>
  <si>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</si>
  <si>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</si>
  <si>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</si>
  <si>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</si>
  <si>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</si>
  <si>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</si>
  <si>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</si>
  <si>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</si>
  <si>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</si>
  <si>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</si>
  <si>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</si>
  <si>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</si>
  <si>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</si>
  <si>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</si>
  <si>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</si>
  <si>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</si>
  <si>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</si>
  <si>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</si>
  <si>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</si>
  <si>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</si>
  <si>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</si>
  <si>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</si>
  <si>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</si>
  <si>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</si>
  <si>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</si>
  <si>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</si>
  <si>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</si>
  <si>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</si>
  <si>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</si>
  <si>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</si>
  <si>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</si>
  <si>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</si>
  <si>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</si>
  <si>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</si>
  <si>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</si>
  <si>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</si>
  <si>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</si>
  <si>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</si>
  <si>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</si>
  <si>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</si>
  <si>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</si>
  <si>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</si>
  <si>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</si>
  <si>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</si>
  <si>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</si>
  <si>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</si>
  <si>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</si>
  <si>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</si>
  <si>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</si>
  <si>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</si>
  <si>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</si>
  <si>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</si>
  <si>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</si>
  <si>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</si>
  <si>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</si>
  <si>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</si>
  <si>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</si>
  <si>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</si>
  <si>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</si>
  <si>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</si>
  <si>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</si>
  <si>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</si>
  <si>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</si>
  <si>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</si>
  <si>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</si>
  <si>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</si>
  <si>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</si>
  <si>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</si>
  <si>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</si>
  <si>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</si>
  <si>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</si>
  <si>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</si>
  <si>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</si>
  <si>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</si>
  <si>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</si>
  <si>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</si>
  <si>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</si>
  <si>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</si>
  <si>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</si>
  <si>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</si>
  <si>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</si>
  <si>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</si>
  <si>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</si>
  <si>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</si>
  <si>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</si>
  <si>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</si>
  <si>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</si>
  <si>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</si>
  <si>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</si>
  <si>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</si>
  <si>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</si>
  <si>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</si>
  <si>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</si>
  <si>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</si>
  <si>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</si>
  <si>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</si>
  <si>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</si>
  <si>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</si>
  <si>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</si>
  <si>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</si>
  <si>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</si>
  <si>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</si>
  <si>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</si>
  <si>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</si>
  <si>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</si>
  <si>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</si>
  <si>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</si>
  <si>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</si>
  <si>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</si>
  <si>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</si>
  <si>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</si>
  <si>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</si>
  <si>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</si>
  <si>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</si>
  <si>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</si>
  <si>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</si>
  <si>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</si>
  <si>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</si>
  <si>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</si>
  <si>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</si>
  <si>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</si>
  <si>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</si>
  <si>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</si>
  <si>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</si>
  <si>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</si>
  <si>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</si>
  <si>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</si>
  <si>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</si>
  <si>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</si>
  <si>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</si>
  <si>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</si>
  <si>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</si>
  <si>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</si>
  <si>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</si>
  <si>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</si>
  <si>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</si>
  <si>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</si>
  <si>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</si>
  <si>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</si>
  <si>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</si>
  <si>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</si>
  <si>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</si>
  <si>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</si>
  <si>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</si>
  <si>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</si>
  <si>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</si>
  <si>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</si>
  <si>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</si>
  <si>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</si>
  <si>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</si>
  <si>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</si>
  <si>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</si>
  <si>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</si>
  <si>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</si>
  <si>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</si>
  <si>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</si>
  <si>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</si>
  <si>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</si>
  <si>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</si>
  <si>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</si>
  <si>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</si>
  <si>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</si>
  <si>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</si>
  <si>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</si>
  <si>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</si>
  <si>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</si>
  <si>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</si>
  <si>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</si>
  <si>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</si>
  <si>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</si>
  <si>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</si>
  <si>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</si>
  <si>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</si>
  <si>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</si>
  <si>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</si>
  <si>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</si>
  <si>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</si>
  <si>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</si>
  <si>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</si>
  <si>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</si>
  <si>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</si>
  <si>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</si>
  <si>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</si>
  <si>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</si>
  <si>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</si>
  <si>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</si>
  <si>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</si>
  <si>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</si>
  <si>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</si>
  <si>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</si>
  <si>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</si>
  <si>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</si>
  <si>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</si>
  <si>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</si>
  <si>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</si>
  <si>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</si>
  <si>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</si>
  <si>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</si>
  <si>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</si>
  <si>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</si>
  <si>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</si>
  <si>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</si>
  <si>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</si>
  <si>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</si>
  <si>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</si>
  <si>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</si>
  <si>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</si>
  <si>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</si>
  <si>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</si>
  <si>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</si>
  <si>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</si>
  <si>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</si>
  <si>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</si>
  <si>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</si>
  <si>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</si>
  <si>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</si>
  <si>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</si>
  <si>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</si>
  <si>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</si>
  <si>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</si>
  <si>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</si>
  <si>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</si>
  <si>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</si>
  <si>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</si>
  <si>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</si>
  <si>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</si>
  <si>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</si>
  <si>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</si>
  <si>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</si>
  <si>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</si>
  <si>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</si>
  <si>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</si>
  <si>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</si>
  <si>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</si>
  <si>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</si>
  <si>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</si>
  <si>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</si>
  <si>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</si>
  <si>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</si>
  <si>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</si>
  <si>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</si>
  <si>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</si>
  <si>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</si>
  <si>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</si>
  <si>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</si>
  <si>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</si>
  <si>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</si>
  <si>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</si>
  <si>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</si>
  <si>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</si>
  <si>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</si>
  <si>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</si>
  <si>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</si>
  <si>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</si>
  <si>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</si>
  <si>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</si>
  <si>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</si>
  <si>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</si>
  <si>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</si>
  <si>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</si>
  <si>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</si>
  <si>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</si>
  <si>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</si>
  <si>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</si>
  <si>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</si>
  <si>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</si>
  <si>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</si>
  <si>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</si>
  <si>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</si>
  <si>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</si>
  <si>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</si>
  <si>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</si>
  <si>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</si>
  <si>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</si>
  <si>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</si>
  <si>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</si>
  <si>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</si>
  <si>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</si>
  <si>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</si>
  <si>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</si>
  <si>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</si>
  <si>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</si>
  <si>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</si>
  <si>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</si>
  <si>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</si>
  <si>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</si>
  <si>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</si>
  <si>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</si>
  <si>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</si>
  <si>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</si>
  <si>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</si>
  <si>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</si>
  <si>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</si>
  <si>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</si>
  <si>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</si>
  <si>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</si>
  <si>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</si>
  <si>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</si>
  <si>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</si>
  <si>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</si>
  <si>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</si>
  <si>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</si>
  <si>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</si>
  <si>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</si>
  <si>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</si>
  <si>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</si>
  <si>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</si>
  <si>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</si>
  <si>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</si>
  <si>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</si>
  <si>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</si>
  <si>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</si>
  <si>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</si>
  <si>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</si>
  <si>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</si>
  <si>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</si>
  <si>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</si>
  <si>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</si>
  <si>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</si>
  <si>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</si>
  <si>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</si>
  <si>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</si>
  <si>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</si>
  <si>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</si>
  <si>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</si>
  <si>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</si>
  <si>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</si>
  <si>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</si>
  <si>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</si>
  <si>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</si>
  <si>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</si>
  <si>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</si>
  <si>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</si>
  <si>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</si>
  <si>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</si>
  <si>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</si>
  <si>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</si>
  <si>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</si>
  <si>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</si>
  <si>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</si>
  <si>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</si>
  <si>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</si>
  <si>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</si>
  <si>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</si>
  <si>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</si>
  <si>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</si>
  <si>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</si>
  <si>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</si>
  <si>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</si>
  <si>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</si>
  <si>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</si>
  <si>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</si>
  <si>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</si>
  <si>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</si>
  <si>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</si>
  <si>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</si>
  <si>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</si>
  <si>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</si>
  <si>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</si>
  <si>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</si>
  <si>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</si>
  <si>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</si>
  <si>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</si>
  <si>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</si>
  <si>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</si>
  <si>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</si>
  <si>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</si>
  <si>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</si>
  <si>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</si>
  <si>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</si>
  <si>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</si>
  <si>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</si>
  <si>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</si>
  <si>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</si>
  <si>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</si>
  <si>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</si>
  <si>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</si>
  <si>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</si>
  <si>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</si>
  <si>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</si>
  <si>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</si>
  <si>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</si>
  <si>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</si>
  <si>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</si>
  <si>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</si>
  <si>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</si>
  <si>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</si>
  <si>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</si>
  <si>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</si>
  <si>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</si>
  <si>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</si>
  <si>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</si>
  <si>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</si>
  <si>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</si>
  <si>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</si>
  <si>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</si>
  <si>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</si>
  <si>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</si>
  <si>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</si>
  <si>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</si>
  <si>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</si>
  <si>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</si>
  <si>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</si>
  <si>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</si>
  <si>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</si>
  <si>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</si>
  <si>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</si>
  <si>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</si>
  <si>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</si>
  <si>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</si>
  <si>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</si>
  <si>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</si>
  <si>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</si>
  <si>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</si>
  <si>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</si>
  <si>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</si>
  <si>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</si>
  <si>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</si>
  <si>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</si>
  <si>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</si>
  <si>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</si>
  <si>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</si>
  <si>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</si>
  <si>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</si>
  <si>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</si>
  <si>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</si>
  <si>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</si>
  <si>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</si>
  <si>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</si>
  <si>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</si>
  <si>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</si>
  <si>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</si>
  <si>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</si>
  <si>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</si>
  <si>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</si>
  <si>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</si>
  <si>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</si>
  <si>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</si>
  <si>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</si>
  <si>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</si>
  <si>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</si>
  <si>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</si>
  <si>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</si>
  <si>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</si>
  <si>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</si>
  <si>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</si>
  <si>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</si>
  <si>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</si>
  <si>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</si>
  <si>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</si>
  <si>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</si>
  <si>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</si>
  <si>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</si>
  <si>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</si>
  <si>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</si>
  <si>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</si>
  <si>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</si>
  <si>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</si>
  <si>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</si>
  <si>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</si>
  <si>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</si>
  <si>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</si>
  <si>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</si>
  <si>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</si>
  <si>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</si>
  <si>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</si>
  <si>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</si>
  <si>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</si>
  <si>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</si>
  <si>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</si>
  <si>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</si>
  <si>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</si>
  <si>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</si>
  <si>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</si>
  <si>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</si>
  <si>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</si>
  <si>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</si>
  <si>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</si>
  <si>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</si>
  <si>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</si>
  <si>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</si>
  <si>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</si>
  <si>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</si>
  <si>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</si>
  <si>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</si>
  <si>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</si>
  <si>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</si>
  <si>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</si>
  <si>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</si>
  <si>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</si>
  <si>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</si>
  <si>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</si>
  <si>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</si>
  <si>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</si>
  <si>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</si>
  <si>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</si>
  <si>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</si>
  <si>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</si>
  <si>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</si>
  <si>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</si>
  <si>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</si>
  <si>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</si>
  <si>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</si>
  <si>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</si>
  <si>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</si>
  <si>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</si>
  <si>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</si>
  <si>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</si>
  <si>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</si>
  <si>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</si>
  <si>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</si>
  <si>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</si>
  <si>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</si>
  <si>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</si>
  <si>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</si>
  <si>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</si>
  <si>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</si>
  <si>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</si>
  <si>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</si>
  <si>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</si>
  <si>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</si>
  <si>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</si>
  <si>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</si>
  <si>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</si>
  <si>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</si>
  <si>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</si>
  <si>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</si>
  <si>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</si>
  <si>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</si>
  <si>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</si>
  <si>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</si>
  <si>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</si>
  <si>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</si>
  <si>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</si>
  <si>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</si>
  <si>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</si>
  <si>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</si>
  <si>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</si>
  <si>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</si>
  <si>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</si>
  <si>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</si>
  <si>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</si>
  <si>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</si>
  <si>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</si>
  <si>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</si>
  <si>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</si>
  <si>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</si>
  <si>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</si>
  <si>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</si>
  <si>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</si>
  <si>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</si>
  <si>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</si>
  <si>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</si>
  <si>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</si>
  <si>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</si>
  <si>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</si>
  <si>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</si>
  <si>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</si>
  <si>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</si>
  <si>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</si>
  <si>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</si>
  <si>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</si>
  <si>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</si>
  <si>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</si>
  <si>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</si>
  <si>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</si>
  <si>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</si>
  <si>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</si>
  <si>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</si>
  <si>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</si>
  <si>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</si>
  <si>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</si>
  <si>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</si>
  <si>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</si>
  <si>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</si>
  <si>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</si>
  <si>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</si>
  <si>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</si>
  <si>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</si>
  <si>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</si>
  <si>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</si>
  <si>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</si>
  <si>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</si>
  <si>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</si>
  <si>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</si>
  <si>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</si>
  <si>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</si>
  <si>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</si>
  <si>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</si>
  <si>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</si>
  <si>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</si>
  <si>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</si>
  <si>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</si>
  <si>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</si>
  <si>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</si>
  <si>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</si>
  <si>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</si>
  <si>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</si>
  <si>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</si>
  <si>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</si>
  <si>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</si>
  <si>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</si>
  <si>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</si>
  <si>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</si>
  <si>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</si>
  <si>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</si>
  <si>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</si>
  <si>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</si>
  <si>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</si>
  <si>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</si>
  <si>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</si>
  <si>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</si>
  <si>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</si>
  <si>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</si>
  <si>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</si>
  <si>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</si>
  <si>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</si>
  <si>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</si>
  <si>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</si>
  <si>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</si>
  <si>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</si>
  <si>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</si>
  <si>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</si>
  <si>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</si>
  <si>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</si>
  <si>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</si>
  <si>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</si>
  <si>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</si>
  <si>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</si>
  <si>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</si>
  <si>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</si>
  <si>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</si>
  <si>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</si>
  <si>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</si>
  <si>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</si>
  <si>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</si>
  <si>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</si>
  <si>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</si>
  <si>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</si>
  <si>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</si>
  <si>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</si>
  <si>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</si>
  <si>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</si>
  <si>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</si>
  <si>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</si>
  <si>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</si>
  <si>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</si>
  <si>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</si>
  <si>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</si>
  <si>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</si>
  <si>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</si>
  <si>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</si>
  <si>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</si>
  <si>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</si>
  <si>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</si>
  <si>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</si>
  <si>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</si>
  <si>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</si>
  <si>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</si>
  <si>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</si>
  <si>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</si>
  <si>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</si>
  <si>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</si>
  <si>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</si>
  <si>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</si>
  <si>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</si>
  <si>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</si>
  <si>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</si>
  <si>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</si>
  <si>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</si>
  <si>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</si>
  <si>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</si>
  <si>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</si>
  <si>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</si>
  <si>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</si>
  <si>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</si>
  <si>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</si>
  <si>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</si>
  <si>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</si>
  <si>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</si>
  <si>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</si>
  <si>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</si>
  <si>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</si>
  <si>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</si>
  <si>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</si>
  <si>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</si>
  <si>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</si>
  <si>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</si>
  <si>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</si>
  <si>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</si>
  <si>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</si>
  <si>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</si>
  <si>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</si>
  <si>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</si>
  <si>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</si>
  <si>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</si>
  <si>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</si>
  <si>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</si>
  <si>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</si>
  <si>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</si>
  <si>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</si>
  <si>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</si>
  <si>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</si>
  <si>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</si>
  <si>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</si>
  <si>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</si>
  <si>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</si>
  <si>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</si>
  <si>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</si>
  <si>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</si>
  <si>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</si>
  <si>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</si>
  <si>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</si>
  <si>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</si>
  <si>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</si>
  <si>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</si>
  <si>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</si>
  <si>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</si>
  <si>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</si>
  <si>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</si>
  <si>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</si>
  <si>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</si>
  <si>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</si>
  <si>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</si>
  <si>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</si>
  <si>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</si>
  <si>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</si>
  <si>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</si>
  <si>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</si>
  <si>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</si>
  <si>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</si>
  <si>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</si>
  <si>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</si>
  <si>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</si>
  <si>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</si>
  <si>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</si>
  <si>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</si>
  <si>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</si>
  <si>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</si>
  <si>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</si>
  <si>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</si>
  <si>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</si>
  <si>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</si>
  <si>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</si>
  <si>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</si>
  <si>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</si>
  <si>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</si>
  <si>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</si>
  <si>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</si>
  <si>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</si>
  <si>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</si>
  <si>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</si>
  <si>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</si>
  <si>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</si>
  <si>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</si>
  <si>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</si>
  <si>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</si>
  <si>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</si>
  <si>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</si>
  <si>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</si>
  <si>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</si>
  <si>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</si>
  <si>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</si>
  <si>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</si>
  <si>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</si>
  <si>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</si>
  <si>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</si>
  <si>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</si>
  <si>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</si>
  <si>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</si>
  <si>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</si>
  <si>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</si>
  <si>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</si>
  <si>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</si>
  <si>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</si>
  <si>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</si>
  <si>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</si>
  <si>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</si>
  <si>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</si>
  <si>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</si>
  <si>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</si>
  <si>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</si>
  <si>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</si>
  <si>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</si>
  <si>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</si>
  <si>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</si>
  <si>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</si>
  <si>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</si>
  <si>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</si>
  <si>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</si>
  <si>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</si>
  <si>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</si>
  <si>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</si>
  <si>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</si>
  <si>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</si>
  <si>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</si>
  <si>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</si>
  <si>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</si>
  <si>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</si>
  <si>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</si>
  <si>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</si>
  <si>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</si>
  <si>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</si>
  <si>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</si>
  <si>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</si>
  <si>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</si>
  <si>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</si>
  <si>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</si>
  <si>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</si>
  <si>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</si>
  <si>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</si>
  <si>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</si>
  <si>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</si>
  <si>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</si>
  <si>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</si>
  <si>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</si>
  <si>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</si>
  <si>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</si>
  <si>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</si>
  <si>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</si>
  <si>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</si>
  <si>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</si>
  <si>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</si>
  <si>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</si>
  <si>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</si>
  <si>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</si>
  <si>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</si>
  <si>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</si>
  <si>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</si>
  <si>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</si>
  <si>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</si>
  <si>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</si>
  <si>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</si>
  <si>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</si>
  <si>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</si>
  <si>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</si>
  <si>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</si>
  <si>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</si>
  <si>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</si>
  <si>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</si>
  <si>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</si>
  <si>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</si>
  <si>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</si>
  <si>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</si>
  <si>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</si>
  <si>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</si>
  <si>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</si>
  <si>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</si>
  <si>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</si>
  <si>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</si>
  <si>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</si>
  <si>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</si>
  <si>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</si>
  <si>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</si>
  <si>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</si>
  <si>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</si>
  <si>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</si>
  <si>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</si>
  <si>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</si>
  <si>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</si>
  <si>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</si>
  <si>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</si>
  <si>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</si>
  <si>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</si>
  <si>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</si>
  <si>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</si>
  <si>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</si>
  <si>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</si>
  <si>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</si>
  <si>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</si>
  <si>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</si>
  <si>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</si>
  <si>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</si>
  <si>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</si>
  <si>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</si>
  <si>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</si>
  <si>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</si>
  <si>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</si>
  <si>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</si>
  <si>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</si>
  <si>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</si>
  <si>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</si>
  <si>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</si>
  <si>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</si>
  <si>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</si>
  <si>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</si>
  <si>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</si>
  <si>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</si>
  <si>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</si>
  <si>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</si>
  <si>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</si>
  <si>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</si>
  <si>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</si>
  <si>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</si>
  <si>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</si>
  <si>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</si>
  <si>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</si>
  <si>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</si>
  <si>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</si>
  <si>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</si>
  <si>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</si>
  <si>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</si>
  <si>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</si>
  <si>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</si>
  <si>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</si>
  <si>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</si>
  <si>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</si>
  <si>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</si>
  <si>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</si>
  <si>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</si>
  <si>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</si>
  <si>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</si>
  <si>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</si>
  <si>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</si>
  <si>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</si>
  <si>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</si>
  <si>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</si>
  <si>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</si>
  <si>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</si>
  <si>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</si>
  <si>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</si>
  <si>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</si>
  <si>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</si>
  <si>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</si>
  <si>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</si>
  <si>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</si>
  <si>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</si>
  <si>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</si>
  <si>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</si>
  <si>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</si>
  <si>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</si>
  <si>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</si>
  <si>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</si>
  <si>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</si>
  <si>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</si>
  <si>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</si>
  <si>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</si>
  <si>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</si>
  <si>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</si>
  <si>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</si>
  <si>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</si>
  <si>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</si>
  <si>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</si>
  <si>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</si>
  <si>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</si>
  <si>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</si>
  <si>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</si>
  <si>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</si>
  <si>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</si>
  <si>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</si>
  <si>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</si>
  <si>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</si>
  <si>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</si>
  <si>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</si>
  <si>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</si>
  <si>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</si>
  <si>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</si>
  <si>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</si>
  <si>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</si>
  <si>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</si>
  <si>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</si>
  <si>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</si>
  <si>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</si>
  <si>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</si>
  <si>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</si>
  <si>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</si>
  <si>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</si>
  <si>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</si>
  <si>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</si>
  <si>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</si>
  <si>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</si>
  <si>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</si>
  <si>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</si>
  <si>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</si>
  <si>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</si>
  <si>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</si>
  <si>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</si>
  <si>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</si>
  <si>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</si>
  <si>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</si>
  <si>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</si>
  <si>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</si>
  <si>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</si>
  <si>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</si>
  <si>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</si>
  <si>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</si>
  <si>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</si>
  <si>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</si>
  <si>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</si>
  <si>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</si>
  <si>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</si>
  <si>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</si>
  <si>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</si>
  <si>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</si>
  <si>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</si>
  <si>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</si>
  <si>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</si>
  <si>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</si>
  <si>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</si>
  <si>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</si>
  <si>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</si>
  <si>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</si>
  <si>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</si>
  <si>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</si>
  <si>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</si>
  <si>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</si>
  <si>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</si>
  <si>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</si>
  <si>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</si>
  <si>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</si>
  <si>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</si>
  <si>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</si>
  <si>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</si>
  <si>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</si>
  <si>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</si>
  <si>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</si>
  <si>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</si>
  <si>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</si>
  <si>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</si>
  <si>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</si>
  <si>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</si>
  <si>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</si>
  <si>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</si>
  <si>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</si>
  <si>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</si>
  <si>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</si>
  <si>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</si>
  <si>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</si>
  <si>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</si>
  <si>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</si>
  <si>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</si>
  <si>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</si>
  <si>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</si>
  <si>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</si>
  <si>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</si>
  <si>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</si>
  <si>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</si>
  <si>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</si>
  <si>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</si>
  <si>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</si>
  <si>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</si>
  <si>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</si>
  <si>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</si>
  <si>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</si>
  <si>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</si>
  <si>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</si>
  <si>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</si>
  <si>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</si>
  <si>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</si>
  <si>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</si>
  <si>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</si>
  <si>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</si>
  <si>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</si>
  <si>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</si>
  <si>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</si>
  <si>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</si>
  <si>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</si>
  <si>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</si>
  <si>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</si>
  <si>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</si>
  <si>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</si>
  <si>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</si>
  <si>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</si>
  <si>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</si>
  <si>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</si>
  <si>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</si>
  <si>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</si>
  <si>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</si>
  <si>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</si>
  <si>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</si>
  <si>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</si>
  <si>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</si>
  <si>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</si>
  <si>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</si>
  <si>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</si>
  <si>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</si>
  <si>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</si>
  <si>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</si>
  <si>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</si>
  <si>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</si>
  <si>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</si>
  <si>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</si>
  <si>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</si>
  <si>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</si>
  <si>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</si>
  <si>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</si>
  <si>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</si>
  <si>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</si>
  <si>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</si>
  <si>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</si>
  <si>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</si>
  <si>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</si>
  <si>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</si>
  <si>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</si>
  <si>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</si>
  <si>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</si>
  <si>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</si>
  <si>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</si>
  <si>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</si>
  <si>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</si>
  <si>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</si>
  <si>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</si>
  <si>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</si>
  <si>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</si>
  <si>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</si>
  <si>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</si>
  <si>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</si>
  <si>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</si>
  <si>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</si>
  <si>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</si>
  <si>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</si>
  <si>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</si>
  <si>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</si>
  <si>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</si>
  <si>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</si>
  <si>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</si>
  <si>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</si>
  <si>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</si>
  <si>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</si>
  <si>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</si>
  <si>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</si>
  <si>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</si>
  <si>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</si>
  <si>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</si>
  <si>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</si>
  <si>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</si>
  <si>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</si>
  <si>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</si>
  <si>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</si>
  <si>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</si>
  <si>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</si>
  <si>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</si>
  <si>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</si>
  <si>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</si>
  <si>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</si>
  <si>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</si>
  <si>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</si>
  <si>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</si>
  <si>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</si>
  <si>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</si>
  <si>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</si>
  <si>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</si>
  <si>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</si>
  <si>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</si>
  <si>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</si>
  <si>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</si>
  <si>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</si>
  <si>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</si>
  <si>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</si>
  <si>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</si>
  <si>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</si>
  <si>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</si>
  <si>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</si>
  <si>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</si>
  <si>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</si>
  <si>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</si>
  <si>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</si>
  <si>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</si>
  <si>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</si>
  <si>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</si>
  <si>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</si>
  <si>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</si>
  <si>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</si>
  <si>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</si>
  <si>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</si>
  <si>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</si>
  <si>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</si>
  <si>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</si>
  <si>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</si>
  <si>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</si>
  <si>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</si>
  <si>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</si>
  <si>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</si>
  <si>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</si>
  <si>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</si>
  <si>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</si>
  <si>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</si>
  <si>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</si>
  <si>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</si>
  <si>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</si>
  <si>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</si>
  <si>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</si>
  <si>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</si>
  <si>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</si>
  <si>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</si>
  <si>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</si>
  <si>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</si>
  <si>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</si>
  <si>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</si>
  <si>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</si>
  <si>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</si>
  <si>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</si>
  <si>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</si>
  <si>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</si>
  <si>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</si>
  <si>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</si>
  <si>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</si>
  <si>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</si>
  <si>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</si>
  <si>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</si>
  <si>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</si>
  <si>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</si>
  <si>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</si>
  <si>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</si>
  <si>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</si>
  <si>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</si>
  <si>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</si>
  <si>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</si>
  <si>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</si>
  <si>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</si>
  <si>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</si>
  <si>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</si>
  <si>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</si>
  <si>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</si>
  <si>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</si>
  <si>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</si>
  <si>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</si>
  <si>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</si>
  <si>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</si>
  <si>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</si>
  <si>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</si>
  <si>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</si>
  <si>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</si>
  <si>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</si>
  <si>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</si>
  <si>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</si>
  <si>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</si>
  <si>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</si>
  <si>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</si>
  <si>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</si>
  <si>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</si>
  <si>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</si>
  <si>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</si>
  <si>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</si>
  <si>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</si>
  <si>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</si>
  <si>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</si>
  <si>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</si>
  <si>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</si>
  <si>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</si>
  <si>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</si>
  <si>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</si>
  <si>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</si>
  <si>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</si>
  <si>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</si>
  <si>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</si>
  <si>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</si>
  <si>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</si>
  <si>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</si>
  <si>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</si>
  <si>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</si>
  <si>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</si>
  <si>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</si>
  <si>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</si>
  <si>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</si>
  <si>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</si>
  <si>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</si>
  <si>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</si>
  <si>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</si>
  <si>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</si>
  <si>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</si>
  <si>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</si>
  <si>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</si>
  <si>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</si>
  <si>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</si>
  <si>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</si>
  <si>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</si>
  <si>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</si>
  <si>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</si>
  <si>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</si>
  <si>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</si>
  <si>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</si>
  <si>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</si>
  <si>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</si>
  <si>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</si>
  <si>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</si>
  <si>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</si>
  <si>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</si>
  <si>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</si>
  <si>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</si>
  <si>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</si>
  <si>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</si>
  <si>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</si>
  <si>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</si>
  <si>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</si>
  <si>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</si>
  <si>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</si>
  <si>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</si>
  <si>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</si>
  <si>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</si>
  <si>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</si>
  <si>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</si>
  <si>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</si>
  <si>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</si>
  <si>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</si>
  <si>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</si>
  <si>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</si>
  <si>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</si>
  <si>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</si>
  <si>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</si>
  <si>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</si>
  <si>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</si>
  <si>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</si>
  <si>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</si>
  <si>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</si>
  <si>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</si>
  <si>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</si>
  <si>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</si>
  <si>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</si>
  <si>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</si>
  <si>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</si>
  <si>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</si>
  <si>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</si>
  <si>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</si>
  <si>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</si>
  <si>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</si>
  <si>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</si>
  <si>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</si>
  <si>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</si>
  <si>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</si>
  <si>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</si>
  <si>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</si>
  <si>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</si>
  <si>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</si>
  <si>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</si>
  <si>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</si>
  <si>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</si>
  <si>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</si>
  <si>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</si>
  <si>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</si>
  <si>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</si>
  <si>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</si>
  <si>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</si>
  <si>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</si>
  <si>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</si>
  <si>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</si>
  <si>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</si>
  <si>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</si>
  <si>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</si>
  <si>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</si>
  <si>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</si>
  <si>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</si>
  <si>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</si>
  <si>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</si>
  <si>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</si>
  <si>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</si>
  <si>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</si>
  <si>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</si>
  <si>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</si>
  <si>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</si>
  <si>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</si>
  <si>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</si>
  <si>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</si>
  <si>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</si>
  <si>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</si>
  <si>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</si>
  <si>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</si>
  <si>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</si>
  <si>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</si>
  <si>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</si>
  <si>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</si>
  <si>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</si>
  <si>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</si>
  <si>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</si>
  <si>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</si>
  <si>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</si>
  <si>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</si>
  <si>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</si>
  <si>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</si>
  <si>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</si>
  <si>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</si>
  <si>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</si>
  <si>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</si>
  <si>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</si>
  <si>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</si>
  <si>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</si>
  <si>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</si>
  <si>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</si>
  <si>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</si>
  <si>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</si>
  <si>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</si>
  <si>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</si>
  <si>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</si>
  <si>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</si>
  <si>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</si>
  <si>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</si>
  <si>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</si>
  <si>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</si>
  <si>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</si>
  <si>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</si>
  <si>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</si>
  <si>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</si>
  <si>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</si>
  <si>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</si>
  <si>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</si>
  <si>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</si>
  <si>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</si>
  <si>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</si>
  <si>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</si>
  <si>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</si>
  <si>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</si>
  <si>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</si>
  <si>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</si>
  <si>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</si>
  <si>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</si>
  <si>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</si>
  <si>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</si>
  <si>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</si>
  <si>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</si>
  <si>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</si>
  <si>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</si>
  <si>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</si>
  <si>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</si>
  <si>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</si>
  <si>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</si>
  <si>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</si>
  <si>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</si>
  <si>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</si>
  <si>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</si>
  <si>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</si>
  <si>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</si>
  <si>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</si>
  <si>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</si>
  <si>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</si>
  <si>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</si>
  <si>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</si>
  <si>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</si>
  <si>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</si>
  <si>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</si>
  <si>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</si>
  <si>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</si>
  <si>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</si>
  <si>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</si>
  <si>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</si>
  <si>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</si>
  <si>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</si>
  <si>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</si>
  <si>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</si>
  <si>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</si>
  <si>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</si>
  <si>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</si>
  <si>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</si>
  <si>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</si>
  <si>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</si>
  <si>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</si>
  <si>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</si>
  <si>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</si>
  <si>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</si>
  <si>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</si>
  <si>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</si>
  <si>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</si>
  <si>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</si>
  <si>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</si>
  <si>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</si>
  <si>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</si>
  <si>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</si>
  <si>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</si>
  <si>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</si>
  <si>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</si>
  <si>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</si>
  <si>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</si>
  <si>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</si>
  <si>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</si>
  <si>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</si>
  <si>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</si>
  <si>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</si>
  <si>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</si>
  <si>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</si>
  <si>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</si>
  <si>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</si>
  <si>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</si>
  <si>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</si>
  <si>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</si>
  <si>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</si>
  <si>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</si>
  <si>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</si>
  <si>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</si>
  <si>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</si>
  <si>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</si>
  <si>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</si>
  <si>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</si>
  <si>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</si>
  <si>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</si>
  <si>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</si>
  <si>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</si>
  <si>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</si>
  <si>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</si>
  <si>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</si>
  <si>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</si>
  <si>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</si>
  <si>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</si>
  <si>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</si>
  <si>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</si>
  <si>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</si>
  <si>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</si>
  <si>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</si>
  <si>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</si>
  <si>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</si>
  <si>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</si>
  <si>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</si>
  <si>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</si>
  <si>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</si>
  <si>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</si>
  <si>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</si>
  <si>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</si>
  <si>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</si>
  <si>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</si>
  <si>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</si>
  <si>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</si>
  <si>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</si>
  <si>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</si>
  <si>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</si>
  <si>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</si>
  <si>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</si>
  <si>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</si>
  <si>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</si>
  <si>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</si>
  <si>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</si>
  <si>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</si>
  <si>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</si>
  <si>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</si>
  <si>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</si>
  <si>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</si>
  <si>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</si>
  <si>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</si>
  <si>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</si>
  <si>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</si>
  <si>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</si>
  <si>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</si>
  <si>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</si>
  <si>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</si>
  <si>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</si>
  <si>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</si>
  <si>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</si>
  <si>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</si>
  <si>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</si>
  <si>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</si>
  <si>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</si>
  <si>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</si>
  <si>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</si>
  <si>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</si>
  <si>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</si>
  <si>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</si>
  <si>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</si>
  <si>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</si>
  <si>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</si>
  <si>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</si>
  <si>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</si>
  <si>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</si>
  <si>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</si>
  <si>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</si>
  <si>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</si>
  <si>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</si>
  <si>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</si>
  <si>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</si>
  <si>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</si>
  <si>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</si>
  <si>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</si>
  <si>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</si>
  <si>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</si>
  <si>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</si>
  <si>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</si>
  <si>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</si>
  <si>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</si>
  <si>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</si>
  <si>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</si>
  <si>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</si>
  <si>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</si>
  <si>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</si>
  <si>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</si>
  <si>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</si>
  <si>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</si>
  <si>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</si>
  <si>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</si>
  <si>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</si>
  <si>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</si>
  <si>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</si>
  <si>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</si>
  <si>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</si>
  <si>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</si>
  <si>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</si>
  <si>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</si>
  <si>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</si>
  <si>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</si>
  <si>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</si>
  <si>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</si>
  <si>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</si>
  <si>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</si>
  <si>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</si>
  <si>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</si>
  <si>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</si>
  <si>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</si>
  <si>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</si>
  <si>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</si>
  <si>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</si>
  <si>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</si>
  <si>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</si>
  <si>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</si>
  <si>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</si>
  <si>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</si>
  <si>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</si>
  <si>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</si>
  <si>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</si>
  <si>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</si>
  <si>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</si>
  <si>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</si>
  <si>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</si>
  <si>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</si>
  <si>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</si>
  <si>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</si>
  <si>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</si>
  <si>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</si>
  <si>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</si>
  <si>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</si>
  <si>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</si>
  <si>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</si>
  <si>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</si>
  <si>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</si>
  <si>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</si>
  <si>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</si>
  <si>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</si>
  <si>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</si>
  <si>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</si>
  <si>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</si>
  <si>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</si>
  <si>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</si>
  <si>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</si>
  <si>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</si>
  <si>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</si>
  <si>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</si>
  <si>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</si>
  <si>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</si>
  <si>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</si>
  <si>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</si>
  <si>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</si>
  <si>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</si>
  <si>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</si>
  <si>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</si>
  <si>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</si>
  <si>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</si>
  <si>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</si>
  <si>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</si>
  <si>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</si>
  <si>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</si>
  <si>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</si>
  <si>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</si>
  <si>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</si>
  <si>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</si>
  <si>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</si>
  <si>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</si>
  <si>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</si>
  <si>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</si>
  <si>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</si>
  <si>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</si>
  <si>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</si>
  <si>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</si>
  <si>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</si>
  <si>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</si>
  <si>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</si>
  <si>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</si>
  <si>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</si>
  <si>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</si>
  <si>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</si>
  <si>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</si>
  <si>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</si>
  <si>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</si>
  <si>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</si>
  <si>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</si>
  <si>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</si>
  <si>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</si>
  <si>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</si>
  <si>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</si>
  <si>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</si>
  <si>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</si>
  <si>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</si>
  <si>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</si>
  <si>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</si>
  <si>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</si>
  <si>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</si>
  <si>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</si>
  <si>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</si>
  <si>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</si>
  <si>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</si>
  <si>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</si>
  <si>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</si>
  <si>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</si>
  <si>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</si>
  <si>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</si>
  <si>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</si>
  <si>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</si>
  <si>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</si>
  <si>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</si>
  <si>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</si>
  <si>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</si>
  <si>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</si>
  <si>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</si>
  <si>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</si>
  <si>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</si>
  <si>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</si>
  <si>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</si>
  <si>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</si>
  <si>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</si>
  <si>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</si>
  <si>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</si>
  <si>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</si>
  <si>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</si>
  <si>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</si>
  <si>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</si>
  <si>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</si>
  <si>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</si>
  <si>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</si>
  <si>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</si>
  <si>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</si>
  <si>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</si>
  <si>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</si>
  <si>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</si>
  <si>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</si>
  <si>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</si>
  <si>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</si>
  <si>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</si>
  <si>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</si>
  <si>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</si>
  <si>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</si>
  <si>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</si>
  <si>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</si>
  <si>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</si>
  <si>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</si>
  <si>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</si>
  <si>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</si>
  <si>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</si>
  <si>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</si>
  <si>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</si>
  <si>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</si>
  <si>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</si>
  <si>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</si>
  <si>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</si>
  <si>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</si>
  <si>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</si>
  <si>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</si>
  <si>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</si>
  <si>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</si>
  <si>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</si>
  <si>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</si>
  <si>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</si>
  <si>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</si>
  <si>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</si>
  <si>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</si>
  <si>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</si>
  <si>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</si>
  <si>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</si>
  <si>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</si>
  <si>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</si>
  <si>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</si>
  <si>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</si>
  <si>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</si>
  <si>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</si>
  <si>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</si>
  <si>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</si>
  <si>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</si>
  <si>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</si>
  <si>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</si>
  <si>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</si>
  <si>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</si>
  <si>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</si>
  <si>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</si>
  <si>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</si>
  <si>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</si>
  <si>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</si>
  <si>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</si>
  <si>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</si>
  <si>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</si>
  <si>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</si>
  <si>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</si>
  <si>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</si>
  <si>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</si>
  <si>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</si>
  <si>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</si>
  <si>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</si>
  <si>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</si>
  <si>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</si>
  <si>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</si>
  <si>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</si>
  <si>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</si>
  <si>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</si>
  <si>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</si>
  <si>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</si>
  <si>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</si>
  <si>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</si>
  <si>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</si>
  <si>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</si>
  <si>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</si>
  <si>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</si>
  <si>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</si>
  <si>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</si>
  <si>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</si>
  <si>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</si>
  <si>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</si>
  <si>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</si>
  <si>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</si>
  <si>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</si>
  <si>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</si>
  <si>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</si>
  <si>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</si>
  <si>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</si>
  <si>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</si>
  <si>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</si>
  <si>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</si>
  <si>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</si>
  <si>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</si>
  <si>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</si>
  <si>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</si>
  <si>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</si>
  <si>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</si>
  <si>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</si>
  <si>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</si>
  <si>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</si>
  <si>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</si>
  <si>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</si>
  <si>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</si>
  <si>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</si>
  <si>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</si>
  <si>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</si>
  <si>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</si>
  <si>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</si>
  <si>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</si>
  <si>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</si>
  <si>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</si>
  <si>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</si>
  <si>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</si>
  <si>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</si>
  <si>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</si>
  <si>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</si>
  <si>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</si>
  <si>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</si>
  <si>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</si>
  <si>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</si>
  <si>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</si>
  <si>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</si>
  <si>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</si>
  <si>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</si>
  <si>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</si>
  <si>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</si>
  <si>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</si>
  <si>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Lauterbach &amp; Amen, LLP</t>
  </si>
  <si>
    <t>Cook</t>
  </si>
  <si>
    <t>Matt Beran</t>
  </si>
  <si>
    <t>668 N. River Road</t>
  </si>
  <si>
    <t>6950 East Prairie Road</t>
  </si>
  <si>
    <t>Naperville</t>
  </si>
  <si>
    <t>IL</t>
  </si>
  <si>
    <t>Lincolnwood</t>
  </si>
  <si>
    <t>cwhited@SD74.org</t>
  </si>
  <si>
    <t>mberan@lauterbachamen.com</t>
  </si>
  <si>
    <t>Dr. Kimberly Nasshan</t>
  </si>
  <si>
    <t>knasshan@SD74.org</t>
  </si>
  <si>
    <t>General Obligation Limited Tax Bonds 2015</t>
  </si>
  <si>
    <t>General Obligation Limited Tax Bonds 2016</t>
  </si>
  <si>
    <t>General Obligation Limited Tax Bonds 2018A</t>
  </si>
  <si>
    <t>N/A</t>
  </si>
  <si>
    <t>EDUCATION BENEFIT COOPERATIVE</t>
  </si>
  <si>
    <t>COLLECTIVE LIABILITY INSURANCE COOPERATIVE</t>
  </si>
  <si>
    <t>NILES TOWNSHIP SCHOOL TREASURER'S OFFICE</t>
  </si>
  <si>
    <t>O&amp;M-Operations and Maintenance of Plant Services-Purchased Services</t>
  </si>
  <si>
    <t>Access Master</t>
  </si>
  <si>
    <t>AT&amp;T</t>
  </si>
  <si>
    <t>Contour Landscaping, Inc</t>
  </si>
  <si>
    <t>ED-Instructional-Purchased Services</t>
  </si>
  <si>
    <t>DeLage Landen Financial Services</t>
  </si>
  <si>
    <t>O&amp;M-Operations and Maintenance of Plant Services-Supplies and Materials</t>
  </si>
  <si>
    <t>Engie Resources</t>
  </si>
  <si>
    <t>Transportation-Pupil Transportation Services-Purchased Services</t>
  </si>
  <si>
    <t>First Student, Inc.</t>
  </si>
  <si>
    <t>ED-Fiscal Services-Purchased Services</t>
  </si>
  <si>
    <t>Niles Township School Treasurer</t>
  </si>
  <si>
    <t>North Shore Transit</t>
  </si>
  <si>
    <t>Vanguard Energy Services</t>
  </si>
  <si>
    <t>ED-Board Services-Purchased Services</t>
  </si>
  <si>
    <t>Whitt Law</t>
  </si>
  <si>
    <t xml:space="preserve"> Lincolnwood SD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</si>
</sst>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100">
        <v>5016074002</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2053</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2087</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60563</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2059</v>
      </c>
      <c r="B21" s="2038"/>
      <c r="C21" s="2038"/>
      <c r="D21" s="2038"/>
      <c r="E21" s="2038"/>
      <c r="F21" s="2038"/>
      <c r="G21" s="2038"/>
      <c r="H21" s="2039"/>
      <c r="I21" s="2093" t="s">
        <v>673</v>
      </c>
      <c r="J21" s="2088"/>
      <c r="K21" s="2088"/>
      <c r="L21" s="2088"/>
      <c r="M21" s="2088"/>
      <c r="N21" s="2088"/>
      <c r="O21" s="2088"/>
      <c r="P21" s="2088"/>
      <c r="Q21" s="2088"/>
      <c r="R21" s="2088"/>
      <c r="S21" s="2094"/>
      <c r="T21" s="2128">
        <v>6303931483</v>
      </c>
      <c r="U21" s="2129"/>
      <c r="V21" s="2129"/>
      <c r="W21" s="2129"/>
      <c r="X21" s="2134">
        <v>6303932516</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2060</v>
      </c>
      <c r="B23" s="2091"/>
      <c r="C23" s="2091"/>
      <c r="D23" s="2091"/>
      <c r="E23" s="2091"/>
      <c r="F23" s="2091"/>
      <c r="G23" s="2091"/>
      <c r="H23" s="2092"/>
      <c r="T23" s="2073">
        <v>65033233</v>
      </c>
      <c r="U23" s="2127"/>
      <c r="V23" s="2127"/>
      <c r="W23" s="2127"/>
      <c r="X23" s="2131">
        <v>44469</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60712</v>
      </c>
      <c r="B25" s="2038"/>
      <c r="C25" s="2038"/>
      <c r="D25" s="2038"/>
      <c r="E25" s="2038"/>
      <c r="F25" s="2038"/>
      <c r="G25" s="2038"/>
      <c r="H25" s="2039"/>
      <c r="I25" s="110"/>
      <c r="J25" s="2062"/>
      <c r="K25" s="2062"/>
      <c r="L25" s="2062"/>
      <c r="M25" s="2062"/>
      <c r="N25" s="2062"/>
      <c r="O25" s="2062"/>
      <c r="P25" s="2062"/>
      <c r="Q25" s="2062"/>
      <c r="R25" s="2062"/>
      <c r="S25" s="2063"/>
      <c r="T25" s="2124" t="s">
        <v>2061</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2062</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2063</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v>8476758234</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2" colorId="8" zoomScale="110" zoomScaleNormal="110" workbookViewId="0">
      <selection activeCell="C13" sqref="C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16938160</v>
      </c>
      <c r="C4" s="1722">
        <v>8915877</v>
      </c>
      <c r="D4" s="1723">
        <f>B4-C4</f>
        <v>8022283</v>
      </c>
      <c r="E4" s="1722">
        <v>17713702</v>
      </c>
      <c r="F4" s="1723">
        <f>E4-C4</f>
        <v>8797825</v>
      </c>
    </row>
    <row r="5" spans="1:8" ht="13.7" customHeight="1" x14ac:dyDescent="0.2">
      <c r="A5" s="579" t="s">
        <v>865</v>
      </c>
      <c r="B5" s="1724">
        <f>'Revenues 9-14'!D5</f>
        <v>1999371</v>
      </c>
      <c r="C5" s="1664">
        <v>1058593</v>
      </c>
      <c r="D5" s="1725">
        <f t="shared" ref="D5:D18" si="0">B5-C5</f>
        <v>940778</v>
      </c>
      <c r="E5" s="1664">
        <v>2103169</v>
      </c>
      <c r="F5" s="1725">
        <f>E5-C5</f>
        <v>1044576</v>
      </c>
    </row>
    <row r="6" spans="1:8" ht="13.7" customHeight="1" x14ac:dyDescent="0.2">
      <c r="A6" s="579" t="s">
        <v>408</v>
      </c>
      <c r="B6" s="1724">
        <f>'Revenues 9-14'!E5</f>
        <v>1461122</v>
      </c>
      <c r="C6" s="1664">
        <v>865364</v>
      </c>
      <c r="D6" s="1725">
        <f t="shared" si="0"/>
        <v>595758</v>
      </c>
      <c r="E6" s="1664">
        <v>1719270</v>
      </c>
      <c r="F6" s="1725">
        <f t="shared" ref="F6:F18" si="1">E6-C6</f>
        <v>853906</v>
      </c>
    </row>
    <row r="7" spans="1:8" ht="13.7" customHeight="1" x14ac:dyDescent="0.2">
      <c r="A7" s="579" t="s">
        <v>154</v>
      </c>
      <c r="B7" s="1724">
        <f>'Revenues 9-14'!F5</f>
        <v>418549</v>
      </c>
      <c r="C7" s="1664">
        <v>227908</v>
      </c>
      <c r="D7" s="1725">
        <f t="shared" si="0"/>
        <v>190641</v>
      </c>
      <c r="E7" s="1664">
        <v>452799</v>
      </c>
      <c r="F7" s="1725">
        <f t="shared" si="1"/>
        <v>224891</v>
      </c>
    </row>
    <row r="8" spans="1:8" ht="13.7" customHeight="1" x14ac:dyDescent="0.2">
      <c r="A8" s="579" t="s">
        <v>1169</v>
      </c>
      <c r="B8" s="1724">
        <f>'Revenues 9-14'!G5</f>
        <v>175243</v>
      </c>
      <c r="C8" s="1664">
        <v>92414</v>
      </c>
      <c r="D8" s="1725">
        <f t="shared" si="0"/>
        <v>82829</v>
      </c>
      <c r="E8" s="1664">
        <v>183604</v>
      </c>
      <c r="F8" s="1725">
        <f t="shared" si="1"/>
        <v>91190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648</v>
      </c>
      <c r="C10" s="1664">
        <v>347</v>
      </c>
      <c r="D10" s="1725">
        <f t="shared" si="0"/>
        <v>301</v>
      </c>
      <c r="E10" s="1664">
        <v>690</v>
      </c>
      <c r="F10" s="1725">
        <f t="shared" si="1"/>
        <v>343</v>
      </c>
    </row>
    <row r="11" spans="1:8" x14ac:dyDescent="0.2">
      <c r="A11" s="579" t="s">
        <v>406</v>
      </c>
      <c r="B11" s="1724">
        <f>'Revenues 9-14'!J5</f>
        <v>40255</v>
      </c>
      <c r="C11" s="1664">
        <v>39953</v>
      </c>
      <c r="D11" s="1725">
        <f t="shared" si="0"/>
        <v>302</v>
      </c>
      <c r="E11" s="1664">
        <v>79377</v>
      </c>
      <c r="F11" s="1725">
        <f t="shared" si="1"/>
        <v>39424</v>
      </c>
    </row>
    <row r="12" spans="1:8" ht="13.7" customHeight="1" x14ac:dyDescent="0.2">
      <c r="A12" s="579" t="s">
        <v>156</v>
      </c>
      <c r="B12" s="1724">
        <f>'Revenues 9-14'!K5</f>
        <v>448995</v>
      </c>
      <c r="C12" s="1664">
        <v>236941</v>
      </c>
      <c r="D12" s="1725">
        <f t="shared" si="0"/>
        <v>212054</v>
      </c>
      <c r="E12" s="1664">
        <v>470745</v>
      </c>
      <c r="F12" s="1725">
        <f t="shared" si="1"/>
        <v>233804</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301244</v>
      </c>
      <c r="C14" s="1664">
        <v>158771</v>
      </c>
      <c r="D14" s="1725">
        <f t="shared" si="0"/>
        <v>142473</v>
      </c>
      <c r="E14" s="1664">
        <v>315440</v>
      </c>
      <c r="F14" s="1725">
        <f t="shared" si="1"/>
        <v>156669</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271266</v>
      </c>
      <c r="C16" s="1664">
        <v>152865</v>
      </c>
      <c r="D16" s="1725">
        <f t="shared" si="0"/>
        <v>118401</v>
      </c>
      <c r="E16" s="1664">
        <v>303706</v>
      </c>
      <c r="F16" s="1725">
        <f t="shared" si="1"/>
        <v>150841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22054853</v>
      </c>
      <c r="C19" s="1726">
        <f>SUM(C4:C18)</f>
        <v>11749033</v>
      </c>
      <c r="D19" s="1726">
        <f>SUM(D4:D18)</f>
        <v>10305820</v>
      </c>
      <c r="E19" s="1726">
        <f>SUM(E4:E18)</f>
        <v>23342502</v>
      </c>
      <c r="F19" s="1726">
        <f>SUM(F4:F18)</f>
        <v>11593469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42367</v>
      </c>
      <c r="C31" s="1734">
        <v>8505000</v>
      </c>
      <c r="D31" s="1735">
        <v>1</v>
      </c>
      <c r="E31" s="1734">
        <v>5530000</v>
      </c>
      <c r="F31" s="1734"/>
      <c r="G31" s="1734"/>
      <c r="H31" s="1734">
        <v>720000</v>
      </c>
      <c r="I31" s="1736">
        <f>((E31+F31)-H31)+G31</f>
        <v>4810000</v>
      </c>
      <c r="J31" s="1734">
        <v>4810000</v>
      </c>
      <c r="K31" s="596"/>
    </row>
    <row r="32" spans="1:11" ht="12" customHeight="1" x14ac:dyDescent="0.2">
      <c r="A32" s="594" t="s">
        <v>2065</v>
      </c>
      <c r="B32" s="595">
        <v>42467</v>
      </c>
      <c r="C32" s="1734">
        <v>4235000</v>
      </c>
      <c r="D32" s="1735">
        <v>1</v>
      </c>
      <c r="E32" s="1734">
        <v>4205000</v>
      </c>
      <c r="F32" s="1734"/>
      <c r="G32" s="1734"/>
      <c r="H32" s="1734"/>
      <c r="I32" s="1736">
        <f>((E32+F32)-H32)+G32</f>
        <v>4205000</v>
      </c>
      <c r="J32" s="1734">
        <v>4205000</v>
      </c>
      <c r="K32" s="596"/>
    </row>
    <row r="33" spans="1:11" ht="12" customHeight="1" x14ac:dyDescent="0.2">
      <c r="A33" s="594" t="s">
        <v>2066</v>
      </c>
      <c r="B33" s="595">
        <v>43284</v>
      </c>
      <c r="C33" s="1734">
        <v>5910000</v>
      </c>
      <c r="D33" s="1735">
        <v>1</v>
      </c>
      <c r="E33" s="1734">
        <v>5910000</v>
      </c>
      <c r="F33" s="1734"/>
      <c r="G33" s="1734"/>
      <c r="H33" s="1734"/>
      <c r="I33" s="1736">
        <f t="shared" ref="I33:I48" si="1">((E33+F33)-H33)+G33</f>
        <v>5910000</v>
      </c>
      <c r="J33" s="1734">
        <v>5910000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18650000</v>
      </c>
      <c r="D49" s="1742"/>
      <c r="E49" s="1736">
        <f t="shared" ref="E49:J49" si="2">SUM(E31:E48)</f>
        <v>15645000</v>
      </c>
      <c r="F49" s="1736">
        <f t="shared" si="2"/>
        <v>0</v>
      </c>
      <c r="G49" s="1736">
        <f t="shared" si="2"/>
        <v>0</v>
      </c>
      <c r="H49" s="1736">
        <f t="shared" si="2"/>
        <v>720000</v>
      </c>
      <c r="I49" s="1736">
        <f t="shared" si="2"/>
        <v>14925000</v>
      </c>
      <c r="J49" s="1736">
        <f t="shared" si="2"/>
        <v>14925000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f>'Revenues 9-14'!C7</f>
        <v>301244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301244</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301244</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301244</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2337500</v>
      </c>
      <c r="D5" s="1770"/>
      <c r="E5" s="1770"/>
      <c r="F5" s="1765">
        <f>(C5+D5)-E5</f>
        <v>2337500</v>
      </c>
      <c r="G5" s="676"/>
      <c r="H5" s="680"/>
      <c r="I5" s="680"/>
      <c r="J5" s="680"/>
      <c r="K5" s="637"/>
      <c r="L5" s="1442">
        <f>F5-K5</f>
        <v>2337500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49158024</v>
      </c>
      <c r="D8" s="1771">
        <v>8134349</v>
      </c>
      <c r="E8" s="1771"/>
      <c r="F8" s="1765">
        <f>(C8+D8)-E8</f>
        <v>57292373</v>
      </c>
      <c r="G8" s="681">
        <v>50</v>
      </c>
      <c r="H8" s="619">
        <v>19848486</v>
      </c>
      <c r="I8" s="619">
        <v>1966711</v>
      </c>
      <c r="J8" s="619"/>
      <c r="K8" s="1442">
        <f>(H8+I8)-J8</f>
        <v>21815197</v>
      </c>
      <c r="L8" s="1442">
        <f>F8-K8</f>
        <v>35477176</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2060107</v>
      </c>
      <c r="D10" s="1772"/>
      <c r="E10" s="1772"/>
      <c r="F10" s="1773">
        <f>(C10+D10)-E10</f>
        <v>2060107</v>
      </c>
      <c r="G10" s="681">
        <v>20</v>
      </c>
      <c r="H10" s="683">
        <v>1394080</v>
      </c>
      <c r="I10" s="683">
        <v>78400</v>
      </c>
      <c r="J10" s="683"/>
      <c r="K10" s="1442">
        <f>(H10+I10)-J10</f>
        <v>1472480</v>
      </c>
      <c r="L10" s="1442">
        <f>F10-K10</f>
        <v>587627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7334345</v>
      </c>
      <c r="D12" s="1771">
        <v>238291</v>
      </c>
      <c r="E12" s="1771"/>
      <c r="F12" s="1765">
        <f>(C12+D12)-E12</f>
        <v>7572636</v>
      </c>
      <c r="G12" s="681">
        <v>10</v>
      </c>
      <c r="H12" s="619">
        <v>5230674</v>
      </c>
      <c r="I12" s="619">
        <v>536899</v>
      </c>
      <c r="J12" s="619"/>
      <c r="K12" s="1442">
        <f>(H12+I12)-J12</f>
        <v>5767573</v>
      </c>
      <c r="L12" s="1442">
        <f>F12-K12</f>
        <v>1805063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8002183</v>
      </c>
      <c r="D15" s="1771">
        <v>223570</v>
      </c>
      <c r="E15" s="1771">
        <v>8002183</v>
      </c>
      <c r="F15" s="1765">
        <f>(C15+D15)-E15</f>
        <v>223570</v>
      </c>
      <c r="G15" s="685" t="s">
        <v>857</v>
      </c>
      <c r="H15" s="632"/>
      <c r="I15" s="632"/>
      <c r="J15" s="632"/>
      <c r="K15" s="632"/>
      <c r="L15" s="1442">
        <f>F15-K15</f>
        <v>223570</v>
      </c>
    </row>
    <row r="16" spans="1:14" ht="15" customHeight="1" thickTop="1" thickBot="1" x14ac:dyDescent="0.25">
      <c r="A16" s="1438" t="s">
        <v>638</v>
      </c>
      <c r="B16" s="1439">
        <v>200</v>
      </c>
      <c r="C16" s="1765">
        <f>SUM(C3,C5:C6,C8:C10,C12:C15)</f>
        <v>68892159</v>
      </c>
      <c r="D16" s="1765">
        <f>SUM(D3,D5:D6,D8:D10,D12:D15)</f>
        <v>8596210</v>
      </c>
      <c r="E16" s="1765">
        <f>SUM(E3,E5:E6,E8:E10,E12:E15)</f>
        <v>8002183</v>
      </c>
      <c r="F16" s="1765">
        <f>SUM(F3,F5:F6,F8:F10,F12:F15)</f>
        <v>69486186</v>
      </c>
      <c r="G16" s="681"/>
      <c r="H16" s="1435">
        <f>SUM(H3,H6,H8:H10,H12:H14,)</f>
        <v>26473240</v>
      </c>
      <c r="I16" s="1435">
        <f>SUM(I3,I6,I8:I10,I12:I14,)</f>
        <v>2582010</v>
      </c>
      <c r="J16" s="1435">
        <f>SUM(J3,J6,J8:J10,J12:J14,)</f>
        <v>0</v>
      </c>
      <c r="K16" s="1435">
        <f>(H16+I16)-J16</f>
        <v>29055250</v>
      </c>
      <c r="L16" s="1435">
        <f>F16-K16</f>
        <v>40430936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250606</v>
      </c>
      <c r="G17" s="676">
        <v>10</v>
      </c>
      <c r="H17" s="621"/>
      <c r="I17" s="1442">
        <f>F17/G17</f>
        <v>25060.6</v>
      </c>
      <c r="J17" s="621"/>
      <c r="K17" s="638"/>
      <c r="L17" s="638"/>
    </row>
    <row r="18" spans="1:12" ht="14.25" thickTop="1" thickBot="1" x14ac:dyDescent="0.25">
      <c r="A18" s="1440" t="s">
        <v>680</v>
      </c>
      <c r="B18" s="1441"/>
      <c r="C18" s="623"/>
      <c r="D18" s="623"/>
      <c r="E18" s="623"/>
      <c r="F18" s="686"/>
      <c r="G18" s="687"/>
      <c r="H18" s="624"/>
      <c r="I18" s="1435">
        <f>SUM(I16,I17)</f>
        <v>2607070.6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46"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19521546</v>
      </c>
      <c r="G8" s="701"/>
    </row>
    <row r="9" spans="1:9" x14ac:dyDescent="0.2">
      <c r="A9" s="705" t="s">
        <v>457</v>
      </c>
      <c r="B9" s="706" t="s">
        <v>1848</v>
      </c>
      <c r="C9" s="707"/>
      <c r="D9" s="705" t="s">
        <v>498</v>
      </c>
      <c r="E9" s="704"/>
      <c r="F9" s="1775">
        <f>'Expenditures 15-22'!K151</f>
        <v>1810051</v>
      </c>
      <c r="G9" s="708"/>
    </row>
    <row r="10" spans="1:9" x14ac:dyDescent="0.2">
      <c r="A10" s="705" t="s">
        <v>496</v>
      </c>
      <c r="B10" s="706" t="s">
        <v>1849</v>
      </c>
      <c r="C10" s="707"/>
      <c r="D10" s="705" t="s">
        <v>498</v>
      </c>
      <c r="E10" s="704"/>
      <c r="F10" s="1775">
        <f>'Expenditures 15-22'!K174</f>
        <v>1283200</v>
      </c>
      <c r="G10" s="708"/>
    </row>
    <row r="11" spans="1:9" x14ac:dyDescent="0.2">
      <c r="A11" s="705" t="s">
        <v>458</v>
      </c>
      <c r="B11" s="706" t="s">
        <v>1850</v>
      </c>
      <c r="C11" s="707"/>
      <c r="D11" s="705" t="s">
        <v>498</v>
      </c>
      <c r="E11" s="704"/>
      <c r="F11" s="1775">
        <f>'Expenditures 15-22'!K210</f>
        <v>1066933</v>
      </c>
      <c r="G11" s="708"/>
    </row>
    <row r="12" spans="1:9" x14ac:dyDescent="0.2">
      <c r="A12" s="705" t="s">
        <v>459</v>
      </c>
      <c r="B12" s="706" t="s">
        <v>1851</v>
      </c>
      <c r="C12" s="707"/>
      <c r="D12" s="705" t="s">
        <v>498</v>
      </c>
      <c r="E12" s="704"/>
      <c r="F12" s="1775">
        <f>'Expenditures 15-22'!K295</f>
        <v>567660</v>
      </c>
      <c r="G12" s="708"/>
    </row>
    <row r="13" spans="1:9" x14ac:dyDescent="0.2">
      <c r="A13" s="705" t="s">
        <v>106</v>
      </c>
      <c r="B13" s="706" t="s">
        <v>1852</v>
      </c>
      <c r="C13" s="707"/>
      <c r="D13" s="705" t="s">
        <v>498</v>
      </c>
      <c r="E13" s="704"/>
      <c r="F13" s="1775">
        <f>'Expenditures 15-22'!K342</f>
        <v>145868</v>
      </c>
      <c r="G13" s="709"/>
    </row>
    <row r="14" spans="1:9" ht="12" customHeight="1" thickBot="1" x14ac:dyDescent="0.25">
      <c r="A14" s="1443"/>
      <c r="B14" s="1444"/>
      <c r="C14" s="1445"/>
      <c r="D14" s="1446" t="s">
        <v>498</v>
      </c>
      <c r="E14" s="1447" t="s">
        <v>952</v>
      </c>
      <c r="F14" s="1776">
        <f>SUM(F8:F13)</f>
        <v>24395258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306161</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31719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1925288</v>
      </c>
      <c r="G53" s="701"/>
    </row>
    <row r="54" spans="1:7" x14ac:dyDescent="0.2">
      <c r="A54" s="705" t="s">
        <v>456</v>
      </c>
      <c r="B54" s="705" t="s">
        <v>1459</v>
      </c>
      <c r="C54" s="724" t="s">
        <v>975</v>
      </c>
      <c r="D54" s="720" t="s">
        <v>1086</v>
      </c>
      <c r="E54" s="704"/>
      <c r="F54" s="1782">
        <f>'Expenditures 15-22'!G114</f>
        <v>238293</v>
      </c>
      <c r="G54" s="701"/>
    </row>
    <row r="55" spans="1:7" x14ac:dyDescent="0.2">
      <c r="A55" s="705" t="s">
        <v>456</v>
      </c>
      <c r="B55" s="705" t="s">
        <v>1460</v>
      </c>
      <c r="C55" s="724" t="s">
        <v>975</v>
      </c>
      <c r="D55" s="720" t="s">
        <v>288</v>
      </c>
      <c r="E55" s="704"/>
      <c r="F55" s="1782">
        <f>'Expenditures 15-22'!I114</f>
        <v>130297</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76311</v>
      </c>
      <c r="G58" s="701"/>
    </row>
    <row r="59" spans="1:7" x14ac:dyDescent="0.2">
      <c r="A59" s="728" t="s">
        <v>457</v>
      </c>
      <c r="B59" s="692" t="s">
        <v>1855</v>
      </c>
      <c r="C59" s="729" t="s">
        <v>975</v>
      </c>
      <c r="D59" s="692" t="s">
        <v>288</v>
      </c>
      <c r="F59" s="1785">
        <f>'Expenditures 15-22'!I151</f>
        <v>87009</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720000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10207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461</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3525746</v>
      </c>
      <c r="G77" s="701"/>
    </row>
    <row r="78" spans="1:9" s="728" customFormat="1" ht="12" customHeight="1" thickTop="1" thickBot="1" x14ac:dyDescent="0.25">
      <c r="A78" s="1450"/>
      <c r="B78" s="1448"/>
      <c r="C78" s="1445"/>
      <c r="D78" s="1449" t="s">
        <v>2012</v>
      </c>
      <c r="E78" s="1447"/>
      <c r="F78" s="1788">
        <f>(F14-F77)</f>
        <v>20869512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1154.2</v>
      </c>
      <c r="G79" s="733"/>
      <c r="H79" s="705"/>
      <c r="I79" s="705"/>
    </row>
    <row r="80" spans="1:9" s="728" customFormat="1" ht="12" customHeight="1" thickBot="1" x14ac:dyDescent="0.25">
      <c r="A80" s="1452"/>
      <c r="B80" s="1448"/>
      <c r="C80" s="1445"/>
      <c r="D80" s="1449" t="s">
        <v>2013</v>
      </c>
      <c r="E80" s="1447" t="s">
        <v>952</v>
      </c>
      <c r="F80" s="1790">
        <f>IF(F79&gt;0,F78/F79," Complete Line 79")</f>
        <v>18081.3654479293</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198949</v>
      </c>
      <c r="G95" s="745"/>
    </row>
    <row r="96" spans="1:7" x14ac:dyDescent="0.2">
      <c r="A96" s="741" t="s">
        <v>139</v>
      </c>
      <c r="B96" s="741" t="s">
        <v>174</v>
      </c>
      <c r="C96" s="743">
        <v>1700</v>
      </c>
      <c r="D96" s="751" t="str">
        <f>'Revenues 9-14'!A82</f>
        <v>Total District/School Activity Income</v>
      </c>
      <c r="E96" s="739"/>
      <c r="F96" s="1793">
        <f>SUM('Revenues 9-14'!C82,'Revenues 9-14'!D82)</f>
        <v>101966</v>
      </c>
      <c r="G96" s="745"/>
    </row>
    <row r="97" spans="1:7" x14ac:dyDescent="0.2">
      <c r="A97" s="741" t="s">
        <v>456</v>
      </c>
      <c r="B97" s="741" t="s">
        <v>175</v>
      </c>
      <c r="C97" s="743">
        <f>'Revenues 9-14'!B84</f>
        <v>1811</v>
      </c>
      <c r="D97" s="744" t="str">
        <f>'Revenues 9-14'!A84</f>
        <v>Rentals - Regular Textbooks</v>
      </c>
      <c r="E97" s="739"/>
      <c r="F97" s="1793">
        <f>'Revenues 9-14'!C84</f>
        <v>44928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123353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342877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13470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274518</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5000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4336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19846</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43084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16683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7759</v>
      </c>
      <c r="G171" s="760"/>
    </row>
    <row r="172" spans="1:7" x14ac:dyDescent="0.2">
      <c r="A172" s="1529" t="s">
        <v>5</v>
      </c>
      <c r="B172" s="1530" t="s">
        <v>1885</v>
      </c>
      <c r="C172" s="1531">
        <v>3100</v>
      </c>
      <c r="D172" s="1532" t="s">
        <v>1887</v>
      </c>
      <c r="E172" s="739"/>
      <c r="F172" s="1794">
        <v>417585.64</v>
      </c>
      <c r="G172" s="760"/>
    </row>
    <row r="173" spans="1:7" x14ac:dyDescent="0.2">
      <c r="A173" s="1529" t="s">
        <v>659</v>
      </c>
      <c r="B173" s="1530" t="s">
        <v>1885</v>
      </c>
      <c r="C173" s="1531">
        <v>3300</v>
      </c>
      <c r="D173" s="1532" t="s">
        <v>1888</v>
      </c>
      <c r="E173" s="739"/>
      <c r="F173" s="1794">
        <v>42144.32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1656498.9600000002</v>
      </c>
    </row>
    <row r="176" spans="1:7" ht="12" customHeight="1" x14ac:dyDescent="0.2">
      <c r="A176" s="1443"/>
      <c r="B176" s="1453"/>
      <c r="C176" s="1454"/>
      <c r="D176" s="1455" t="s">
        <v>2014</v>
      </c>
      <c r="E176" s="1456"/>
      <c r="F176" s="1793">
        <f>'PCTC-OEPP 27-28'!F78-F175</f>
        <v>19213013.039999999</v>
      </c>
    </row>
    <row r="177" spans="1:9" ht="12" customHeight="1" x14ac:dyDescent="0.2">
      <c r="A177" s="1443"/>
      <c r="B177" s="1453"/>
      <c r="C177" s="1454"/>
      <c r="D177" s="1455" t="s">
        <v>1794</v>
      </c>
      <c r="E177" s="1456"/>
      <c r="F177" s="1793">
        <f>'Cap Outlay Deprec 26'!I18</f>
        <v>2607070.6</v>
      </c>
    </row>
    <row r="178" spans="1:9" ht="12" customHeight="1" x14ac:dyDescent="0.2">
      <c r="A178" s="1443"/>
      <c r="B178" s="1453"/>
      <c r="C178" s="1454"/>
      <c r="D178" s="1455" t="s">
        <v>2015</v>
      </c>
      <c r="E178" s="1456"/>
      <c r="F178" s="1793">
        <f>F176+F177</f>
        <v>21820083.640000001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1154.2</v>
      </c>
      <c r="G179" s="763"/>
      <c r="I179" s="701"/>
    </row>
    <row r="180" spans="1:9" ht="12" customHeight="1" thickBot="1" x14ac:dyDescent="0.25">
      <c r="A180" s="1443"/>
      <c r="B180" s="1457"/>
      <c r="C180" s="1454"/>
      <c r="D180" s="1455" t="s">
        <v>2017</v>
      </c>
      <c r="E180" s="1456" t="s">
        <v>1528</v>
      </c>
      <c r="F180" s="1798">
        <f>F178/F179</f>
        <v>18904.941639230638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election activeCell="A28" sqref="A2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2071</v>
      </c>
      <c r="B18" s="1908">
        <v>202540300</v>
      </c>
      <c r="C18" s="2036" t="s">
        <v>2072</v>
      </c>
      <c r="D18" s="1886">
        <v>61597</v>
      </c>
      <c r="E18" s="1906" t="str">
        <f t="shared" ref="E18:E81" si="0">IF(D18&lt;25000,D18,"25,000")</f>
        <v>25,000</v>
      </c>
      <c r="F18" s="1906">
        <f t="shared" ref="F18:F81" si="1">IF(D18&gt;=25000,(D18-E18),"0")</f>
        <v>36597</v>
      </c>
      <c r="G18" s="1887"/>
    </row>
    <row r="19" spans="1:7" ht="30" x14ac:dyDescent="0.25">
      <c r="A19" s="2035" t="s">
        <v>2071</v>
      </c>
      <c r="B19" s="1908">
        <v>202540300</v>
      </c>
      <c r="C19" s="2036" t="s">
        <v>2073</v>
      </c>
      <c r="D19" s="1886">
        <v>65929</v>
      </c>
      <c r="E19" s="1906" t="str">
        <f t="shared" si="0"/>
        <v>25,000</v>
      </c>
      <c r="F19" s="1906">
        <f t="shared" si="1"/>
        <v>40929</v>
      </c>
    </row>
    <row r="20" spans="1:7" ht="30" x14ac:dyDescent="0.25">
      <c r="A20" s="2035" t="s">
        <v>2071</v>
      </c>
      <c r="B20" s="1908">
        <v>202540300</v>
      </c>
      <c r="C20" s="2036" t="s">
        <v>2074</v>
      </c>
      <c r="D20" s="1886">
        <v>95745</v>
      </c>
      <c r="E20" s="1906" t="str">
        <f t="shared" si="0"/>
        <v>25,000</v>
      </c>
      <c r="F20" s="1906">
        <f t="shared" si="1"/>
        <v>70745</v>
      </c>
    </row>
    <row r="21" spans="1:7" x14ac:dyDescent="0.25">
      <c r="A21" s="2035" t="s">
        <v>2075</v>
      </c>
      <c r="B21" s="1908">
        <v>101000300</v>
      </c>
      <c r="C21" s="2036" t="s">
        <v>2076</v>
      </c>
      <c r="D21" s="1886">
        <v>41167</v>
      </c>
      <c r="E21" s="1906" t="str">
        <f t="shared" si="0"/>
        <v>25,000</v>
      </c>
      <c r="F21" s="1906">
        <f t="shared" si="1"/>
        <v>16167</v>
      </c>
    </row>
    <row r="22" spans="1:7" ht="30" x14ac:dyDescent="0.25">
      <c r="A22" s="2035" t="s">
        <v>2077</v>
      </c>
      <c r="B22" s="1908">
        <v>202540400</v>
      </c>
      <c r="C22" s="2036" t="s">
        <v>2078</v>
      </c>
      <c r="D22" s="1886">
        <v>208661</v>
      </c>
      <c r="E22" s="1906" t="str">
        <f t="shared" si="0"/>
        <v>25,000</v>
      </c>
      <c r="F22" s="1906">
        <f t="shared" si="1"/>
        <v>183661</v>
      </c>
    </row>
    <row r="23" spans="1:7" ht="30" x14ac:dyDescent="0.25">
      <c r="A23" s="2035" t="s">
        <v>2079</v>
      </c>
      <c r="B23" s="1908">
        <v>402550300</v>
      </c>
      <c r="C23" s="2036" t="s">
        <v>2080</v>
      </c>
      <c r="D23" s="1886">
        <v>797986</v>
      </c>
      <c r="E23" s="1906" t="str">
        <f t="shared" si="0"/>
        <v>25,000</v>
      </c>
      <c r="F23" s="1906">
        <f t="shared" si="1"/>
        <v>772986</v>
      </c>
    </row>
    <row r="24" spans="1:7" x14ac:dyDescent="0.25">
      <c r="A24" s="2035" t="s">
        <v>2081</v>
      </c>
      <c r="B24" s="1908">
        <v>102520300</v>
      </c>
      <c r="C24" s="2036" t="s">
        <v>2082</v>
      </c>
      <c r="D24" s="1886">
        <v>96677</v>
      </c>
      <c r="E24" s="1906" t="str">
        <f t="shared" si="0"/>
        <v>25,000</v>
      </c>
      <c r="F24" s="1906">
        <f t="shared" si="1"/>
        <v>71677</v>
      </c>
    </row>
    <row r="25" spans="1:7" ht="30" x14ac:dyDescent="0.25">
      <c r="A25" s="2035" t="s">
        <v>2079</v>
      </c>
      <c r="B25" s="1908">
        <v>402550300</v>
      </c>
      <c r="C25" s="2036" t="s">
        <v>2083</v>
      </c>
      <c r="D25" s="1886">
        <v>390177</v>
      </c>
      <c r="E25" s="1906" t="str">
        <f t="shared" si="0"/>
        <v>25,000</v>
      </c>
      <c r="F25" s="1906">
        <f t="shared" si="1"/>
        <v>365177</v>
      </c>
    </row>
    <row r="26" spans="1:7" ht="30" x14ac:dyDescent="0.25">
      <c r="A26" s="2035" t="s">
        <v>2077</v>
      </c>
      <c r="B26" s="1908">
        <v>202540400</v>
      </c>
      <c r="C26" s="2036" t="s">
        <v>2084</v>
      </c>
      <c r="D26" s="1886">
        <v>54425</v>
      </c>
      <c r="E26" s="1906" t="str">
        <f t="shared" si="0"/>
        <v>25,000</v>
      </c>
      <c r="F26" s="1906">
        <f t="shared" si="1"/>
        <v>29425</v>
      </c>
    </row>
    <row r="27" spans="1:7" x14ac:dyDescent="0.25">
      <c r="A27" s="2035" t="s">
        <v>2085</v>
      </c>
      <c r="B27" s="1908">
        <v>102300300</v>
      </c>
      <c r="C27" s="2036" t="s">
        <v>2086</v>
      </c>
      <c r="D27" s="1886">
        <v>105363</v>
      </c>
      <c r="E27" s="1906" t="str">
        <f t="shared" si="0"/>
        <v>25,000</v>
      </c>
      <c r="F27" s="1906">
        <f t="shared" si="1"/>
        <v>80363</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1917727</v>
      </c>
      <c r="E142" s="1893">
        <f>SUM(E18:E141)</f>
        <v>0</v>
      </c>
      <c r="F142" s="1894">
        <f>SUM(F18:F141)</f>
        <v>1667727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f>'Expenditures 15-22'!K63</f>
        <v>423014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12586859</v>
      </c>
      <c r="F19" s="1802"/>
      <c r="G19" s="1804">
        <f>'Expenditures 15-22'!K33-SUM('Expenditures 15-22'!G33,'Expenditures 15-22'!I33)+'Expenditures 15-22'!D229</f>
        <v>12586859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1096353</v>
      </c>
      <c r="F21" s="1805"/>
      <c r="G21" s="1808">
        <f>'Expenditures 15-22'!K42-SUM('Expenditures 15-22'!G42,'Expenditures 15-22'!I42)+'Expenditures 15-22'!K120-SUM('Expenditures 15-22'!G120,'Expenditures 15-22'!I120)+'Expenditures 15-22'!K180-SUM('Expenditures 15-22'!G180,'Expenditures 15-22'!I180)+'Expenditures 15-22'!D238</f>
        <v>1096353</v>
      </c>
      <c r="H21" s="817"/>
      <c r="I21" s="157"/>
    </row>
    <row r="22" spans="1:9" s="542" customFormat="1" ht="12" customHeight="1" x14ac:dyDescent="0.2">
      <c r="A22" s="824" t="s">
        <v>560</v>
      </c>
      <c r="B22" s="825"/>
      <c r="C22" s="823">
        <v>2200</v>
      </c>
      <c r="D22" s="1805"/>
      <c r="E22" s="1807">
        <f>'Expenditures 15-22'!K47-SUM('Expenditures 15-22'!G47,'Expenditures 15-22'!I47)+'Expenditures 15-22'!D243</f>
        <v>741735</v>
      </c>
      <c r="F22" s="1805"/>
      <c r="G22" s="1808">
        <f>'Expenditures 15-22'!K47-SUM('Expenditures 15-22'!G47,'Expenditures 15-22'!I47)+'Expenditures 15-22'!D243</f>
        <v>741735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865392</v>
      </c>
      <c r="F23" s="1805"/>
      <c r="G23" s="1807">
        <f>'Expenditures 15-22'!K53-SUM('Expenditures 15-22'!G53,'Expenditures 15-22'!I53)+'Expenditures 15-22'!D257+'Expenditures 15-22'!K330-SUM('Expenditures 15-22'!G330,'Expenditures 15-22'!I330)</f>
        <v>865392</v>
      </c>
      <c r="H23" s="817"/>
      <c r="I23" s="157"/>
    </row>
    <row r="24" spans="1:9" s="542" customFormat="1" ht="12" customHeight="1" x14ac:dyDescent="0.2">
      <c r="A24" s="824" t="s">
        <v>562</v>
      </c>
      <c r="B24" s="825"/>
      <c r="C24" s="823">
        <v>2400</v>
      </c>
      <c r="D24" s="1805"/>
      <c r="E24" s="1807">
        <f>'Expenditures 15-22'!K57-SUM('Expenditures 15-22'!G57,'Expenditures 15-22'!I57)+'Expenditures 15-22'!D261</f>
        <v>895314</v>
      </c>
      <c r="F24" s="1805"/>
      <c r="G24" s="1808">
        <f>'Expenditures 15-22'!K57-SUM('Expenditures 15-22'!G57,'Expenditures 15-22'!I57)+'Expenditures 15-22'!D261</f>
        <v>895314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196585</v>
      </c>
      <c r="E26" s="1807">
        <f>'Expenditures 15-22'!K122-SUM('Expenditures 15-22'!G122,'Expenditures 15-22'!I122)+E7</f>
        <v>0</v>
      </c>
      <c r="F26" s="1807">
        <f>'Expenditures 15-22'!K59-SUM('Expenditures 15-22'!G59,'Expenditures 15-22'!I59)+'Expenditures 15-22'!D263-E7</f>
        <v>196585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420421</v>
      </c>
      <c r="E27" s="1807">
        <f>E8</f>
        <v>0</v>
      </c>
      <c r="F27" s="1807">
        <f>'Expenditures 15-22'!K60-SUM('Expenditures 15-22'!G60,'Expenditures 15-22'!I60)+'Expenditures 15-22'!D264-E8</f>
        <v>420421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1737757</v>
      </c>
      <c r="F28" s="1809">
        <f>'Expenditures 15-22'!K61-SUM('Expenditures 15-22'!G61,'Expenditures 15-22'!I61)+'Expenditures 15-22'!K124-SUM('Expenditures 15-22'!G124,'Expenditures 15-22'!I124)+'Expenditures 15-22'!D266-E9</f>
        <v>1737757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1066933</v>
      </c>
      <c r="F29" s="1805"/>
      <c r="G29" s="1808">
        <f>'Expenditures 15-22'!K62-SUM('Expenditures 15-22'!G62,'Expenditures 15-22'!I62)+'Expenditures 15-22'!K125-SUM('Expenditures 15-22'!G125,'Expenditures 15-22'!I125)+'Expenditures 15-22'!K182-SUM('Expenditures 15-22'!G182,'Expenditures 15-22'!I182)+'Expenditures 15-22'!D267</f>
        <v>1066933</v>
      </c>
      <c r="H29" s="815"/>
    </row>
    <row r="30" spans="1:9" ht="12" customHeight="1" x14ac:dyDescent="0.2">
      <c r="A30" s="824" t="s">
        <v>100</v>
      </c>
      <c r="B30" s="827"/>
      <c r="C30" s="823">
        <v>2560</v>
      </c>
      <c r="D30" s="1805"/>
      <c r="E30" s="1807">
        <f>'Expenditures 15-22'!K63-SUM('Expenditures 15-22'!G63,'Expenditures 15-22'!I63)+'Expenditures 15-22'!D268-E10</f>
        <v>42450</v>
      </c>
      <c r="F30" s="1805"/>
      <c r="G30" s="1807">
        <f>'Expenditures 15-22'!K63-SUM('Expenditures 15-22'!G63,'Expenditures 15-22'!I63)+'Expenditures 15-22'!D268-E10</f>
        <v>42450</v>
      </c>
    </row>
    <row r="31" spans="1:9" ht="12" customHeight="1" x14ac:dyDescent="0.2">
      <c r="A31" s="824" t="s">
        <v>101</v>
      </c>
      <c r="B31" s="827"/>
      <c r="C31" s="823">
        <v>2570</v>
      </c>
      <c r="D31" s="1807">
        <f>'Expenditures 15-22'!K64-SUM('Expenditures 15-22'!G64,'Expenditures 15-22'!I64)+'Expenditures 15-22'!D269-E12</f>
        <v>23994</v>
      </c>
      <c r="E31" s="1807">
        <f>E12</f>
        <v>0</v>
      </c>
      <c r="F31" s="1807">
        <f>'Expenditures 15-22'!K64-SUM('Expenditures 15-22'!G64,'Expenditures 15-22'!I64)+'Expenditures 15-22'!D269-E12</f>
        <v>23994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113624</v>
      </c>
      <c r="F35" s="1805"/>
      <c r="G35" s="1807">
        <f>'Expenditures 15-22'!K69-SUM('Expenditures 15-22'!G69,'Expenditures 15-22'!I69)+'Expenditures 15-22'!D274</f>
        <v>113624</v>
      </c>
    </row>
    <row r="36" spans="1:7" ht="12" customHeight="1" x14ac:dyDescent="0.2">
      <c r="A36" s="824" t="s">
        <v>400</v>
      </c>
      <c r="B36" s="827"/>
      <c r="C36" s="823">
        <v>2640</v>
      </c>
      <c r="D36" s="1807">
        <f>'Expenditures 15-22'!K70-SUM('Expenditures 15-22'!G70,'Expenditures 15-22'!I70)+'Expenditures 15-22'!D275-E13</f>
        <v>64839</v>
      </c>
      <c r="E36" s="1807">
        <f>E13</f>
        <v>0</v>
      </c>
      <c r="F36" s="1807">
        <f>'Expenditures 15-22'!K70-SUM('Expenditures 15-22'!G70,'Expenditures 15-22'!I70)+'Expenditures 15-22'!D275-E13</f>
        <v>64839</v>
      </c>
      <c r="G36" s="1807">
        <f>E13</f>
        <v>0</v>
      </c>
    </row>
    <row r="37" spans="1:7" ht="12" customHeight="1" x14ac:dyDescent="0.2">
      <c r="A37" s="824" t="s">
        <v>401</v>
      </c>
      <c r="B37" s="827"/>
      <c r="C37" s="823">
        <v>2660</v>
      </c>
      <c r="D37" s="1807">
        <f>'Expenditures 15-22'!K71-SUM('Expenditures 15-22'!G71,'Expenditures 15-22'!I71)+'Expenditures 15-22'!D276-E14</f>
        <v>379590</v>
      </c>
      <c r="E37" s="1807">
        <f>E14</f>
        <v>0</v>
      </c>
      <c r="F37" s="1807">
        <f>'Expenditures 15-22'!K71-SUM('Expenditures 15-22'!G71,'Expenditures 15-22'!I71)+'Expenditures 15-22'!D276-E14</f>
        <v>379590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-1667727</v>
      </c>
      <c r="F40" s="1805"/>
      <c r="G40" s="1809">
        <f>-'Contracts Paid in CY 29'!F142</f>
        <v>-1667727</v>
      </c>
    </row>
    <row r="41" spans="1:7" ht="12" customHeight="1" x14ac:dyDescent="0.2">
      <c r="A41" s="828" t="s">
        <v>155</v>
      </c>
      <c r="B41" s="829"/>
      <c r="C41" s="830"/>
      <c r="D41" s="1809">
        <f>SUM(D19:D39)</f>
        <v>1085429</v>
      </c>
      <c r="E41" s="1809">
        <f>SUM(E19:E40)</f>
        <v>17478690</v>
      </c>
      <c r="F41" s="1809">
        <f>SUM(F19:F39)</f>
        <v>2823186</v>
      </c>
      <c r="G41" s="1809">
        <f>SUM(G19:G40)</f>
        <v>15740933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1085429</v>
      </c>
      <c r="F43" s="1458" t="s">
        <v>470</v>
      </c>
      <c r="G43" s="1810">
        <f>F41</f>
        <v>2823186</v>
      </c>
    </row>
    <row r="44" spans="1:7" ht="12" customHeight="1" x14ac:dyDescent="0.2">
      <c r="A44" s="817"/>
      <c r="B44" s="157"/>
      <c r="C44" s="831"/>
      <c r="D44" s="1458" t="s">
        <v>471</v>
      </c>
      <c r="E44" s="1810">
        <f>E41</f>
        <v>17478690</v>
      </c>
      <c r="F44" s="1458" t="s">
        <v>471</v>
      </c>
      <c r="G44" s="1810">
        <f>G41</f>
        <v>15740933</v>
      </c>
    </row>
    <row r="45" spans="1:7" ht="12" customHeight="1" x14ac:dyDescent="0.2">
      <c r="A45" s="817"/>
      <c r="B45" s="157"/>
      <c r="C45" s="157"/>
      <c r="D45" s="1459" t="s">
        <v>999</v>
      </c>
      <c r="E45" s="1811">
        <f>(E43/E44)</f>
        <v>6.2100134506647808E-2</v>
      </c>
      <c r="F45" s="1459" t="s">
        <v>999</v>
      </c>
      <c r="G45" s="1811">
        <f>(G43/G44)</f>
        <v>0.17935315524181444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Normal="10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Lincolnwood SD 74</v>
      </c>
      <c r="D6" s="2415"/>
      <c r="E6" s="2415"/>
      <c r="F6" s="1482"/>
      <c r="G6" s="1507"/>
      <c r="L6" s="1507"/>
      <c r="M6" s="1855"/>
      <c r="N6" s="1855"/>
      <c r="O6" s="1855"/>
    </row>
    <row r="7" spans="1:15" ht="11.25" customHeight="1" thickBot="1" x14ac:dyDescent="0.3">
      <c r="A7" s="1480"/>
      <c r="B7" s="1481"/>
      <c r="C7" s="2416">
        <f>COVER!A13</f>
        <v>5016074002</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t="s">
        <v>2067</v>
      </c>
      <c r="F14" s="1497" t="s">
        <v>2068</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t="s">
        <v>2067</v>
      </c>
      <c r="F19" s="1497" t="s">
        <v>2069</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2051</v>
      </c>
      <c r="D20" s="1495" t="s">
        <v>2051</v>
      </c>
      <c r="E20" s="1498" t="s">
        <v>2067</v>
      </c>
      <c r="F20" s="1497" t="s">
        <v>2070</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2067</v>
      </c>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election activeCell="G60" sqref="G60"/>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Lincolnwood SD 74</v>
      </c>
      <c r="K6" s="2437"/>
      <c r="L6" s="2451"/>
      <c r="M6" s="838"/>
      <c r="N6" s="1998"/>
    </row>
    <row r="7" spans="1:14" x14ac:dyDescent="0.2">
      <c r="A7" s="2452" t="s">
        <v>864</v>
      </c>
      <c r="B7" s="2453"/>
      <c r="C7" s="2453"/>
      <c r="D7" s="2453"/>
      <c r="E7" s="2454"/>
      <c r="F7" s="839"/>
      <c r="G7" s="838"/>
      <c r="H7" s="838"/>
      <c r="I7" s="1924" t="s">
        <v>369</v>
      </c>
      <c r="J7" s="2439">
        <f>COVER!A13</f>
        <v>5016074002</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289592</v>
      </c>
      <c r="F12" s="1942"/>
      <c r="G12" s="1968">
        <f>G68</f>
        <v>0</v>
      </c>
      <c r="H12" s="1944">
        <f t="shared" ref="H12:H18" si="0">SUM(E12:G12)</f>
        <v>289592</v>
      </c>
      <c r="I12" s="1943">
        <v>303825</v>
      </c>
      <c r="J12" s="1942"/>
      <c r="K12" s="1943"/>
      <c r="L12" s="1944">
        <f t="shared" ref="L12:L18" si="1">SUM(I12:K12)</f>
        <v>303825</v>
      </c>
      <c r="M12" s="838"/>
      <c r="N12" s="1998"/>
    </row>
    <row r="13" spans="1:14" x14ac:dyDescent="0.2">
      <c r="A13" s="2003">
        <v>2</v>
      </c>
      <c r="B13" s="1940" t="s">
        <v>42</v>
      </c>
      <c r="C13" s="842"/>
      <c r="D13" s="1941">
        <v>2330</v>
      </c>
      <c r="E13" s="1944">
        <f>'Expenditures 15-22'!K51</f>
        <v>178586</v>
      </c>
      <c r="F13" s="1942"/>
      <c r="G13" s="1968">
        <f>H68</f>
        <v>0</v>
      </c>
      <c r="H13" s="1944">
        <f t="shared" si="0"/>
        <v>178586</v>
      </c>
      <c r="I13" s="1943">
        <v>183515</v>
      </c>
      <c r="J13" s="1942"/>
      <c r="K13" s="1943"/>
      <c r="L13" s="1944">
        <f t="shared" si="1"/>
        <v>183515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194197</v>
      </c>
      <c r="F15" s="1944">
        <f>'Expenditures 15-22'!K122</f>
        <v>0</v>
      </c>
      <c r="G15" s="1968">
        <f>J68</f>
        <v>0</v>
      </c>
      <c r="H15" s="1944">
        <f t="shared" si="0"/>
        <v>194197</v>
      </c>
      <c r="I15" s="1943">
        <v>207413</v>
      </c>
      <c r="J15" s="1943"/>
      <c r="K15" s="1943"/>
      <c r="L15" s="1944">
        <f t="shared" si="1"/>
        <v>207413</v>
      </c>
      <c r="M15" s="838"/>
      <c r="N15" s="1998"/>
    </row>
    <row r="16" spans="1:14" x14ac:dyDescent="0.2">
      <c r="A16" s="2003">
        <v>5</v>
      </c>
      <c r="B16" s="1940" t="s">
        <v>101</v>
      </c>
      <c r="C16" s="842"/>
      <c r="D16" s="1941">
        <v>2570</v>
      </c>
      <c r="E16" s="1944">
        <f>'Expenditures 15-22'!K64</f>
        <v>23994</v>
      </c>
      <c r="F16" s="1942"/>
      <c r="G16" s="1968">
        <f>K68</f>
        <v>0</v>
      </c>
      <c r="H16" s="1944">
        <f t="shared" si="0"/>
        <v>23994</v>
      </c>
      <c r="I16" s="1943">
        <v>22000</v>
      </c>
      <c r="J16" s="1942"/>
      <c r="K16" s="1943"/>
      <c r="L16" s="1944">
        <f t="shared" si="1"/>
        <v>22000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686369</v>
      </c>
      <c r="F19" s="1950">
        <f t="shared" si="2"/>
        <v>0</v>
      </c>
      <c r="G19" s="1950">
        <f t="shared" ref="G19" si="3">SUM(G12:G17)-G18</f>
        <v>0</v>
      </c>
      <c r="H19" s="1950">
        <f t="shared" si="2"/>
        <v>686369</v>
      </c>
      <c r="I19" s="1950">
        <f t="shared" si="2"/>
        <v>716753</v>
      </c>
      <c r="J19" s="1950">
        <f t="shared" si="2"/>
        <v>0</v>
      </c>
      <c r="K19" s="1950">
        <f t="shared" si="2"/>
        <v>0</v>
      </c>
      <c r="L19" s="1950">
        <f t="shared" si="2"/>
        <v>716753</v>
      </c>
      <c r="M19" s="838"/>
      <c r="N19" s="1998"/>
    </row>
    <row r="20" spans="1:14" ht="13.5" thickTop="1" x14ac:dyDescent="0.2">
      <c r="A20" s="2003">
        <v>9</v>
      </c>
      <c r="B20" s="2461" t="s">
        <v>2021</v>
      </c>
      <c r="C20" s="2461"/>
      <c r="D20" s="2462"/>
      <c r="E20" s="1951"/>
      <c r="F20" s="1951"/>
      <c r="G20" s="1951"/>
      <c r="H20" s="1951"/>
      <c r="I20" s="1951"/>
      <c r="J20" s="1951"/>
      <c r="K20" s="1951"/>
      <c r="L20" s="1952">
        <f>IF(AND(H19&gt;0,L19&gt;0),(((L19-H19)/H19)),"Enter Budget Data")</f>
        <v>4.426773353691673E-2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1492</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1544</v>
      </c>
      <c r="D30" s="838"/>
      <c r="E30" s="1959"/>
      <c r="F30" s="2450" t="s">
        <v>1493</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2024</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2025</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2026</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Lincolnwood SD 74</v>
      </c>
      <c r="M52" s="2437"/>
      <c r="N52" s="2438"/>
    </row>
    <row r="53" spans="1:14" x14ac:dyDescent="0.2">
      <c r="A53" s="1982"/>
      <c r="B53" s="1983"/>
      <c r="C53" s="1983"/>
      <c r="D53" s="1983"/>
      <c r="E53" s="1983"/>
      <c r="F53" s="1983"/>
      <c r="G53" s="1983"/>
      <c r="H53" s="1983"/>
      <c r="I53" s="1983"/>
      <c r="J53" s="1983"/>
      <c r="K53" s="1924" t="s">
        <v>369</v>
      </c>
      <c r="L53" s="2439">
        <f>J7</f>
        <v>5016074002</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2030</v>
      </c>
      <c r="H55" s="2443"/>
      <c r="I55" s="2443"/>
      <c r="J55" s="2443"/>
      <c r="K55" s="2443"/>
      <c r="L55" s="2443"/>
      <c r="M55" s="2443"/>
      <c r="N55" s="2444"/>
    </row>
    <row r="56" spans="1:14" ht="63.75" x14ac:dyDescent="0.2">
      <c r="A56" s="2445" t="s">
        <v>2031</v>
      </c>
      <c r="B56" s="2446"/>
      <c r="C56" s="244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2041</v>
      </c>
      <c r="B58" s="2426"/>
      <c r="C58" s="2426"/>
      <c r="D58" s="1967">
        <v>2362</v>
      </c>
      <c r="E58" s="1977">
        <f>'Expenditures 15-22'!K320</f>
        <v>3128</v>
      </c>
      <c r="F58" s="1972"/>
      <c r="G58" s="2031"/>
      <c r="H58" s="2032"/>
      <c r="I58" s="2032"/>
      <c r="J58" s="2032"/>
      <c r="K58" s="2032"/>
      <c r="L58" s="2032"/>
      <c r="M58" s="2032">
        <v>3128</v>
      </c>
      <c r="N58" s="1975">
        <f>IF((SUM(G58:M58))=E58,SUM(G58:M58),"Column N does not agree with Column E")</f>
        <v>3128</v>
      </c>
    </row>
    <row r="59" spans="1:14" ht="24.75" customHeight="1" x14ac:dyDescent="0.2">
      <c r="A59" s="2419" t="s">
        <v>297</v>
      </c>
      <c r="B59" s="2420"/>
      <c r="C59" s="2420"/>
      <c r="D59" s="1967">
        <v>2363</v>
      </c>
      <c r="E59" s="1977">
        <f>'Expenditures 15-22'!K321</f>
        <v>1347</v>
      </c>
      <c r="F59" s="1972"/>
      <c r="G59" s="2031"/>
      <c r="H59" s="2032"/>
      <c r="I59" s="2032"/>
      <c r="J59" s="2032"/>
      <c r="K59" s="2032"/>
      <c r="L59" s="2032"/>
      <c r="M59" s="2032">
        <v>1347</v>
      </c>
      <c r="N59" s="1975">
        <f>IF((SUM(G59:M59))=E59,SUM(G59:M59),"Column N does not agree with Column E")</f>
        <v>1347</v>
      </c>
    </row>
    <row r="60" spans="1:14" ht="24" customHeight="1" x14ac:dyDescent="0.2">
      <c r="A60" s="2419" t="s">
        <v>236</v>
      </c>
      <c r="B60" s="2420"/>
      <c r="C60" s="2420"/>
      <c r="D60" s="1967">
        <v>2364</v>
      </c>
      <c r="E60" s="1977">
        <f>'Expenditures 15-22'!K322</f>
        <v>74809</v>
      </c>
      <c r="F60" s="1972"/>
      <c r="G60" s="2031"/>
      <c r="H60" s="2032"/>
      <c r="I60" s="2032"/>
      <c r="J60" s="2032"/>
      <c r="K60" s="2032"/>
      <c r="L60" s="2032"/>
      <c r="M60" s="2032">
        <v>74809</v>
      </c>
      <c r="N60" s="1975">
        <f t="shared" ref="N60:N67" si="4">IF((SUM(G60:M60))=E60,SUM(G60:M60),"Column N does not agree with Column E")</f>
        <v>74809</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66584</v>
      </c>
      <c r="F66" s="1972"/>
      <c r="G66" s="2031"/>
      <c r="H66" s="2032"/>
      <c r="I66" s="2032"/>
      <c r="J66" s="2032"/>
      <c r="K66" s="2032"/>
      <c r="L66" s="2032"/>
      <c r="M66" s="2032">
        <v>66584</v>
      </c>
      <c r="N66" s="1975">
        <f t="shared" si="4"/>
        <v>66584</v>
      </c>
    </row>
    <row r="67" spans="1:14" ht="24.75" customHeight="1" x14ac:dyDescent="0.2">
      <c r="A67" s="2421" t="s">
        <v>2042</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1151</v>
      </c>
      <c r="B68" s="2424"/>
      <c r="C68" s="2424"/>
      <c r="D68" s="1970"/>
      <c r="E68" s="1974">
        <f>SUM(E57:E67)</f>
        <v>145868</v>
      </c>
      <c r="F68" s="1973"/>
      <c r="G68" s="1974">
        <f t="shared" ref="G68:N68" si="5">SUM(G57:G67)</f>
        <v>0</v>
      </c>
      <c r="H68" s="1974">
        <f t="shared" si="5"/>
        <v>0</v>
      </c>
      <c r="I68" s="1974">
        <f t="shared" si="5"/>
        <v>0</v>
      </c>
      <c r="J68" s="1974">
        <f t="shared" si="5"/>
        <v>0</v>
      </c>
      <c r="K68" s="1974">
        <f t="shared" si="5"/>
        <v>0</v>
      </c>
      <c r="L68" s="1974">
        <f t="shared" si="5"/>
        <v>0</v>
      </c>
      <c r="M68" s="1974">
        <f t="shared" si="5"/>
        <v>145868</v>
      </c>
      <c r="N68" s="1988">
        <f t="shared" si="5"/>
        <v>145868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sqref="A1:F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Lincolnwood SD 74</v>
      </c>
    </row>
    <row r="65" spans="2:2" x14ac:dyDescent="0.2">
      <c r="B65" s="849">
        <f>COVER!A13</f>
        <v>5016074002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20382558</v>
      </c>
      <c r="C8" s="1813">
        <f>'Acct Summary 7-8'!D8</f>
        <v>2225187</v>
      </c>
      <c r="D8" s="1813">
        <f>'Acct Summary 7-8'!F8</f>
        <v>968791</v>
      </c>
      <c r="E8" s="1813">
        <f>'Acct Summary 7-8'!I8</f>
        <v>15637</v>
      </c>
      <c r="F8" s="1813">
        <f>SUM(B8:E8)</f>
        <v>23592173</v>
      </c>
    </row>
    <row r="9" spans="1:8" s="858" customFormat="1" ht="14.25" customHeight="1" thickBot="1" x14ac:dyDescent="0.25">
      <c r="A9" s="857" t="s">
        <v>1353</v>
      </c>
      <c r="B9" s="1814">
        <f>'Acct Summary 7-8'!C17</f>
        <v>19521546</v>
      </c>
      <c r="C9" s="1814">
        <f>'Acct Summary 7-8'!D17</f>
        <v>1810051</v>
      </c>
      <c r="D9" s="1814">
        <f>'Acct Summary 7-8'!F17</f>
        <v>1066933</v>
      </c>
      <c r="E9" s="1813"/>
      <c r="F9" s="1813">
        <f>SUM(B9:E9)</f>
        <v>22398530</v>
      </c>
    </row>
    <row r="10" spans="1:8" s="858" customFormat="1" ht="14.25" thickTop="1" thickBot="1" x14ac:dyDescent="0.25">
      <c r="A10" s="859" t="s">
        <v>1354</v>
      </c>
      <c r="B10" s="1815">
        <f>(B8-B9)</f>
        <v>861012</v>
      </c>
      <c r="C10" s="1815">
        <f>(C8-C9)</f>
        <v>415136</v>
      </c>
      <c r="D10" s="1815">
        <f>(D8-D9)</f>
        <v>-98142</v>
      </c>
      <c r="E10" s="1814">
        <f>(E8-E9)</f>
        <v>15637</v>
      </c>
      <c r="F10" s="1816">
        <f>SUM(F8-F9)</f>
        <v>1193643</v>
      </c>
    </row>
    <row r="11" spans="1:8" s="858" customFormat="1" ht="14.25" thickTop="1" thickBot="1" x14ac:dyDescent="0.25">
      <c r="A11" s="860" t="s">
        <v>1903</v>
      </c>
      <c r="B11" s="1817">
        <f>'Acct Summary 7-8'!C81</f>
        <v>9512490</v>
      </c>
      <c r="C11" s="1817">
        <f>'Acct Summary 7-8'!D81</f>
        <v>2744784</v>
      </c>
      <c r="D11" s="1817">
        <f>'Acct Summary 7-8'!F81</f>
        <v>1021544</v>
      </c>
      <c r="E11" s="1817">
        <f>'Acct Summary 7-8'!I81</f>
        <v>484675</v>
      </c>
      <c r="F11" s="1818">
        <f>SUM(B11:E11)</f>
        <v>13763493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C71" sqref="C7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5016074002</v>
      </c>
      <c r="E2" s="1542">
        <v>2020</v>
      </c>
      <c r="F2" s="1542">
        <v>1</v>
      </c>
      <c r="G2" s="1899">
        <v>101000300</v>
      </c>
    </row>
    <row r="3" spans="1:7" ht="15" x14ac:dyDescent="0.25">
      <c r="A3" t="s">
        <v>950</v>
      </c>
      <c r="B3" s="135" t="str">
        <f>COVER!A15</f>
        <v>Cook</v>
      </c>
      <c r="E3" s="1830" t="s">
        <v>1971</v>
      </c>
      <c r="F3" s="1830" t="s">
        <v>1970</v>
      </c>
      <c r="G3" s="1899">
        <v>101000400</v>
      </c>
    </row>
    <row r="4" spans="1:7" ht="15" x14ac:dyDescent="0.25">
      <c r="A4" t="s">
        <v>1000</v>
      </c>
      <c r="B4" s="135" t="str">
        <f>COVER!A17</f>
        <v xml:space="preserve"> Lincolnwood SD 74</v>
      </c>
      <c r="E4" s="1828">
        <v>44119</v>
      </c>
      <c r="F4" s="1829">
        <v>44151</v>
      </c>
      <c r="G4" s="1899">
        <v>101000600</v>
      </c>
    </row>
    <row r="5" spans="1:7" ht="15" x14ac:dyDescent="0.25">
      <c r="A5" t="s">
        <v>699</v>
      </c>
      <c r="B5" s="135" t="str">
        <f>COVER!A38</f>
        <v>Dr. Kimberly Nasshan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65033233</v>
      </c>
      <c r="G15" s="1899">
        <v>402100400</v>
      </c>
    </row>
    <row r="16" spans="1:7" ht="15" x14ac:dyDescent="0.25">
      <c r="A16" t="s">
        <v>419</v>
      </c>
      <c r="B16" s="135" t="str">
        <f>COVER!T13</f>
        <v>Lauterbach &amp; Amen, LLP</v>
      </c>
      <c r="G16" s="1899">
        <v>402100600</v>
      </c>
    </row>
    <row r="17" spans="1:7" ht="15" x14ac:dyDescent="0.25">
      <c r="A17" t="s">
        <v>878</v>
      </c>
      <c r="B17" s="135" t="str">
        <f>COVER!T15</f>
        <v>Matt Beran</v>
      </c>
      <c r="G17" s="1899">
        <v>402100800</v>
      </c>
    </row>
    <row r="18" spans="1:7" ht="15" x14ac:dyDescent="0.25">
      <c r="A18" t="s">
        <v>1140</v>
      </c>
      <c r="B18" s="135" t="str">
        <f>COVER!T17</f>
        <v>668 N. River Road</v>
      </c>
      <c r="G18" s="1899">
        <v>102200300</v>
      </c>
    </row>
    <row r="19" spans="1:7" ht="15" x14ac:dyDescent="0.25">
      <c r="A19" t="s">
        <v>880</v>
      </c>
      <c r="B19" s="135" t="str">
        <f>COVER!T25</f>
        <v>mberan@lauterbachamen.com</v>
      </c>
      <c r="G19" s="1899">
        <v>102200400</v>
      </c>
    </row>
    <row r="20" spans="1:7" ht="15" x14ac:dyDescent="0.25">
      <c r="A20" t="s">
        <v>881</v>
      </c>
      <c r="B20" s="135" t="str">
        <f>COVER!T19</f>
        <v>Naperville</v>
      </c>
      <c r="G20" s="1899">
        <v>102200600</v>
      </c>
    </row>
    <row r="21" spans="1:7" ht="15" x14ac:dyDescent="0.25">
      <c r="A21" t="s">
        <v>476</v>
      </c>
      <c r="B21" s="135" t="str">
        <f>COVER!X19</f>
        <v>IL</v>
      </c>
      <c r="G21" s="1899">
        <v>102200800</v>
      </c>
    </row>
    <row r="22" spans="1:7" ht="15" x14ac:dyDescent="0.25">
      <c r="A22" t="s">
        <v>882</v>
      </c>
      <c r="B22" s="135">
        <f>COVER!Z19</f>
        <v>60563</v>
      </c>
      <c r="G22" s="1899">
        <v>102300300</v>
      </c>
    </row>
    <row r="23" spans="1:7" ht="15" x14ac:dyDescent="0.25">
      <c r="A23" t="s">
        <v>1142</v>
      </c>
      <c r="B23" s="135">
        <f>COVER!T21</f>
        <v>6303931483</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33239</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8775190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18719932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8775190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9207442</v>
      </c>
      <c r="C91" s="2" t="s">
        <v>569</v>
      </c>
      <c r="D91" s="2" t="str">
        <f t="shared" si="0"/>
        <v>Error?</v>
      </c>
      <c r="G91" s="1899">
        <v>102640400</v>
      </c>
    </row>
    <row r="92" spans="1:7" ht="15" x14ac:dyDescent="0.25">
      <c r="A92" s="5">
        <v>31</v>
      </c>
      <c r="B92" s="1832">
        <f>'Assets-Liab 5-6'!C39</f>
        <v>9269919</v>
      </c>
      <c r="D92" s="2" t="str">
        <f t="shared" si="0"/>
        <v>Error?</v>
      </c>
      <c r="G92" s="1899">
        <v>102640600</v>
      </c>
    </row>
    <row r="93" spans="1:7" ht="15" x14ac:dyDescent="0.25">
      <c r="A93" s="5">
        <v>32</v>
      </c>
      <c r="B93" s="1832">
        <f>'Assets-Liab 5-6'!C41</f>
        <v>18719932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1023659</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3830637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1023659</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1085853</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3830637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238826</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1069074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238826</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238826</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1069074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220387</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1241931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220387</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220387</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1241931</v>
      </c>
      <c r="C171" s="2" t="s">
        <v>569</v>
      </c>
      <c r="D171" s="2" t="str">
        <f t="shared" si="1"/>
        <v>Error?</v>
      </c>
    </row>
    <row r="172" spans="1:4" x14ac:dyDescent="0.2">
      <c r="A172" s="10">
        <v>111</v>
      </c>
      <c r="B172" s="1832"/>
      <c r="D172" s="2" t="str">
        <f t="shared" si="1"/>
        <v>OK</v>
      </c>
    </row>
    <row r="173" spans="1:4" x14ac:dyDescent="0.2">
      <c r="A173" s="5">
        <v>112</v>
      </c>
      <c r="B173" s="1832">
        <f>'Assets-Liab 5-6'!G6</f>
        <v>237184</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454999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237184</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237184</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454999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1611486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201974</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1611486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2337500</v>
      </c>
      <c r="D273" s="2" t="str">
        <f t="shared" si="3"/>
        <v>Error?</v>
      </c>
    </row>
    <row r="274" spans="1:4" x14ac:dyDescent="0.2">
      <c r="A274" s="5">
        <v>213</v>
      </c>
      <c r="B274" s="1832">
        <f>'Assets-Liab 5-6'!M17</f>
        <v>35477176</v>
      </c>
      <c r="D274" s="2" t="str">
        <f t="shared" si="3"/>
        <v>Error?</v>
      </c>
    </row>
    <row r="275" spans="1:4" x14ac:dyDescent="0.2">
      <c r="A275" s="5">
        <v>214</v>
      </c>
      <c r="B275" s="1832">
        <f>'Assets-Liab 5-6'!M18</f>
        <v>587627</v>
      </c>
      <c r="D275" s="2" t="str">
        <f t="shared" si="3"/>
        <v>Error?</v>
      </c>
    </row>
    <row r="276" spans="1:4" x14ac:dyDescent="0.2">
      <c r="A276" s="5">
        <v>215</v>
      </c>
      <c r="B276" s="1832">
        <f>'Assets-Liab 5-6'!M19</f>
        <v>1805063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40430936</v>
      </c>
      <c r="C279" s="2" t="s">
        <v>569</v>
      </c>
      <c r="D279" s="2" t="str">
        <f t="shared" si="3"/>
        <v>Error?</v>
      </c>
    </row>
    <row r="280" spans="1:4" x14ac:dyDescent="0.2">
      <c r="A280" s="5">
        <v>219</v>
      </c>
      <c r="B280" s="1832">
        <f>'Assets-Liab 5-6'!M40</f>
        <v>40430936</v>
      </c>
      <c r="D280" s="2" t="str">
        <f t="shared" si="3"/>
        <v>Error?</v>
      </c>
    </row>
    <row r="281" spans="1:4" x14ac:dyDescent="0.2">
      <c r="A281" s="5">
        <v>220</v>
      </c>
      <c r="B281" s="1832">
        <f>'Assets-Liab 5-6'!M41</f>
        <v>40430936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14925000</v>
      </c>
      <c r="D283" s="2" t="str">
        <f t="shared" si="3"/>
        <v>Error?</v>
      </c>
    </row>
    <row r="284" spans="1:4" x14ac:dyDescent="0.2">
      <c r="A284" s="5">
        <v>223</v>
      </c>
      <c r="B284" s="1832">
        <f>'Assets-Liab 5-6'!N23</f>
        <v>14925000</v>
      </c>
      <c r="C284" s="2" t="s">
        <v>569</v>
      </c>
      <c r="D284" s="2" t="str">
        <f t="shared" si="3"/>
        <v>Error?</v>
      </c>
    </row>
    <row r="285" spans="1:4" x14ac:dyDescent="0.2">
      <c r="A285" s="5">
        <v>224</v>
      </c>
      <c r="B285" s="1832">
        <f>'Assets-Liab 5-6'!N36</f>
        <v>14925000</v>
      </c>
      <c r="D285" s="2" t="str">
        <f t="shared" si="3"/>
        <v>Error?</v>
      </c>
    </row>
    <row r="286" spans="1:4" x14ac:dyDescent="0.2">
      <c r="A286" s="10">
        <v>225</v>
      </c>
      <c r="B286" s="1832"/>
      <c r="D286" s="2" t="str">
        <f t="shared" si="3"/>
        <v>OK</v>
      </c>
    </row>
    <row r="287" spans="1:4" x14ac:dyDescent="0.2">
      <c r="A287" s="5">
        <v>226</v>
      </c>
      <c r="B287" s="1832">
        <f>'Assets-Liab 5-6'!N37</f>
        <v>14925000</v>
      </c>
      <c r="C287" s="2" t="s">
        <v>569</v>
      </c>
      <c r="D287" s="2" t="str">
        <f t="shared" si="3"/>
        <v>Error?</v>
      </c>
    </row>
    <row r="288" spans="1:4" x14ac:dyDescent="0.2">
      <c r="A288" s="5">
        <v>227</v>
      </c>
      <c r="B288" s="1832">
        <f>'Assets-Liab 5-6'!N41</f>
        <v>14925000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7249853</v>
      </c>
      <c r="D705" s="2" t="str">
        <f t="shared" si="10"/>
        <v>Error?</v>
      </c>
    </row>
    <row r="706" spans="1:4" x14ac:dyDescent="0.2">
      <c r="A706" s="5">
        <v>645</v>
      </c>
      <c r="B706" s="1832">
        <f>'Expenditures 15-22'!C16</f>
        <v>369074</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639042</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88445</v>
      </c>
      <c r="D718" s="2" t="str">
        <f t="shared" si="10"/>
        <v>Error?</v>
      </c>
    </row>
    <row r="719" spans="1:4" x14ac:dyDescent="0.2">
      <c r="A719" s="5">
        <v>658</v>
      </c>
      <c r="B719" s="1832">
        <f>'Expenditures 15-22'!C15</f>
        <v>30425</v>
      </c>
      <c r="D719" s="2" t="str">
        <f t="shared" si="10"/>
        <v>Error?</v>
      </c>
    </row>
    <row r="720" spans="1:4" x14ac:dyDescent="0.2">
      <c r="A720" s="5">
        <v>659</v>
      </c>
      <c r="B720" s="1832">
        <f>'Expenditures 15-22'!C33</f>
        <v>10094969</v>
      </c>
      <c r="C720" s="2" t="s">
        <v>569</v>
      </c>
      <c r="D720" s="2" t="str">
        <f t="shared" si="10"/>
        <v>Error?</v>
      </c>
    </row>
    <row r="721" spans="1:4" x14ac:dyDescent="0.2">
      <c r="A721" s="5">
        <v>660</v>
      </c>
      <c r="B721" s="1832">
        <f>'Expenditures 15-22'!C36</f>
        <v>278044</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161245</v>
      </c>
      <c r="D723" s="2" t="str">
        <f t="shared" si="10"/>
        <v>Error?</v>
      </c>
    </row>
    <row r="724" spans="1:4" x14ac:dyDescent="0.2">
      <c r="A724" s="5">
        <v>663</v>
      </c>
      <c r="B724" s="1832">
        <f>'Expenditures 15-22'!C39</f>
        <v>166987</v>
      </c>
      <c r="D724" s="2" t="str">
        <f t="shared" si="10"/>
        <v>Error?</v>
      </c>
    </row>
    <row r="725" spans="1:4" x14ac:dyDescent="0.2">
      <c r="A725" s="5">
        <v>664</v>
      </c>
      <c r="B725" s="1832">
        <f>'Expenditures 15-22'!C40</f>
        <v>266857</v>
      </c>
      <c r="D725" s="2" t="str">
        <f t="shared" si="10"/>
        <v>Error?</v>
      </c>
    </row>
    <row r="726" spans="1:4" x14ac:dyDescent="0.2">
      <c r="A726" s="5">
        <v>665</v>
      </c>
      <c r="B726" s="1832">
        <f>'Expenditures 15-22'!C41</f>
        <v>58430</v>
      </c>
      <c r="D726" s="2" t="str">
        <f t="shared" si="10"/>
        <v>Error?</v>
      </c>
    </row>
    <row r="727" spans="1:4" x14ac:dyDescent="0.2">
      <c r="A727" s="5">
        <v>666</v>
      </c>
      <c r="B727" s="1832">
        <f>'Expenditures 15-22'!C42</f>
        <v>931563</v>
      </c>
      <c r="C727" s="2" t="s">
        <v>569</v>
      </c>
      <c r="D727" s="2" t="str">
        <f t="shared" si="10"/>
        <v>Error?</v>
      </c>
    </row>
    <row r="728" spans="1:4" x14ac:dyDescent="0.2">
      <c r="A728" s="5">
        <v>667</v>
      </c>
      <c r="B728" s="1832">
        <f>'Expenditures 15-22'!C44</f>
        <v>322329</v>
      </c>
      <c r="D728" s="2" t="str">
        <f t="shared" si="10"/>
        <v>Error?</v>
      </c>
    </row>
    <row r="729" spans="1:4" x14ac:dyDescent="0.2">
      <c r="A729" s="5">
        <v>668</v>
      </c>
      <c r="B729" s="1832">
        <f>'Expenditures 15-22'!C45</f>
        <v>244750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567079</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254423</v>
      </c>
      <c r="D733" s="2" t="str">
        <f t="shared" si="10"/>
        <v>Error?</v>
      </c>
    </row>
    <row r="734" spans="1:4" x14ac:dyDescent="0.2">
      <c r="A734" s="5">
        <v>673</v>
      </c>
      <c r="B734" s="1832">
        <f>'Expenditures 15-22'!C53</f>
        <v>388253</v>
      </c>
      <c r="C734" s="2" t="s">
        <v>569</v>
      </c>
      <c r="D734" s="2" t="str">
        <f t="shared" si="10"/>
        <v>Error?</v>
      </c>
    </row>
    <row r="735" spans="1:4" x14ac:dyDescent="0.2">
      <c r="A735" s="5">
        <v>674</v>
      </c>
      <c r="B735" s="1832">
        <f>'Expenditures 15-22'!C55</f>
        <v>700751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700751</v>
      </c>
      <c r="C737" s="2" t="s">
        <v>569</v>
      </c>
      <c r="D737" s="2" t="str">
        <f t="shared" si="10"/>
        <v>Error?</v>
      </c>
    </row>
    <row r="738" spans="1:4" x14ac:dyDescent="0.2">
      <c r="A738" s="5">
        <v>677</v>
      </c>
      <c r="B738" s="1832">
        <f>'Expenditures 15-22'!C59</f>
        <v>164835</v>
      </c>
      <c r="D738" s="2" t="str">
        <f t="shared" si="10"/>
        <v>Error?</v>
      </c>
    </row>
    <row r="739" spans="1:4" x14ac:dyDescent="0.2">
      <c r="A739" s="5">
        <v>678</v>
      </c>
      <c r="B739" s="1832">
        <f>'Expenditures 15-22'!C60</f>
        <v>202211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218750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585796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77441</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309630</v>
      </c>
      <c r="D751" s="2" t="str">
        <f t="shared" si="10"/>
        <v>Error?</v>
      </c>
    </row>
    <row r="752" spans="1:4" x14ac:dyDescent="0.2">
      <c r="A752" s="10">
        <v>691</v>
      </c>
      <c r="B752" s="1832"/>
      <c r="D752" s="2" t="str">
        <f t="shared" si="10"/>
        <v>OK</v>
      </c>
    </row>
    <row r="753" spans="1:4" x14ac:dyDescent="0.2">
      <c r="A753" s="5">
        <v>692</v>
      </c>
      <c r="B753" s="1832">
        <f>'Expenditures 15-22'!C72</f>
        <v>387071</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3560513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13655482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906030</v>
      </c>
      <c r="D763" s="2" t="str">
        <f t="shared" si="10"/>
        <v>Error?</v>
      </c>
    </row>
    <row r="764" spans="1:4" x14ac:dyDescent="0.2">
      <c r="A764" s="5">
        <v>703</v>
      </c>
      <c r="B764" s="1832">
        <f>'Expenditures 15-22'!D16</f>
        <v>71622</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78109</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1096</v>
      </c>
      <c r="D776" s="2" t="str">
        <f t="shared" si="11"/>
        <v>Error?</v>
      </c>
    </row>
    <row r="777" spans="1:4" x14ac:dyDescent="0.2">
      <c r="A777" s="5">
        <v>716</v>
      </c>
      <c r="B777" s="1832">
        <f>'Expenditures 15-22'!D15</f>
        <v>731</v>
      </c>
      <c r="D777" s="2" t="str">
        <f t="shared" si="11"/>
        <v>Error?</v>
      </c>
    </row>
    <row r="778" spans="1:4" x14ac:dyDescent="0.2">
      <c r="A778" s="5">
        <v>717</v>
      </c>
      <c r="B778" s="1832">
        <f>'Expenditures 15-22'!D33</f>
        <v>1411956</v>
      </c>
      <c r="C778" s="2" t="s">
        <v>569</v>
      </c>
      <c r="D778" s="2" t="str">
        <f t="shared" si="11"/>
        <v>Error?</v>
      </c>
    </row>
    <row r="779" spans="1:4" x14ac:dyDescent="0.2">
      <c r="A779" s="5">
        <v>718</v>
      </c>
      <c r="B779" s="1832">
        <f>'Expenditures 15-22'!D36</f>
        <v>15962</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46586</v>
      </c>
      <c r="D781" s="2" t="str">
        <f t="shared" si="11"/>
        <v>Error?</v>
      </c>
    </row>
    <row r="782" spans="1:4" x14ac:dyDescent="0.2">
      <c r="A782" s="5">
        <v>721</v>
      </c>
      <c r="B782" s="1832">
        <f>'Expenditures 15-22'!D39</f>
        <v>19585</v>
      </c>
      <c r="D782" s="2" t="str">
        <f t="shared" si="11"/>
        <v>Error?</v>
      </c>
    </row>
    <row r="783" spans="1:4" x14ac:dyDescent="0.2">
      <c r="A783" s="5">
        <v>722</v>
      </c>
      <c r="B783" s="1832">
        <f>'Expenditures 15-22'!D40</f>
        <v>31616</v>
      </c>
      <c r="D783" s="2" t="str">
        <f t="shared" si="11"/>
        <v>Error?</v>
      </c>
    </row>
    <row r="784" spans="1:4" x14ac:dyDescent="0.2">
      <c r="A784" s="5">
        <v>723</v>
      </c>
      <c r="B784" s="1832">
        <f>'Expenditures 15-22'!D41</f>
        <v>281</v>
      </c>
      <c r="D784" s="2" t="str">
        <f t="shared" si="11"/>
        <v>Error?</v>
      </c>
    </row>
    <row r="785" spans="1:4" x14ac:dyDescent="0.2">
      <c r="A785" s="5">
        <v>724</v>
      </c>
      <c r="B785" s="1832">
        <f>'Expenditures 15-22'!D42</f>
        <v>114030</v>
      </c>
      <c r="C785" s="2" t="s">
        <v>569</v>
      </c>
      <c r="D785" s="2" t="str">
        <f t="shared" si="11"/>
        <v>Error?</v>
      </c>
    </row>
    <row r="786" spans="1:4" x14ac:dyDescent="0.2">
      <c r="A786" s="5">
        <v>725</v>
      </c>
      <c r="B786" s="1832">
        <f>'Expenditures 15-22'!D44</f>
        <v>37771</v>
      </c>
      <c r="D786" s="2" t="str">
        <f t="shared" si="11"/>
        <v>Error?</v>
      </c>
    </row>
    <row r="787" spans="1:4" x14ac:dyDescent="0.2">
      <c r="A787" s="5">
        <v>726</v>
      </c>
      <c r="B787" s="1832">
        <f>'Expenditures 15-22'!D45</f>
        <v>26228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63999</v>
      </c>
      <c r="C789" s="2" t="s">
        <v>569</v>
      </c>
      <c r="D789" s="2" t="str">
        <f t="shared" si="11"/>
        <v>Error?</v>
      </c>
    </row>
    <row r="790" spans="1:4" x14ac:dyDescent="0.2">
      <c r="A790" s="5">
        <v>729</v>
      </c>
      <c r="B790" s="1832">
        <f>'Expenditures 15-22'!D49</f>
        <v>54206</v>
      </c>
      <c r="D790" s="2" t="str">
        <f t="shared" si="11"/>
        <v>Error?</v>
      </c>
    </row>
    <row r="791" spans="1:4" x14ac:dyDescent="0.2">
      <c r="A791" s="5">
        <v>730</v>
      </c>
      <c r="B791" s="1832">
        <f>'Expenditures 15-22'!D50</f>
        <v>31574</v>
      </c>
      <c r="D791" s="2" t="str">
        <f t="shared" si="11"/>
        <v>Error?</v>
      </c>
    </row>
    <row r="792" spans="1:4" x14ac:dyDescent="0.2">
      <c r="A792" s="5">
        <v>731</v>
      </c>
      <c r="B792" s="1832">
        <f>'Expenditures 15-22'!D53</f>
        <v>130536</v>
      </c>
      <c r="C792" s="2" t="s">
        <v>569</v>
      </c>
      <c r="D792" s="2" t="str">
        <f t="shared" si="11"/>
        <v>Error?</v>
      </c>
    </row>
    <row r="793" spans="1:4" x14ac:dyDescent="0.2">
      <c r="A793" s="5">
        <v>732</v>
      </c>
      <c r="B793" s="1832">
        <f>'Expenditures 15-22'!D55</f>
        <v>143748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143748</v>
      </c>
      <c r="C795" s="2" t="s">
        <v>569</v>
      </c>
      <c r="D795" s="2" t="str">
        <f t="shared" si="11"/>
        <v>Error?</v>
      </c>
    </row>
    <row r="796" spans="1:4" x14ac:dyDescent="0.2">
      <c r="A796" s="5">
        <v>735</v>
      </c>
      <c r="B796" s="1832">
        <f>'Expenditures 15-22'!D59</f>
        <v>28192</v>
      </c>
      <c r="D796" s="2" t="str">
        <f t="shared" si="11"/>
        <v>Error?</v>
      </c>
    </row>
    <row r="797" spans="1:4" x14ac:dyDescent="0.2">
      <c r="A797" s="5">
        <v>736</v>
      </c>
      <c r="B797" s="1832">
        <f>'Expenditures 15-22'!D60</f>
        <v>36722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45579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110493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5877</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69735</v>
      </c>
      <c r="D809" s="2" t="str">
        <f t="shared" si="11"/>
        <v>Error?</v>
      </c>
    </row>
    <row r="810" spans="1:4" x14ac:dyDescent="0.2">
      <c r="A810" s="10">
        <v>749</v>
      </c>
      <c r="B810" s="1832"/>
      <c r="D810" s="2" t="str">
        <f t="shared" si="11"/>
        <v>OK</v>
      </c>
    </row>
    <row r="811" spans="1:4" x14ac:dyDescent="0.2">
      <c r="A811" s="5">
        <v>750</v>
      </c>
      <c r="B811" s="1832">
        <f>'Expenditures 15-22'!D72</f>
        <v>75612</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638418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2050374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123999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1650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158733</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30</v>
      </c>
      <c r="D839" s="2" t="str">
        <f t="shared" si="12"/>
        <v>Error?</v>
      </c>
    </row>
    <row r="840" spans="1:4" x14ac:dyDescent="0.2">
      <c r="A840" s="5">
        <v>779</v>
      </c>
      <c r="B840" s="1832">
        <f>'Expenditures 15-22'!E39</f>
        <v>124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154</v>
      </c>
      <c r="C843" s="2" t="s">
        <v>569</v>
      </c>
      <c r="D843" s="2" t="str">
        <f t="shared" si="12"/>
        <v>Error?</v>
      </c>
    </row>
    <row r="844" spans="1:4" x14ac:dyDescent="0.2">
      <c r="A844" s="5">
        <v>783</v>
      </c>
      <c r="B844" s="1832">
        <f>'Expenditures 15-22'!E44</f>
        <v>67006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67006</v>
      </c>
      <c r="C847" s="2" t="s">
        <v>569</v>
      </c>
      <c r="D847" s="2" t="str">
        <f t="shared" si="12"/>
        <v>Error?</v>
      </c>
    </row>
    <row r="848" spans="1:4" x14ac:dyDescent="0.2">
      <c r="A848" s="5">
        <v>787</v>
      </c>
      <c r="B848" s="1832">
        <f>'Expenditures 15-22'!E49</f>
        <v>167229</v>
      </c>
      <c r="D848" s="2" t="str">
        <f t="shared" si="12"/>
        <v>Error?</v>
      </c>
    </row>
    <row r="849" spans="1:4" x14ac:dyDescent="0.2">
      <c r="A849" s="5">
        <v>788</v>
      </c>
      <c r="B849" s="1832">
        <f>'Expenditures 15-22'!E50</f>
        <v>1097</v>
      </c>
      <c r="D849" s="2" t="str">
        <f t="shared" si="12"/>
        <v>Error?</v>
      </c>
    </row>
    <row r="850" spans="1:4" x14ac:dyDescent="0.2">
      <c r="A850" s="5">
        <v>789</v>
      </c>
      <c r="B850" s="1832">
        <f>'Expenditures 15-22'!E53</f>
        <v>168326</v>
      </c>
      <c r="C850" s="2" t="s">
        <v>569</v>
      </c>
      <c r="D850" s="2" t="str">
        <f t="shared" si="12"/>
        <v>Error?</v>
      </c>
    </row>
    <row r="851" spans="1:4" x14ac:dyDescent="0.2">
      <c r="A851" s="5">
        <v>790</v>
      </c>
      <c r="B851" s="1832">
        <f>'Expenditures 15-22'!E55</f>
        <v>3309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3309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115347</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2495</v>
      </c>
      <c r="D858" s="2" t="str">
        <f t="shared" si="12"/>
        <v>Error?</v>
      </c>
    </row>
    <row r="859" spans="1:4" x14ac:dyDescent="0.2">
      <c r="A859" s="5">
        <v>798</v>
      </c>
      <c r="B859" s="1832">
        <f>'Expenditures 15-22'!E64</f>
        <v>23994</v>
      </c>
      <c r="D859" s="2" t="str">
        <f t="shared" si="12"/>
        <v>Error?</v>
      </c>
    </row>
    <row r="860" spans="1:4" x14ac:dyDescent="0.2">
      <c r="A860" s="10">
        <v>799</v>
      </c>
      <c r="B860" s="1832"/>
      <c r="D860" s="2" t="str">
        <f t="shared" si="12"/>
        <v>OK</v>
      </c>
    </row>
    <row r="861" spans="1:4" x14ac:dyDescent="0.2">
      <c r="A861" s="5">
        <v>800</v>
      </c>
      <c r="B861" s="1832">
        <f>'Expenditures 15-22'!E65</f>
        <v>141836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13914</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225</v>
      </c>
      <c r="D867" s="2" t="str">
        <f t="shared" si="12"/>
        <v>Error?</v>
      </c>
    </row>
    <row r="868" spans="1:4" x14ac:dyDescent="0.2">
      <c r="A868" s="10">
        <v>807</v>
      </c>
      <c r="B868" s="1832"/>
      <c r="D868" s="2" t="str">
        <f t="shared" si="12"/>
        <v>OK</v>
      </c>
    </row>
    <row r="869" spans="1:4" x14ac:dyDescent="0.2">
      <c r="A869" s="5">
        <v>808</v>
      </c>
      <c r="B869" s="1832">
        <f>'Expenditures 15-22'!E72</f>
        <v>14139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394770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587005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252536</v>
      </c>
      <c r="D879" s="2" t="str">
        <f t="shared" si="12"/>
        <v>Error?</v>
      </c>
    </row>
    <row r="880" spans="1:4" x14ac:dyDescent="0.2">
      <c r="A880" s="5">
        <v>819</v>
      </c>
      <c r="B880" s="1832">
        <f>'Expenditures 15-22'!F16</f>
        <v>2583</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5444</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4959</v>
      </c>
      <c r="D892" s="2" t="str">
        <f t="shared" si="12"/>
        <v>Error?</v>
      </c>
    </row>
    <row r="893" spans="1:4" x14ac:dyDescent="0.2">
      <c r="A893" s="5">
        <v>832</v>
      </c>
      <c r="B893" s="1832">
        <f>'Expenditures 15-22'!F15</f>
        <v>563</v>
      </c>
      <c r="D893" s="2" t="str">
        <f t="shared" si="12"/>
        <v>Error?</v>
      </c>
    </row>
    <row r="894" spans="1:4" x14ac:dyDescent="0.2">
      <c r="A894" s="5">
        <v>833</v>
      </c>
      <c r="B894" s="1832">
        <f>'Expenditures 15-22'!F33</f>
        <v>270283</v>
      </c>
      <c r="C894" s="2" t="s">
        <v>569</v>
      </c>
      <c r="D894" s="2" t="str">
        <f t="shared" si="12"/>
        <v>Error?</v>
      </c>
    </row>
    <row r="895" spans="1:4" x14ac:dyDescent="0.2">
      <c r="A895" s="5">
        <v>834</v>
      </c>
      <c r="B895" s="1832">
        <f>'Expenditures 15-22'!F36</f>
        <v>1507</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3483</v>
      </c>
      <c r="D897" s="2" t="str">
        <f t="shared" si="13"/>
        <v>Error?</v>
      </c>
    </row>
    <row r="898" spans="1:4" x14ac:dyDescent="0.2">
      <c r="A898" s="5">
        <v>837</v>
      </c>
      <c r="B898" s="1832">
        <f>'Expenditures 15-22'!F39</f>
        <v>843</v>
      </c>
      <c r="D898" s="2" t="str">
        <f t="shared" si="13"/>
        <v>Error?</v>
      </c>
    </row>
    <row r="899" spans="1:4" x14ac:dyDescent="0.2">
      <c r="A899" s="5">
        <v>838</v>
      </c>
      <c r="B899" s="1832">
        <f>'Expenditures 15-22'!F40</f>
        <v>349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6182</v>
      </c>
      <c r="C901" s="2" t="s">
        <v>569</v>
      </c>
      <c r="D901" s="2" t="str">
        <f t="shared" si="13"/>
        <v>Error?</v>
      </c>
    </row>
    <row r="902" spans="1:4" x14ac:dyDescent="0.2">
      <c r="A902" s="5">
        <v>841</v>
      </c>
      <c r="B902" s="1832">
        <f>'Expenditures 15-22'!F44</f>
        <v>2588</v>
      </c>
      <c r="D902" s="2" t="str">
        <f t="shared" si="13"/>
        <v>Error?</v>
      </c>
    </row>
    <row r="903" spans="1:4" x14ac:dyDescent="0.2">
      <c r="A903" s="5">
        <v>842</v>
      </c>
      <c r="B903" s="1832">
        <f>'Expenditures 15-22'!F45</f>
        <v>23070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25658</v>
      </c>
      <c r="C905" s="2" t="s">
        <v>569</v>
      </c>
      <c r="D905" s="2" t="str">
        <f t="shared" si="13"/>
        <v>Error?</v>
      </c>
    </row>
    <row r="906" spans="1:4" x14ac:dyDescent="0.2">
      <c r="A906" s="5">
        <v>845</v>
      </c>
      <c r="B906" s="1832">
        <f>'Expenditures 15-22'!F49</f>
        <v>82</v>
      </c>
      <c r="D906" s="2" t="str">
        <f t="shared" si="13"/>
        <v>Error?</v>
      </c>
    </row>
    <row r="907" spans="1:4" x14ac:dyDescent="0.2">
      <c r="A907" s="5">
        <v>846</v>
      </c>
      <c r="B907" s="1832">
        <f>'Expenditures 15-22'!F50</f>
        <v>369</v>
      </c>
      <c r="D907" s="2" t="str">
        <f t="shared" si="13"/>
        <v>Error?</v>
      </c>
    </row>
    <row r="908" spans="1:4" x14ac:dyDescent="0.2">
      <c r="A908" s="5">
        <v>847</v>
      </c>
      <c r="B908" s="1832">
        <f>'Expenditures 15-22'!F53</f>
        <v>451</v>
      </c>
      <c r="C908" s="2" t="s">
        <v>569</v>
      </c>
      <c r="D908" s="2" t="str">
        <f t="shared" si="13"/>
        <v>Error?</v>
      </c>
    </row>
    <row r="909" spans="1:4" x14ac:dyDescent="0.2">
      <c r="A909" s="5">
        <v>848</v>
      </c>
      <c r="B909" s="1832">
        <f>'Expenditures 15-22'!F55</f>
        <v>2311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2311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4579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155340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159919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1128</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1128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195649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465932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238293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238293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238293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288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288</v>
      </c>
      <c r="C1021" s="2" t="s">
        <v>569</v>
      </c>
      <c r="D1021" s="2" t="str">
        <f t="shared" si="14"/>
        <v>Error?</v>
      </c>
    </row>
    <row r="1022" spans="1:4" x14ac:dyDescent="0.2">
      <c r="A1022" s="5">
        <v>961</v>
      </c>
      <c r="B1022" s="1832">
        <f>'Expenditures 15-22'!H49</f>
        <v>21422</v>
      </c>
      <c r="D1022" s="2" t="str">
        <f t="shared" si="14"/>
        <v>Error?</v>
      </c>
    </row>
    <row r="1023" spans="1:4" x14ac:dyDescent="0.2">
      <c r="A1023" s="5">
        <v>962</v>
      </c>
      <c r="B1023" s="1832">
        <f>'Expenditures 15-22'!H50</f>
        <v>2129</v>
      </c>
      <c r="D1023" s="2" t="str">
        <f t="shared" ref="D1023:D1086" si="15">IF(ISBLANK(B1023),"OK",IF(A1023-B1023=0,"OK","Error?"))</f>
        <v>Error?</v>
      </c>
    </row>
    <row r="1024" spans="1:4" x14ac:dyDescent="0.2">
      <c r="A1024" s="5">
        <v>963</v>
      </c>
      <c r="B1024" s="1832">
        <f>'Expenditures 15-22'!H53</f>
        <v>23551</v>
      </c>
      <c r="C1024" s="2" t="s">
        <v>569</v>
      </c>
      <c r="D1024" s="2" t="str">
        <f t="shared" si="15"/>
        <v>Error?</v>
      </c>
    </row>
    <row r="1025" spans="1:4" x14ac:dyDescent="0.2">
      <c r="A1025" s="5">
        <v>964</v>
      </c>
      <c r="B1025" s="1832">
        <f>'Expenditures 15-22'!H55</f>
        <v>798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798</v>
      </c>
      <c r="C1027" s="2" t="s">
        <v>569</v>
      </c>
      <c r="D1027" s="2" t="str">
        <f t="shared" si="15"/>
        <v>Error?</v>
      </c>
    </row>
    <row r="1028" spans="1:4" x14ac:dyDescent="0.2">
      <c r="A1028" s="5">
        <v>967</v>
      </c>
      <c r="B1028" s="1832">
        <f>'Expenditures 15-22'!H59</f>
        <v>1170</v>
      </c>
      <c r="D1028" s="2" t="str">
        <f t="shared" si="15"/>
        <v>Error?</v>
      </c>
    </row>
    <row r="1029" spans="1:4" x14ac:dyDescent="0.2">
      <c r="A1029" s="5">
        <v>968</v>
      </c>
      <c r="B1029" s="1832">
        <f>'Expenditures 15-22'!H60</f>
        <v>22951</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850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24971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135</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135</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49743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1891786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1941564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9336974</v>
      </c>
      <c r="C1093" s="2" t="s">
        <v>569</v>
      </c>
      <c r="D1093" s="2" t="str">
        <f t="shared" si="16"/>
        <v>Error?</v>
      </c>
    </row>
    <row r="1094" spans="1:4" x14ac:dyDescent="0.2">
      <c r="A1094" s="5">
        <v>1033</v>
      </c>
      <c r="B1094" s="1832">
        <f>'Expenditures 15-22'!K16</f>
        <v>443279</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724245</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100176</v>
      </c>
      <c r="C1106" s="2" t="s">
        <v>569</v>
      </c>
      <c r="D1106" s="2" t="str">
        <f t="shared" si="16"/>
        <v>Error?</v>
      </c>
    </row>
    <row r="1107" spans="1:4" x14ac:dyDescent="0.2">
      <c r="A1107" s="5">
        <v>1046</v>
      </c>
      <c r="B1107" s="1832">
        <f>'Expenditures 15-22'!K15</f>
        <v>31719</v>
      </c>
      <c r="C1107" s="2" t="s">
        <v>569</v>
      </c>
      <c r="D1107" s="2" t="str">
        <f t="shared" si="16"/>
        <v>Error?</v>
      </c>
    </row>
    <row r="1108" spans="1:4" x14ac:dyDescent="0.2">
      <c r="A1108" s="5">
        <v>1047</v>
      </c>
      <c r="B1108" s="1832">
        <f>'Expenditures 15-22'!K33</f>
        <v>12754215</v>
      </c>
      <c r="C1108" s="2" t="s">
        <v>569</v>
      </c>
      <c r="D1108" s="2" t="str">
        <f t="shared" si="16"/>
        <v>Error?</v>
      </c>
    </row>
    <row r="1109" spans="1:4" x14ac:dyDescent="0.2">
      <c r="A1109" s="5">
        <v>1048</v>
      </c>
      <c r="B1109" s="1832">
        <f>'Expenditures 15-22'!K36</f>
        <v>295513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214294</v>
      </c>
      <c r="C1111" s="2" t="s">
        <v>569</v>
      </c>
      <c r="D1111" s="2" t="str">
        <f t="shared" si="16"/>
        <v>Error?</v>
      </c>
    </row>
    <row r="1112" spans="1:4" x14ac:dyDescent="0.2">
      <c r="A1112" s="5">
        <v>1051</v>
      </c>
      <c r="B1112" s="1832">
        <f>'Expenditures 15-22'!K39</f>
        <v>187539</v>
      </c>
      <c r="C1112" s="2" t="s">
        <v>569</v>
      </c>
      <c r="D1112" s="2" t="str">
        <f t="shared" si="16"/>
        <v>Error?</v>
      </c>
    </row>
    <row r="1113" spans="1:4" x14ac:dyDescent="0.2">
      <c r="A1113" s="5">
        <v>1052</v>
      </c>
      <c r="B1113" s="1832">
        <f>'Expenditures 15-22'!K40</f>
        <v>298822</v>
      </c>
      <c r="C1113" s="2" t="s">
        <v>569</v>
      </c>
      <c r="D1113" s="2" t="str">
        <f t="shared" si="16"/>
        <v>Error?</v>
      </c>
    </row>
    <row r="1114" spans="1:4" x14ac:dyDescent="0.2">
      <c r="A1114" s="5">
        <v>1053</v>
      </c>
      <c r="B1114" s="1832">
        <f>'Expenditures 15-22'!K41</f>
        <v>58711</v>
      </c>
      <c r="C1114" s="2" t="s">
        <v>569</v>
      </c>
      <c r="D1114" s="2" t="str">
        <f t="shared" si="16"/>
        <v>Error?</v>
      </c>
    </row>
    <row r="1115" spans="1:4" x14ac:dyDescent="0.2">
      <c r="A1115" s="5">
        <v>1054</v>
      </c>
      <c r="B1115" s="1832">
        <f>'Expenditures 15-22'!K42</f>
        <v>1054879</v>
      </c>
      <c r="C1115" s="2" t="s">
        <v>569</v>
      </c>
      <c r="D1115" s="2" t="str">
        <f t="shared" si="16"/>
        <v>Error?</v>
      </c>
    </row>
    <row r="1116" spans="1:4" x14ac:dyDescent="0.2">
      <c r="A1116" s="5">
        <v>1055</v>
      </c>
      <c r="B1116" s="1832">
        <f>'Expenditures 15-22'!K44</f>
        <v>429982</v>
      </c>
      <c r="C1116" s="2" t="s">
        <v>569</v>
      </c>
      <c r="D1116" s="2" t="str">
        <f t="shared" si="16"/>
        <v>Error?</v>
      </c>
    </row>
    <row r="1117" spans="1:4" x14ac:dyDescent="0.2">
      <c r="A1117" s="5">
        <v>1056</v>
      </c>
      <c r="B1117" s="1832">
        <f>'Expenditures 15-22'!K45</f>
        <v>294048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724030</v>
      </c>
      <c r="C1119" s="2" t="s">
        <v>569</v>
      </c>
      <c r="D1119" s="2" t="str">
        <f t="shared" si="16"/>
        <v>Error?</v>
      </c>
    </row>
    <row r="1120" spans="1:4" x14ac:dyDescent="0.2">
      <c r="A1120" s="5">
        <v>1059</v>
      </c>
      <c r="B1120" s="1832">
        <f>'Expenditures 15-22'!K49</f>
        <v>242939</v>
      </c>
      <c r="C1120" s="2" t="s">
        <v>569</v>
      </c>
      <c r="D1120" s="2" t="str">
        <f t="shared" si="16"/>
        <v>Error?</v>
      </c>
    </row>
    <row r="1121" spans="1:4" x14ac:dyDescent="0.2">
      <c r="A1121" s="5">
        <v>1060</v>
      </c>
      <c r="B1121" s="1832">
        <f>'Expenditures 15-22'!K50</f>
        <v>289592</v>
      </c>
      <c r="C1121" s="2" t="s">
        <v>569</v>
      </c>
      <c r="D1121" s="2" t="str">
        <f t="shared" si="16"/>
        <v>Error?</v>
      </c>
    </row>
    <row r="1122" spans="1:4" x14ac:dyDescent="0.2">
      <c r="A1122" s="5">
        <v>1061</v>
      </c>
      <c r="B1122" s="1832">
        <f>'Expenditures 15-22'!K53</f>
        <v>711117</v>
      </c>
      <c r="C1122" s="2" t="s">
        <v>569</v>
      </c>
      <c r="D1122" s="2" t="str">
        <f t="shared" si="16"/>
        <v>Error?</v>
      </c>
    </row>
    <row r="1123" spans="1:4" x14ac:dyDescent="0.2">
      <c r="A1123" s="5">
        <v>1062</v>
      </c>
      <c r="B1123" s="1832">
        <f>'Expenditures 15-22'!K55</f>
        <v>850917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850917</v>
      </c>
      <c r="C1125" s="2" t="s">
        <v>569</v>
      </c>
      <c r="D1125" s="2" t="str">
        <f t="shared" si="16"/>
        <v>Error?</v>
      </c>
    </row>
    <row r="1126" spans="1:4" x14ac:dyDescent="0.2">
      <c r="A1126" s="5">
        <v>1065</v>
      </c>
      <c r="B1126" s="1832">
        <f>'Expenditures 15-22'!K59</f>
        <v>194197</v>
      </c>
      <c r="C1126" s="2" t="s">
        <v>569</v>
      </c>
      <c r="D1126" s="2" t="str">
        <f t="shared" si="16"/>
        <v>Error?</v>
      </c>
    </row>
    <row r="1127" spans="1:4" x14ac:dyDescent="0.2">
      <c r="A1127" s="5">
        <v>1066</v>
      </c>
      <c r="B1127" s="1832">
        <f>'Expenditures 15-22'!K60</f>
        <v>381810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423014</v>
      </c>
      <c r="C1130" s="2" t="s">
        <v>569</v>
      </c>
      <c r="D1130" s="2" t="str">
        <f t="shared" si="16"/>
        <v>Error?</v>
      </c>
    </row>
    <row r="1131" spans="1:4" x14ac:dyDescent="0.2">
      <c r="A1131" s="5">
        <v>1070</v>
      </c>
      <c r="B1131" s="1832">
        <f>'Expenditures 15-22'!K64</f>
        <v>23994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1023015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98495</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379590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478085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4842043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1925288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19521546</v>
      </c>
      <c r="C1152" s="2" t="s">
        <v>569</v>
      </c>
      <c r="D1152" s="2" t="str">
        <f t="shared" si="17"/>
        <v>Error?</v>
      </c>
    </row>
    <row r="1153" spans="1:4" x14ac:dyDescent="0.2">
      <c r="A1153" s="5">
        <v>1092</v>
      </c>
      <c r="B1153" s="1832">
        <f>'Expenditures 15-22'!K115</f>
        <v>861012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465448</v>
      </c>
      <c r="D1221" s="2" t="str">
        <f t="shared" si="18"/>
        <v>Error?</v>
      </c>
    </row>
    <row r="1222" spans="1:4" x14ac:dyDescent="0.2">
      <c r="A1222" s="10">
        <v>1161</v>
      </c>
      <c r="B1222" s="1832"/>
      <c r="D1222" s="2" t="str">
        <f t="shared" si="18"/>
        <v>OK</v>
      </c>
    </row>
    <row r="1223" spans="1:4" x14ac:dyDescent="0.2">
      <c r="A1223" s="5">
        <v>1162</v>
      </c>
      <c r="B1223" s="1832">
        <f>'Expenditures 15-22'!C127</f>
        <v>465448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465448</v>
      </c>
      <c r="C1225" s="2" t="s">
        <v>569</v>
      </c>
      <c r="D1225" s="2" t="str">
        <f t="shared" si="18"/>
        <v>Error?</v>
      </c>
    </row>
    <row r="1226" spans="1:4" x14ac:dyDescent="0.2">
      <c r="A1226" s="5">
        <v>1165</v>
      </c>
      <c r="B1226" s="1832">
        <f>'Expenditures 15-22'!C151</f>
        <v>465448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61675</v>
      </c>
      <c r="D1229" s="2" t="str">
        <f t="shared" si="18"/>
        <v>Error?</v>
      </c>
    </row>
    <row r="1230" spans="1:4" x14ac:dyDescent="0.2">
      <c r="A1230" s="10">
        <v>1169</v>
      </c>
      <c r="B1230" s="1832"/>
      <c r="D1230" s="2" t="str">
        <f t="shared" si="18"/>
        <v>OK</v>
      </c>
    </row>
    <row r="1231" spans="1:4" x14ac:dyDescent="0.2">
      <c r="A1231" s="5">
        <v>1170</v>
      </c>
      <c r="B1231" s="1832">
        <f>'Expenditures 15-22'!D127</f>
        <v>61675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61675</v>
      </c>
      <c r="C1233" s="2" t="s">
        <v>569</v>
      </c>
      <c r="D1233" s="2" t="str">
        <f t="shared" si="18"/>
        <v>Error?</v>
      </c>
    </row>
    <row r="1234" spans="1:4" x14ac:dyDescent="0.2">
      <c r="A1234" s="5">
        <v>1173</v>
      </c>
      <c r="B1234" s="1832">
        <f>'Expenditures 15-22'!D151</f>
        <v>61675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748525</v>
      </c>
      <c r="D1237" s="2" t="str">
        <f t="shared" si="18"/>
        <v>Error?</v>
      </c>
    </row>
    <row r="1238" spans="1:4" x14ac:dyDescent="0.2">
      <c r="A1238" s="10">
        <v>1177</v>
      </c>
      <c r="B1238" s="1832"/>
      <c r="D1238" s="2" t="str">
        <f t="shared" si="18"/>
        <v>OK</v>
      </c>
    </row>
    <row r="1239" spans="1:4" x14ac:dyDescent="0.2">
      <c r="A1239" s="5">
        <v>1178</v>
      </c>
      <c r="B1239" s="1832">
        <f>'Expenditures 15-22'!E127</f>
        <v>748525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748525</v>
      </c>
      <c r="C1241" s="2" t="s">
        <v>569</v>
      </c>
      <c r="D1241" s="2" t="str">
        <f t="shared" si="18"/>
        <v>Error?</v>
      </c>
    </row>
    <row r="1242" spans="1:4" x14ac:dyDescent="0.2">
      <c r="A1242" s="5">
        <v>1181</v>
      </c>
      <c r="B1242" s="1832">
        <f>'Expenditures 15-22'!E151</f>
        <v>748525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370903</v>
      </c>
      <c r="D1245" s="2" t="str">
        <f t="shared" si="18"/>
        <v>Error?</v>
      </c>
    </row>
    <row r="1246" spans="1:4" x14ac:dyDescent="0.2">
      <c r="A1246" s="10">
        <v>1185</v>
      </c>
      <c r="B1246" s="1832"/>
      <c r="D1246" s="2" t="str">
        <f t="shared" si="18"/>
        <v>OK</v>
      </c>
    </row>
    <row r="1247" spans="1:4" x14ac:dyDescent="0.2">
      <c r="A1247" s="5">
        <v>1186</v>
      </c>
      <c r="B1247" s="1832">
        <f>'Expenditures 15-22'!F127</f>
        <v>370903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370903</v>
      </c>
      <c r="C1249" s="2" t="s">
        <v>569</v>
      </c>
      <c r="D1249" s="2" t="str">
        <f t="shared" si="18"/>
        <v>Error?</v>
      </c>
    </row>
    <row r="1250" spans="1:4" x14ac:dyDescent="0.2">
      <c r="A1250" s="5">
        <v>1189</v>
      </c>
      <c r="B1250" s="1832">
        <f>'Expenditures 15-22'!F151</f>
        <v>370903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76311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76311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76311</v>
      </c>
      <c r="C1258" s="2" t="s">
        <v>569</v>
      </c>
      <c r="D1258" s="2" t="str">
        <f t="shared" si="18"/>
        <v>Error?</v>
      </c>
    </row>
    <row r="1259" spans="1:4" x14ac:dyDescent="0.2">
      <c r="A1259" s="5">
        <v>1198</v>
      </c>
      <c r="B1259" s="1832">
        <f>'Expenditures 15-22'!G151</f>
        <v>76311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180</v>
      </c>
      <c r="D1262" s="2" t="str">
        <f t="shared" si="18"/>
        <v>Error?</v>
      </c>
    </row>
    <row r="1263" spans="1:4" x14ac:dyDescent="0.2">
      <c r="A1263" s="10">
        <v>1202</v>
      </c>
      <c r="B1263" s="1832"/>
      <c r="D1263" s="2" t="str">
        <f t="shared" si="18"/>
        <v>OK</v>
      </c>
    </row>
    <row r="1264" spans="1:4" x14ac:dyDescent="0.2">
      <c r="A1264" s="5">
        <v>1203</v>
      </c>
      <c r="B1264" s="1832">
        <f>'Expenditures 15-22'!H127</f>
        <v>180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180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180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1810051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1810051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1810051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1810051</v>
      </c>
      <c r="C1288" s="2" t="s">
        <v>569</v>
      </c>
      <c r="D1288" s="2" t="str">
        <f t="shared" si="19"/>
        <v>Error?</v>
      </c>
    </row>
    <row r="1289" spans="1:4" x14ac:dyDescent="0.2">
      <c r="A1289" s="5">
        <v>1228</v>
      </c>
      <c r="B1289" s="1832">
        <f>'Expenditures 15-22'!K152</f>
        <v>415136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563200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720000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1283200</v>
      </c>
      <c r="C1317" s="2" t="s">
        <v>569</v>
      </c>
      <c r="D1317" s="2" t="str">
        <f t="shared" si="19"/>
        <v>Error?</v>
      </c>
    </row>
    <row r="1318" spans="1:4" x14ac:dyDescent="0.2">
      <c r="A1318" s="5">
        <v>1257</v>
      </c>
      <c r="B1318" s="1832">
        <f>'Expenditures 15-22'!H174</f>
        <v>1283200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563200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720000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1283200</v>
      </c>
      <c r="C1331" s="2" t="s">
        <v>569</v>
      </c>
      <c r="D1331" s="2" t="str">
        <f t="shared" si="19"/>
        <v>Error?</v>
      </c>
    </row>
    <row r="1332" spans="1:4" x14ac:dyDescent="0.2">
      <c r="A1332" s="5">
        <v>1271</v>
      </c>
      <c r="B1332" s="1832">
        <f>'Expenditures 15-22'!K174</f>
        <v>1283200</v>
      </c>
      <c r="C1332" s="2" t="s">
        <v>569</v>
      </c>
      <c r="D1332" s="2" t="str">
        <f t="shared" si="19"/>
        <v>Error?</v>
      </c>
    </row>
    <row r="1333" spans="1:4" x14ac:dyDescent="0.2">
      <c r="A1333" s="5">
        <v>1272</v>
      </c>
      <c r="B1333" s="1832">
        <f>'Expenditures 15-22'!K175</f>
        <v>208090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1066933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1066933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1066933</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1066933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1066933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1066933</v>
      </c>
      <c r="C1388" s="2" t="s">
        <v>569</v>
      </c>
      <c r="D1388" s="2" t="str">
        <f t="shared" si="20"/>
        <v>Error?</v>
      </c>
    </row>
    <row r="1389" spans="1:4" x14ac:dyDescent="0.2">
      <c r="A1389" s="5">
        <v>1328</v>
      </c>
      <c r="B1389" s="1832">
        <f>'Expenditures 15-22'!K211</f>
        <v>-98142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4978</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8865</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3478</v>
      </c>
      <c r="D1408" s="2" t="str">
        <f t="shared" si="21"/>
        <v>Error?</v>
      </c>
    </row>
    <row r="1409" spans="1:4" x14ac:dyDescent="0.2">
      <c r="A1409" s="5">
        <v>1348</v>
      </c>
      <c r="B1409" s="1832">
        <f>'Expenditures 15-22'!D224</f>
        <v>461</v>
      </c>
      <c r="D1409" s="2" t="str">
        <f t="shared" si="21"/>
        <v>Error?</v>
      </c>
    </row>
    <row r="1410" spans="1:4" x14ac:dyDescent="0.2">
      <c r="A1410" s="5">
        <v>1349</v>
      </c>
      <c r="B1410" s="1832">
        <f>'Expenditures 15-22'!D229</f>
        <v>198284</v>
      </c>
      <c r="C1410" s="2" t="s">
        <v>569</v>
      </c>
      <c r="D1410" s="2" t="str">
        <f t="shared" si="21"/>
        <v>Error?</v>
      </c>
    </row>
    <row r="1411" spans="1:4" x14ac:dyDescent="0.2">
      <c r="A1411" s="5">
        <v>1350</v>
      </c>
      <c r="B1411" s="1832">
        <f>'Expenditures 15-22'!D232</f>
        <v>3960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30899</v>
      </c>
      <c r="D1413" s="2" t="str">
        <f t="shared" si="21"/>
        <v>Error?</v>
      </c>
    </row>
    <row r="1414" spans="1:4" x14ac:dyDescent="0.2">
      <c r="A1414" s="5">
        <v>1353</v>
      </c>
      <c r="B1414" s="1832">
        <f>'Expenditures 15-22'!D235</f>
        <v>2326</v>
      </c>
      <c r="D1414" s="2" t="str">
        <f t="shared" si="21"/>
        <v>Error?</v>
      </c>
    </row>
    <row r="1415" spans="1:4" x14ac:dyDescent="0.2">
      <c r="A1415" s="5">
        <v>1354</v>
      </c>
      <c r="B1415" s="1832">
        <f>'Expenditures 15-22'!D236</f>
        <v>3589</v>
      </c>
      <c r="D1415" s="2" t="str">
        <f t="shared" si="21"/>
        <v>Error?</v>
      </c>
    </row>
    <row r="1416" spans="1:4" x14ac:dyDescent="0.2">
      <c r="A1416" s="5">
        <v>1355</v>
      </c>
      <c r="B1416" s="1832">
        <f>'Expenditures 15-22'!D237</f>
        <v>3650</v>
      </c>
      <c r="D1416" s="2" t="str">
        <f t="shared" si="21"/>
        <v>Error?</v>
      </c>
    </row>
    <row r="1417" spans="1:4" x14ac:dyDescent="0.2">
      <c r="A1417" s="5">
        <v>1356</v>
      </c>
      <c r="B1417" s="1832">
        <f>'Expenditures 15-22'!D238</f>
        <v>44424</v>
      </c>
      <c r="C1417" s="2" t="s">
        <v>569</v>
      </c>
      <c r="D1417" s="2" t="str">
        <f t="shared" si="21"/>
        <v>Error?</v>
      </c>
    </row>
    <row r="1418" spans="1:4" x14ac:dyDescent="0.2">
      <c r="A1418" s="5">
        <v>1357</v>
      </c>
      <c r="B1418" s="1832">
        <f>'Expenditures 15-22'!D240</f>
        <v>14312</v>
      </c>
      <c r="D1418" s="2" t="str">
        <f t="shared" si="21"/>
        <v>Error?</v>
      </c>
    </row>
    <row r="1419" spans="1:4" x14ac:dyDescent="0.2">
      <c r="A1419" s="5">
        <v>1358</v>
      </c>
      <c r="B1419" s="1832">
        <f>'Expenditures 15-22'!D241</f>
        <v>3393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17705</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3726</v>
      </c>
      <c r="D1423" s="2" t="str">
        <f t="shared" si="21"/>
        <v>Error?</v>
      </c>
    </row>
    <row r="1424" spans="1:4" x14ac:dyDescent="0.2">
      <c r="A1424" s="5">
        <v>1363</v>
      </c>
      <c r="B1424" s="1832">
        <f>'Expenditures 15-22'!D257</f>
        <v>8407</v>
      </c>
      <c r="C1424" s="2" t="s">
        <v>569</v>
      </c>
      <c r="D1424" s="2" t="str">
        <f t="shared" si="21"/>
        <v>Error?</v>
      </c>
    </row>
    <row r="1425" spans="1:4" x14ac:dyDescent="0.2">
      <c r="A1425" s="5">
        <v>1364</v>
      </c>
      <c r="B1425" s="1832">
        <f>'Expenditures 15-22'!D259</f>
        <v>44397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44397</v>
      </c>
      <c r="C1427" s="2" t="s">
        <v>569</v>
      </c>
      <c r="D1427" s="2" t="str">
        <f t="shared" si="21"/>
        <v>Error?</v>
      </c>
    </row>
    <row r="1428" spans="1:4" x14ac:dyDescent="0.2">
      <c r="A1428" s="5">
        <v>1367</v>
      </c>
      <c r="B1428" s="1832">
        <f>'Expenditures 15-22'!D263</f>
        <v>2388</v>
      </c>
      <c r="D1428" s="2" t="str">
        <f t="shared" si="21"/>
        <v>Error?</v>
      </c>
    </row>
    <row r="1429" spans="1:4" x14ac:dyDescent="0.2">
      <c r="A1429" s="5">
        <v>1368</v>
      </c>
      <c r="B1429" s="1832">
        <f>'Expenditures 15-22'!D264</f>
        <v>38611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91026</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42450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174475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15129</v>
      </c>
      <c r="D1439" s="2" t="str">
        <f t="shared" si="21"/>
        <v>Error?</v>
      </c>
    </row>
    <row r="1440" spans="1:4" x14ac:dyDescent="0.2">
      <c r="A1440" s="5">
        <v>1379</v>
      </c>
      <c r="B1440" s="1832">
        <f>'Expenditures 15-22'!D275</f>
        <v>64839</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79968</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369376</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567660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4978</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8865</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3478</v>
      </c>
      <c r="C1472" s="2" t="s">
        <v>569</v>
      </c>
      <c r="D1472" s="2" t="str">
        <f t="shared" si="22"/>
        <v>Error?</v>
      </c>
    </row>
    <row r="1473" spans="1:4" x14ac:dyDescent="0.2">
      <c r="A1473" s="5">
        <v>1412</v>
      </c>
      <c r="B1473" s="1832">
        <f>'Expenditures 15-22'!K224</f>
        <v>461</v>
      </c>
      <c r="C1473" s="2" t="s">
        <v>569</v>
      </c>
      <c r="D1473" s="2" t="str">
        <f t="shared" si="22"/>
        <v>Error?</v>
      </c>
    </row>
    <row r="1474" spans="1:4" x14ac:dyDescent="0.2">
      <c r="A1474" s="5">
        <v>1413</v>
      </c>
      <c r="B1474" s="1832">
        <f>'Expenditures 15-22'!K229</f>
        <v>198284</v>
      </c>
      <c r="C1474" s="2" t="s">
        <v>569</v>
      </c>
      <c r="D1474" s="2" t="str">
        <f t="shared" si="22"/>
        <v>Error?</v>
      </c>
    </row>
    <row r="1475" spans="1:4" x14ac:dyDescent="0.2">
      <c r="A1475" s="5">
        <v>1414</v>
      </c>
      <c r="B1475" s="1832">
        <f>'Expenditures 15-22'!K232</f>
        <v>3960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30899</v>
      </c>
      <c r="C1477" s="2" t="s">
        <v>569</v>
      </c>
      <c r="D1477" s="2" t="str">
        <f t="shared" si="22"/>
        <v>Error?</v>
      </c>
    </row>
    <row r="1478" spans="1:4" x14ac:dyDescent="0.2">
      <c r="A1478" s="5">
        <v>1417</v>
      </c>
      <c r="B1478" s="1832">
        <f>'Expenditures 15-22'!K235</f>
        <v>2326</v>
      </c>
      <c r="C1478" s="2" t="s">
        <v>569</v>
      </c>
      <c r="D1478" s="2" t="str">
        <f t="shared" si="22"/>
        <v>Error?</v>
      </c>
    </row>
    <row r="1479" spans="1:4" x14ac:dyDescent="0.2">
      <c r="A1479" s="5">
        <v>1418</v>
      </c>
      <c r="B1479" s="1832">
        <f>'Expenditures 15-22'!K236</f>
        <v>3589</v>
      </c>
      <c r="C1479" s="2" t="s">
        <v>569</v>
      </c>
      <c r="D1479" s="2" t="str">
        <f t="shared" si="22"/>
        <v>Error?</v>
      </c>
    </row>
    <row r="1480" spans="1:4" x14ac:dyDescent="0.2">
      <c r="A1480" s="5">
        <v>1419</v>
      </c>
      <c r="B1480" s="1832">
        <f>'Expenditures 15-22'!K237</f>
        <v>3650</v>
      </c>
      <c r="C1480" s="2" t="s">
        <v>569</v>
      </c>
      <c r="D1480" s="2" t="str">
        <f t="shared" si="22"/>
        <v>Error?</v>
      </c>
    </row>
    <row r="1481" spans="1:4" x14ac:dyDescent="0.2">
      <c r="A1481" s="5">
        <v>1420</v>
      </c>
      <c r="B1481" s="1832">
        <f>'Expenditures 15-22'!K238</f>
        <v>44424</v>
      </c>
      <c r="C1481" s="2" t="s">
        <v>569</v>
      </c>
      <c r="D1481" s="2" t="str">
        <f t="shared" si="22"/>
        <v>Error?</v>
      </c>
    </row>
    <row r="1482" spans="1:4" x14ac:dyDescent="0.2">
      <c r="A1482" s="5">
        <v>1421</v>
      </c>
      <c r="B1482" s="1832">
        <f>'Expenditures 15-22'!K240</f>
        <v>14312</v>
      </c>
      <c r="C1482" s="2" t="s">
        <v>569</v>
      </c>
      <c r="D1482" s="2" t="str">
        <f t="shared" si="22"/>
        <v>Error?</v>
      </c>
    </row>
    <row r="1483" spans="1:4" x14ac:dyDescent="0.2">
      <c r="A1483" s="5">
        <v>1422</v>
      </c>
      <c r="B1483" s="1832">
        <f>'Expenditures 15-22'!K241</f>
        <v>3393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17705</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3726</v>
      </c>
      <c r="C1487" s="2" t="s">
        <v>569</v>
      </c>
      <c r="D1487" s="2" t="str">
        <f t="shared" si="22"/>
        <v>Error?</v>
      </c>
    </row>
    <row r="1488" spans="1:4" x14ac:dyDescent="0.2">
      <c r="A1488" s="5">
        <v>1427</v>
      </c>
      <c r="B1488" s="1832">
        <f>'Expenditures 15-22'!K257</f>
        <v>8407</v>
      </c>
      <c r="C1488" s="2" t="s">
        <v>569</v>
      </c>
      <c r="D1488" s="2" t="str">
        <f t="shared" si="22"/>
        <v>Error?</v>
      </c>
    </row>
    <row r="1489" spans="1:4" x14ac:dyDescent="0.2">
      <c r="A1489" s="5">
        <v>1428</v>
      </c>
      <c r="B1489" s="1832">
        <f>'Expenditures 15-22'!K259</f>
        <v>44397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44397</v>
      </c>
      <c r="C1491" s="2" t="s">
        <v>569</v>
      </c>
      <c r="D1491" s="2" t="str">
        <f t="shared" si="22"/>
        <v>Error?</v>
      </c>
    </row>
    <row r="1492" spans="1:4" x14ac:dyDescent="0.2">
      <c r="A1492" s="5">
        <v>1431</v>
      </c>
      <c r="B1492" s="1832">
        <f>'Expenditures 15-22'!K263</f>
        <v>2388</v>
      </c>
      <c r="C1492" s="2" t="s">
        <v>569</v>
      </c>
      <c r="D1492" s="2" t="str">
        <f t="shared" si="22"/>
        <v>Error?</v>
      </c>
    </row>
    <row r="1493" spans="1:4" x14ac:dyDescent="0.2">
      <c r="A1493" s="5">
        <v>1432</v>
      </c>
      <c r="B1493" s="1832">
        <f>'Expenditures 15-22'!K264</f>
        <v>38611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91026</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42450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174475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15129</v>
      </c>
      <c r="C1503" s="2" t="s">
        <v>569</v>
      </c>
      <c r="D1503" s="2" t="str">
        <f t="shared" si="22"/>
        <v>Error?</v>
      </c>
    </row>
    <row r="1504" spans="1:4" x14ac:dyDescent="0.2">
      <c r="A1504" s="5">
        <v>1443</v>
      </c>
      <c r="B1504" s="1832">
        <f>'Expenditures 15-22'!K275</f>
        <v>64839</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79968</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369376</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567660</v>
      </c>
      <c r="C1517" s="2" t="s">
        <v>569</v>
      </c>
      <c r="D1517" s="2" t="str">
        <f t="shared" si="22"/>
        <v>Error?</v>
      </c>
    </row>
    <row r="1518" spans="1:4" x14ac:dyDescent="0.2">
      <c r="A1518" s="5">
        <v>1457</v>
      </c>
      <c r="B1518" s="1832">
        <f>'Expenditures 15-22'!K296</f>
        <v>-45607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239533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239533</v>
      </c>
      <c r="C1535" s="2" t="s">
        <v>569</v>
      </c>
      <c r="D1535" s="2" t="str">
        <f t="shared" ref="D1535:D1598" si="23">IF(ISBLANK(B1535),"OK",IF(A1535-B1535=0,"OK","Error?"))</f>
        <v>Error?</v>
      </c>
    </row>
    <row r="1536" spans="1:4" x14ac:dyDescent="0.2">
      <c r="A1536" s="5">
        <v>1475</v>
      </c>
      <c r="B1536" s="1832">
        <f>'Expenditures 15-22'!E312</f>
        <v>239533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312505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312505</v>
      </c>
      <c r="C1547" s="2" t="s">
        <v>569</v>
      </c>
      <c r="D1547" s="2" t="str">
        <f t="shared" si="23"/>
        <v>Error?</v>
      </c>
    </row>
    <row r="1548" spans="1:4" x14ac:dyDescent="0.2">
      <c r="A1548" s="5">
        <v>1487</v>
      </c>
      <c r="B1548" s="1832">
        <f>'Expenditures 15-22'!G312</f>
        <v>312505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552038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552038</v>
      </c>
      <c r="C1559" s="2" t="s">
        <v>569</v>
      </c>
      <c r="D1559" s="2" t="str">
        <f t="shared" si="23"/>
        <v>Error?</v>
      </c>
    </row>
    <row r="1560" spans="1:4" x14ac:dyDescent="0.2">
      <c r="A1560" s="5">
        <v>1499</v>
      </c>
      <c r="B1560" s="1832">
        <f>'Expenditures 15-22'!K312</f>
        <v>552038</v>
      </c>
      <c r="C1560" s="2" t="s">
        <v>569</v>
      </c>
      <c r="D1560" s="2" t="str">
        <f t="shared" si="23"/>
        <v>Error?</v>
      </c>
    </row>
    <row r="1561" spans="1:4" x14ac:dyDescent="0.2">
      <c r="A1561" s="5">
        <v>1500</v>
      </c>
      <c r="B1561" s="1832">
        <f>'Expenditures 15-22'!K313</f>
        <v>-485503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8726478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9512490</v>
      </c>
      <c r="C1630" s="2" t="s">
        <v>569</v>
      </c>
      <c r="D1630" s="2" t="str">
        <f t="shared" si="24"/>
        <v>Error?</v>
      </c>
    </row>
    <row r="1631" spans="1:4" x14ac:dyDescent="0.2">
      <c r="A1631" s="5">
        <v>1570</v>
      </c>
      <c r="B1631" s="1832">
        <f>'Acct Summary 7-8'!D79</f>
        <v>2329648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2744784</v>
      </c>
      <c r="C1644" s="2" t="s">
        <v>569</v>
      </c>
      <c r="D1644" s="2" t="str">
        <f t="shared" si="24"/>
        <v>Error?</v>
      </c>
    </row>
    <row r="1645" spans="1:4" x14ac:dyDescent="0.2">
      <c r="A1645" s="5">
        <v>1584</v>
      </c>
      <c r="B1645" s="1832">
        <f>'Acct Summary 7-8'!E79</f>
        <v>622158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830248</v>
      </c>
      <c r="C1658" s="2" t="s">
        <v>569</v>
      </c>
      <c r="D1658" s="2" t="str">
        <f t="shared" si="24"/>
        <v>Error?</v>
      </c>
    </row>
    <row r="1659" spans="1:4" x14ac:dyDescent="0.2">
      <c r="A1659" s="5">
        <v>1598</v>
      </c>
      <c r="B1659" s="1832">
        <f>'Acct Summary 7-8'!F79</f>
        <v>1119686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1021544</v>
      </c>
      <c r="C1672" s="2" t="s">
        <v>569</v>
      </c>
      <c r="D1672" s="2" t="str">
        <f t="shared" si="25"/>
        <v>Error?</v>
      </c>
    </row>
    <row r="1673" spans="1:4" x14ac:dyDescent="0.2">
      <c r="A1673" s="5">
        <v>1612</v>
      </c>
      <c r="B1673" s="1832">
        <f>'Acct Summary 7-8'!G79</f>
        <v>263422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217815</v>
      </c>
      <c r="C1686" s="2" t="s">
        <v>569</v>
      </c>
      <c r="D1686" s="2" t="str">
        <f t="shared" si="25"/>
        <v>Error?</v>
      </c>
    </row>
    <row r="1687" spans="1:4" x14ac:dyDescent="0.2">
      <c r="A1687" s="5">
        <v>1626</v>
      </c>
      <c r="B1687" s="1832">
        <f>'Acct Summary 7-8'!H79</f>
        <v>1895015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1409512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16938160</v>
      </c>
      <c r="C1744" s="2" t="s">
        <v>569</v>
      </c>
      <c r="D1744" s="2" t="str">
        <f t="shared" si="26"/>
        <v>Error?</v>
      </c>
    </row>
    <row r="1745" spans="1:5" x14ac:dyDescent="0.2">
      <c r="A1745" s="5">
        <v>1684</v>
      </c>
      <c r="B1745" s="1832">
        <f>'Tax Sched 23'!B5</f>
        <v>1999371</v>
      </c>
      <c r="C1745" s="2" t="s">
        <v>569</v>
      </c>
      <c r="D1745" s="2" t="str">
        <f t="shared" si="26"/>
        <v>Error?</v>
      </c>
    </row>
    <row r="1746" spans="1:5" x14ac:dyDescent="0.2">
      <c r="A1746" s="5">
        <v>1685</v>
      </c>
      <c r="B1746" s="1832">
        <f>'Tax Sched 23'!B6</f>
        <v>1461122</v>
      </c>
      <c r="C1746" s="2" t="s">
        <v>569</v>
      </c>
      <c r="D1746" s="2" t="str">
        <f t="shared" si="26"/>
        <v>Error?</v>
      </c>
    </row>
    <row r="1747" spans="1:5" x14ac:dyDescent="0.2">
      <c r="A1747" s="5">
        <v>1686</v>
      </c>
      <c r="B1747" s="1832">
        <f>'Tax Sched 23'!B7</f>
        <v>418549</v>
      </c>
      <c r="C1747" s="2" t="s">
        <v>569</v>
      </c>
      <c r="D1747" s="2" t="str">
        <f t="shared" si="26"/>
        <v>Error?</v>
      </c>
    </row>
    <row r="1748" spans="1:5" x14ac:dyDescent="0.2">
      <c r="A1748" s="5">
        <v>1687</v>
      </c>
      <c r="B1748" s="1832">
        <f>'Tax Sched 23'!B8</f>
        <v>175243</v>
      </c>
      <c r="C1748" s="2" t="s">
        <v>569</v>
      </c>
      <c r="D1748" s="2" t="str">
        <f t="shared" si="26"/>
        <v>Error?</v>
      </c>
    </row>
    <row r="1749" spans="1:5" x14ac:dyDescent="0.2">
      <c r="A1749" s="5">
        <v>1688</v>
      </c>
      <c r="B1749" s="1832">
        <f>'Tax Sched 23'!B10</f>
        <v>648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40255</v>
      </c>
      <c r="C1752" s="2" t="s">
        <v>569</v>
      </c>
      <c r="D1752" s="2" t="str">
        <f t="shared" si="26"/>
        <v>Error?</v>
      </c>
    </row>
    <row r="1753" spans="1:5" x14ac:dyDescent="0.2">
      <c r="A1753" s="5">
        <v>1692</v>
      </c>
      <c r="B1753" s="1832">
        <f>'Tax Sched 23'!B12</f>
        <v>448995</v>
      </c>
      <c r="C1753" s="2" t="s">
        <v>569</v>
      </c>
      <c r="D1753" s="2" t="str">
        <f t="shared" si="26"/>
        <v>Error?</v>
      </c>
    </row>
    <row r="1754" spans="1:5" x14ac:dyDescent="0.2">
      <c r="A1754" s="5">
        <v>1693</v>
      </c>
      <c r="B1754" s="1832">
        <f>'Tax Sched 23'!B14</f>
        <v>301244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22054853</v>
      </c>
      <c r="C1759" s="2" t="s">
        <v>569</v>
      </c>
      <c r="D1759" s="2" t="str">
        <f t="shared" si="26"/>
        <v>Error?</v>
      </c>
    </row>
    <row r="1760" spans="1:5" x14ac:dyDescent="0.2">
      <c r="A1760" s="5">
        <v>1699</v>
      </c>
      <c r="B1760" s="1832">
        <f>'Tax Sched 23'!D4</f>
        <v>8022283</v>
      </c>
      <c r="C1760" s="2" t="s">
        <v>569</v>
      </c>
      <c r="D1760" s="2" t="str">
        <f t="shared" si="26"/>
        <v>Error?</v>
      </c>
    </row>
    <row r="1761" spans="1:7" x14ac:dyDescent="0.2">
      <c r="A1761" s="5">
        <v>1700</v>
      </c>
      <c r="B1761" s="1832">
        <f>'Tax Sched 23'!D5</f>
        <v>940778</v>
      </c>
      <c r="C1761" s="2" t="s">
        <v>569</v>
      </c>
      <c r="D1761" s="2" t="str">
        <f t="shared" si="26"/>
        <v>Error?</v>
      </c>
    </row>
    <row r="1762" spans="1:7" s="8" customFormat="1" x14ac:dyDescent="0.2">
      <c r="A1762" s="5">
        <v>1701</v>
      </c>
      <c r="B1762" s="1832">
        <f>'Tax Sched 23'!D6</f>
        <v>595758</v>
      </c>
      <c r="C1762" s="2" t="s">
        <v>569</v>
      </c>
      <c r="D1762" s="2" t="str">
        <f t="shared" si="26"/>
        <v>Error?</v>
      </c>
      <c r="E1762" s="9"/>
      <c r="G1762"/>
    </row>
    <row r="1763" spans="1:7" x14ac:dyDescent="0.2">
      <c r="A1763" s="5">
        <v>1702</v>
      </c>
      <c r="B1763" s="1832">
        <f>'Tax Sched 23'!D7</f>
        <v>190641</v>
      </c>
      <c r="C1763" s="2" t="s">
        <v>569</v>
      </c>
      <c r="D1763" s="2" t="str">
        <f t="shared" si="26"/>
        <v>Error?</v>
      </c>
    </row>
    <row r="1764" spans="1:7" x14ac:dyDescent="0.2">
      <c r="A1764" s="5">
        <v>1703</v>
      </c>
      <c r="B1764" s="1832">
        <f>'Tax Sched 23'!D8</f>
        <v>82829</v>
      </c>
      <c r="C1764" s="2" t="s">
        <v>569</v>
      </c>
      <c r="D1764" s="2" t="str">
        <f t="shared" si="26"/>
        <v>Error?</v>
      </c>
    </row>
    <row r="1765" spans="1:7" x14ac:dyDescent="0.2">
      <c r="A1765" s="5">
        <v>1704</v>
      </c>
      <c r="B1765" s="1832">
        <f>'Tax Sched 23'!D10</f>
        <v>301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302</v>
      </c>
      <c r="C1768" s="2" t="s">
        <v>569</v>
      </c>
      <c r="D1768" s="2" t="str">
        <f t="shared" si="26"/>
        <v>Error?</v>
      </c>
    </row>
    <row r="1769" spans="1:7" x14ac:dyDescent="0.2">
      <c r="A1769" s="5">
        <v>1708</v>
      </c>
      <c r="B1769" s="1832">
        <f>'Tax Sched 23'!D12</f>
        <v>212054</v>
      </c>
      <c r="C1769" s="2" t="s">
        <v>569</v>
      </c>
      <c r="D1769" s="2" t="str">
        <f t="shared" si="26"/>
        <v>Error?</v>
      </c>
    </row>
    <row r="1770" spans="1:7" x14ac:dyDescent="0.2">
      <c r="A1770" s="5">
        <v>1709</v>
      </c>
      <c r="B1770" s="1832">
        <f>'Tax Sched 23'!D14</f>
        <v>142473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10305820</v>
      </c>
      <c r="C1775" s="2" t="s">
        <v>569</v>
      </c>
      <c r="D1775" s="2" t="str">
        <f t="shared" si="26"/>
        <v>Error?</v>
      </c>
    </row>
    <row r="1776" spans="1:7" x14ac:dyDescent="0.2">
      <c r="A1776" s="5">
        <v>1715</v>
      </c>
      <c r="B1776" s="1832">
        <f>'Tax Sched 23'!C4</f>
        <v>8915877</v>
      </c>
      <c r="D1776" s="2" t="str">
        <f t="shared" si="26"/>
        <v>Error?</v>
      </c>
    </row>
    <row r="1777" spans="1:4" x14ac:dyDescent="0.2">
      <c r="A1777" s="5">
        <v>1716</v>
      </c>
      <c r="B1777" s="1832">
        <f>'Tax Sched 23'!C5</f>
        <v>1058593</v>
      </c>
      <c r="D1777" s="2" t="str">
        <f t="shared" si="26"/>
        <v>Error?</v>
      </c>
    </row>
    <row r="1778" spans="1:4" x14ac:dyDescent="0.2">
      <c r="A1778" s="5">
        <v>1717</v>
      </c>
      <c r="B1778" s="1832">
        <f>'Tax Sched 23'!C6</f>
        <v>865364</v>
      </c>
      <c r="D1778" s="2" t="str">
        <f t="shared" si="26"/>
        <v>Error?</v>
      </c>
    </row>
    <row r="1779" spans="1:4" x14ac:dyDescent="0.2">
      <c r="A1779" s="5">
        <v>1718</v>
      </c>
      <c r="B1779" s="1832">
        <f>'Tax Sched 23'!C7</f>
        <v>227908</v>
      </c>
      <c r="D1779" s="2" t="str">
        <f t="shared" si="26"/>
        <v>Error?</v>
      </c>
    </row>
    <row r="1780" spans="1:4" x14ac:dyDescent="0.2">
      <c r="A1780" s="5">
        <v>1719</v>
      </c>
      <c r="B1780" s="1832">
        <f>'Tax Sched 23'!C8</f>
        <v>92414</v>
      </c>
      <c r="D1780" s="2" t="str">
        <f t="shared" si="26"/>
        <v>Error?</v>
      </c>
    </row>
    <row r="1781" spans="1:4" x14ac:dyDescent="0.2">
      <c r="A1781" s="5">
        <v>1720</v>
      </c>
      <c r="B1781" s="1832">
        <f>'Tax Sched 23'!C10</f>
        <v>347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39953</v>
      </c>
      <c r="D1784" s="2" t="str">
        <f t="shared" si="26"/>
        <v>Error?</v>
      </c>
    </row>
    <row r="1785" spans="1:4" x14ac:dyDescent="0.2">
      <c r="A1785" s="5">
        <v>1724</v>
      </c>
      <c r="B1785" s="1832">
        <f>'Tax Sched 23'!C12</f>
        <v>236941</v>
      </c>
      <c r="D1785" s="2" t="str">
        <f t="shared" si="26"/>
        <v>Error?</v>
      </c>
    </row>
    <row r="1786" spans="1:4" x14ac:dyDescent="0.2">
      <c r="A1786" s="5">
        <v>1725</v>
      </c>
      <c r="B1786" s="1832">
        <f>'Tax Sched 23'!C14</f>
        <v>158771</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11749033</v>
      </c>
      <c r="C1791" s="2" t="s">
        <v>569</v>
      </c>
      <c r="D1791" s="2" t="str">
        <f t="shared" ref="D1791:D1854" si="27">IF(ISBLANK(B1791),"OK",IF(A1791-B1791=0,"OK","Error?"))</f>
        <v>Error?</v>
      </c>
    </row>
    <row r="1792" spans="1:4" x14ac:dyDescent="0.2">
      <c r="A1792" s="5">
        <v>1731</v>
      </c>
      <c r="B1792" s="1832">
        <f>'Tax Sched 23'!F4</f>
        <v>8797825</v>
      </c>
      <c r="C1792" s="2" t="s">
        <v>569</v>
      </c>
      <c r="D1792" s="2" t="str">
        <f t="shared" si="27"/>
        <v>Error?</v>
      </c>
    </row>
    <row r="1793" spans="1:4" x14ac:dyDescent="0.2">
      <c r="A1793" s="5">
        <v>1732</v>
      </c>
      <c r="B1793" s="1832">
        <f>'Tax Sched 23'!F5</f>
        <v>1044576</v>
      </c>
      <c r="C1793" s="2" t="s">
        <v>569</v>
      </c>
      <c r="D1793" s="2" t="str">
        <f t="shared" si="27"/>
        <v>Error?</v>
      </c>
    </row>
    <row r="1794" spans="1:4" x14ac:dyDescent="0.2">
      <c r="A1794" s="5">
        <v>1733</v>
      </c>
      <c r="B1794" s="1832">
        <f>'Tax Sched 23'!F6</f>
        <v>853906</v>
      </c>
      <c r="C1794" s="2" t="s">
        <v>569</v>
      </c>
      <c r="D1794" s="2" t="str">
        <f t="shared" si="27"/>
        <v>Error?</v>
      </c>
    </row>
    <row r="1795" spans="1:4" x14ac:dyDescent="0.2">
      <c r="A1795" s="5">
        <v>1734</v>
      </c>
      <c r="B1795" s="1832">
        <f>'Tax Sched 23'!F7</f>
        <v>224891</v>
      </c>
      <c r="C1795" s="2" t="s">
        <v>569</v>
      </c>
      <c r="D1795" s="2" t="str">
        <f t="shared" si="27"/>
        <v>Error?</v>
      </c>
    </row>
    <row r="1796" spans="1:4" x14ac:dyDescent="0.2">
      <c r="A1796" s="5">
        <v>1735</v>
      </c>
      <c r="B1796" s="1832">
        <f>'Tax Sched 23'!F8</f>
        <v>91190</v>
      </c>
      <c r="C1796" s="2" t="s">
        <v>569</v>
      </c>
      <c r="D1796" s="2" t="str">
        <f t="shared" si="27"/>
        <v>Error?</v>
      </c>
    </row>
    <row r="1797" spans="1:4" x14ac:dyDescent="0.2">
      <c r="A1797" s="5">
        <v>1736</v>
      </c>
      <c r="B1797" s="1832">
        <f>'Tax Sched 23'!F10</f>
        <v>343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39424</v>
      </c>
      <c r="C1800" s="2" t="s">
        <v>569</v>
      </c>
      <c r="D1800" s="2" t="str">
        <f t="shared" si="27"/>
        <v>Error?</v>
      </c>
    </row>
    <row r="1801" spans="1:4" x14ac:dyDescent="0.2">
      <c r="A1801" s="5">
        <v>1740</v>
      </c>
      <c r="B1801" s="1832">
        <f>'Tax Sched 23'!F12</f>
        <v>233804</v>
      </c>
      <c r="C1801" s="2" t="s">
        <v>569</v>
      </c>
      <c r="D1801" s="2" t="str">
        <f t="shared" si="27"/>
        <v>Error?</v>
      </c>
    </row>
    <row r="1802" spans="1:4" x14ac:dyDescent="0.2">
      <c r="A1802" s="5">
        <v>1741</v>
      </c>
      <c r="B1802" s="1832">
        <f>'Tax Sched 23'!F14</f>
        <v>156669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11593469</v>
      </c>
      <c r="C1807" s="2" t="s">
        <v>569</v>
      </c>
      <c r="D1807" s="2" t="str">
        <f t="shared" si="27"/>
        <v>Error?</v>
      </c>
    </row>
    <row r="1808" spans="1:4" x14ac:dyDescent="0.2">
      <c r="A1808" s="5">
        <v>1747</v>
      </c>
      <c r="B1808" s="1832">
        <f>'Tax Sched 23'!E4</f>
        <v>17713702</v>
      </c>
      <c r="D1808" s="2" t="str">
        <f t="shared" si="27"/>
        <v>Error?</v>
      </c>
    </row>
    <row r="1809" spans="1:4" x14ac:dyDescent="0.2">
      <c r="A1809" s="5">
        <v>1748</v>
      </c>
      <c r="B1809" s="1832">
        <f>'Tax Sched 23'!E5</f>
        <v>2103169</v>
      </c>
      <c r="D1809" s="2" t="str">
        <f t="shared" si="27"/>
        <v>Error?</v>
      </c>
    </row>
    <row r="1810" spans="1:4" x14ac:dyDescent="0.2">
      <c r="A1810" s="5">
        <v>1749</v>
      </c>
      <c r="B1810" s="1832">
        <f>'Tax Sched 23'!E6</f>
        <v>1719270</v>
      </c>
      <c r="D1810" s="2" t="str">
        <f t="shared" si="27"/>
        <v>Error?</v>
      </c>
    </row>
    <row r="1811" spans="1:4" x14ac:dyDescent="0.2">
      <c r="A1811" s="5">
        <v>1750</v>
      </c>
      <c r="B1811" s="1832">
        <f>'Tax Sched 23'!E7</f>
        <v>452799</v>
      </c>
      <c r="D1811" s="2" t="str">
        <f t="shared" si="27"/>
        <v>Error?</v>
      </c>
    </row>
    <row r="1812" spans="1:4" x14ac:dyDescent="0.2">
      <c r="A1812" s="5">
        <v>1751</v>
      </c>
      <c r="B1812" s="1832">
        <f>'Tax Sched 23'!E8</f>
        <v>183604</v>
      </c>
      <c r="D1812" s="2" t="str">
        <f t="shared" si="27"/>
        <v>Error?</v>
      </c>
    </row>
    <row r="1813" spans="1:4" x14ac:dyDescent="0.2">
      <c r="A1813" s="5">
        <v>1752</v>
      </c>
      <c r="B1813" s="1832">
        <f>'Tax Sched 23'!E10</f>
        <v>690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79377</v>
      </c>
      <c r="D1816" s="2" t="str">
        <f t="shared" si="27"/>
        <v>Error?</v>
      </c>
    </row>
    <row r="1817" spans="1:4" x14ac:dyDescent="0.2">
      <c r="A1817" s="5">
        <v>1756</v>
      </c>
      <c r="B1817" s="1832">
        <f>'Tax Sched 23'!E12</f>
        <v>470745</v>
      </c>
      <c r="D1817" s="2" t="str">
        <f t="shared" si="27"/>
        <v>Error?</v>
      </c>
    </row>
    <row r="1818" spans="1:4" x14ac:dyDescent="0.2">
      <c r="A1818" s="5">
        <v>1757</v>
      </c>
      <c r="B1818" s="1832">
        <f>'Tax Sched 23'!E14</f>
        <v>315440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23342502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15645000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301244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301244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301244</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2337500</v>
      </c>
      <c r="D2008" s="2" t="str">
        <f t="shared" si="30"/>
        <v>Error?</v>
      </c>
    </row>
    <row r="2009" spans="1:4" x14ac:dyDescent="0.2">
      <c r="A2009" s="5">
        <v>1948</v>
      </c>
      <c r="B2009" s="1832">
        <f>'Cap Outlay Deprec 26'!C8</f>
        <v>49158024</v>
      </c>
      <c r="D2009" s="2" t="str">
        <f t="shared" si="30"/>
        <v>Error?</v>
      </c>
    </row>
    <row r="2010" spans="1:4" x14ac:dyDescent="0.2">
      <c r="A2010" s="5">
        <v>1949</v>
      </c>
      <c r="B2010" s="1832">
        <f>'Cap Outlay Deprec 26'!C10</f>
        <v>2060107</v>
      </c>
      <c r="D2010" s="2" t="str">
        <f t="shared" si="30"/>
        <v>Error?</v>
      </c>
    </row>
    <row r="2011" spans="1:4" x14ac:dyDescent="0.2">
      <c r="A2011" s="5">
        <v>1950</v>
      </c>
      <c r="B2011" s="1832">
        <f>'Cap Outlay Deprec 26'!C12</f>
        <v>7334345</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68892159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8134349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238291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8596210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8002183</v>
      </c>
      <c r="C2025" s="2" t="s">
        <v>569</v>
      </c>
      <c r="D2025" s="2" t="str">
        <f t="shared" si="30"/>
        <v>Error?</v>
      </c>
    </row>
    <row r="2026" spans="1:4" x14ac:dyDescent="0.2">
      <c r="A2026" s="5">
        <v>1965</v>
      </c>
      <c r="B2026" s="1832">
        <f>'Cap Outlay Deprec 26'!F5</f>
        <v>2337500</v>
      </c>
      <c r="C2026" s="2" t="s">
        <v>569</v>
      </c>
      <c r="D2026" s="2" t="str">
        <f t="shared" si="30"/>
        <v>Error?</v>
      </c>
    </row>
    <row r="2027" spans="1:4" x14ac:dyDescent="0.2">
      <c r="A2027" s="5">
        <v>1966</v>
      </c>
      <c r="B2027" s="1832">
        <f>'Cap Outlay Deprec 26'!F8</f>
        <v>57292373</v>
      </c>
      <c r="C2027" s="2" t="s">
        <v>569</v>
      </c>
      <c r="D2027" s="2" t="str">
        <f t="shared" si="30"/>
        <v>Error?</v>
      </c>
    </row>
    <row r="2028" spans="1:4" x14ac:dyDescent="0.2">
      <c r="A2028" s="5">
        <v>1967</v>
      </c>
      <c r="B2028" s="1832">
        <f>'Cap Outlay Deprec 26'!F10</f>
        <v>2060107</v>
      </c>
      <c r="C2028" s="2" t="s">
        <v>569</v>
      </c>
      <c r="D2028" s="2" t="str">
        <f t="shared" si="30"/>
        <v>Error?</v>
      </c>
    </row>
    <row r="2029" spans="1:4" x14ac:dyDescent="0.2">
      <c r="A2029" s="5">
        <v>1968</v>
      </c>
      <c r="B2029" s="1832">
        <f>'Cap Outlay Deprec 26'!F12</f>
        <v>7572636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69486186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19848486</v>
      </c>
      <c r="D2033" s="2" t="str">
        <f t="shared" si="30"/>
        <v>Error?</v>
      </c>
    </row>
    <row r="2034" spans="1:4" x14ac:dyDescent="0.2">
      <c r="A2034" s="5">
        <v>1973</v>
      </c>
      <c r="B2034" s="1832">
        <f>'Cap Outlay Deprec 26'!H10</f>
        <v>1394080</v>
      </c>
      <c r="D2034" s="2" t="str">
        <f t="shared" si="30"/>
        <v>Error?</v>
      </c>
    </row>
    <row r="2035" spans="1:4" x14ac:dyDescent="0.2">
      <c r="A2035" s="5">
        <v>1974</v>
      </c>
      <c r="B2035" s="1832">
        <f>'Cap Outlay Deprec 26'!H12</f>
        <v>5230674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26473240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1966711</v>
      </c>
      <c r="D2039" s="2" t="str">
        <f t="shared" si="30"/>
        <v>Error?</v>
      </c>
    </row>
    <row r="2040" spans="1:4" x14ac:dyDescent="0.2">
      <c r="A2040" s="5">
        <v>1979</v>
      </c>
      <c r="B2040" s="1832">
        <f>'Cap Outlay Deprec 26'!I10</f>
        <v>78400</v>
      </c>
      <c r="D2040" s="2" t="str">
        <f t="shared" si="30"/>
        <v>Error?</v>
      </c>
    </row>
    <row r="2041" spans="1:4" x14ac:dyDescent="0.2">
      <c r="A2041" s="5">
        <v>1980</v>
      </c>
      <c r="B2041" s="1832">
        <f>'Cap Outlay Deprec 26'!I12</f>
        <v>536899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2582010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21815197</v>
      </c>
      <c r="C2051" s="2" t="s">
        <v>569</v>
      </c>
      <c r="D2051" s="2" t="str">
        <f t="shared" si="31"/>
        <v>Error?</v>
      </c>
    </row>
    <row r="2052" spans="1:4" x14ac:dyDescent="0.2">
      <c r="A2052" s="5">
        <v>1991</v>
      </c>
      <c r="B2052" s="1832">
        <f>'Cap Outlay Deprec 26'!K10</f>
        <v>1472480</v>
      </c>
      <c r="C2052" s="2" t="s">
        <v>569</v>
      </c>
      <c r="D2052" s="2" t="str">
        <f t="shared" si="31"/>
        <v>Error?</v>
      </c>
    </row>
    <row r="2053" spans="1:4" x14ac:dyDescent="0.2">
      <c r="A2053" s="5">
        <v>1992</v>
      </c>
      <c r="B2053" s="1832">
        <f>'Cap Outlay Deprec 26'!K12</f>
        <v>5767573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29055250</v>
      </c>
      <c r="C2055" s="2" t="s">
        <v>569</v>
      </c>
      <c r="D2055" s="2" t="str">
        <f t="shared" si="31"/>
        <v>Error?</v>
      </c>
    </row>
    <row r="2056" spans="1:4" x14ac:dyDescent="0.2">
      <c r="A2056" s="5">
        <v>1995</v>
      </c>
      <c r="B2056" s="1832">
        <f>'Cap Outlay Deprec 26'!L5</f>
        <v>2337500</v>
      </c>
      <c r="C2056" s="2" t="s">
        <v>569</v>
      </c>
      <c r="D2056" s="2" t="str">
        <f t="shared" si="31"/>
        <v>Error?</v>
      </c>
    </row>
    <row r="2057" spans="1:4" x14ac:dyDescent="0.2">
      <c r="A2057" s="5">
        <v>1996</v>
      </c>
      <c r="B2057" s="1832">
        <f>'Cap Outlay Deprec 26'!L8</f>
        <v>35477176</v>
      </c>
      <c r="C2057" s="2" t="s">
        <v>569</v>
      </c>
      <c r="D2057" s="2" t="str">
        <f t="shared" si="31"/>
        <v>Error?</v>
      </c>
    </row>
    <row r="2058" spans="1:4" x14ac:dyDescent="0.2">
      <c r="A2058" s="5">
        <v>1997</v>
      </c>
      <c r="B2058" s="1832">
        <f>'Cap Outlay Deprec 26'!L10</f>
        <v>587627</v>
      </c>
      <c r="C2058" s="2" t="s">
        <v>569</v>
      </c>
      <c r="D2058" s="2" t="str">
        <f t="shared" si="31"/>
        <v>Error?</v>
      </c>
    </row>
    <row r="2059" spans="1:4" x14ac:dyDescent="0.2">
      <c r="A2059" s="5">
        <v>1998</v>
      </c>
      <c r="B2059" s="1832">
        <f>'Cap Outlay Deprec 26'!L12</f>
        <v>1805063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40430936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1891786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1925288</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242571</v>
      </c>
      <c r="D2435" s="2" t="str">
        <f t="shared" si="37"/>
        <v>Error?</v>
      </c>
    </row>
    <row r="2436" spans="1:4" x14ac:dyDescent="0.2">
      <c r="A2436" s="10">
        <v>2375</v>
      </c>
      <c r="B2436" s="1832"/>
      <c r="D2436" s="2" t="str">
        <f t="shared" si="37"/>
        <v>OK</v>
      </c>
    </row>
    <row r="2437" spans="1:4" x14ac:dyDescent="0.2">
      <c r="A2437" s="5">
        <v>2376</v>
      </c>
      <c r="B2437" s="1832">
        <f>'Assets-Liab 5-6'!D38</f>
        <v>2744784</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1021544</v>
      </c>
      <c r="D2475" s="2" t="str">
        <f t="shared" si="37"/>
        <v>Error?</v>
      </c>
    </row>
    <row r="2476" spans="1:4" x14ac:dyDescent="0.2">
      <c r="A2476" s="10">
        <v>2415</v>
      </c>
      <c r="B2476" s="1832"/>
      <c r="D2476" s="2" t="str">
        <f t="shared" si="37"/>
        <v>OK</v>
      </c>
    </row>
    <row r="2477" spans="1:4" x14ac:dyDescent="0.2">
      <c r="A2477" s="5">
        <v>2416</v>
      </c>
      <c r="B2477" s="1832">
        <f>'Assets-Liab 5-6'!G38</f>
        <v>217815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830248</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1409512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18834964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1162898</v>
      </c>
      <c r="C2553" s="2" t="s">
        <v>569</v>
      </c>
      <c r="D2553" s="2" t="str">
        <f t="shared" si="38"/>
        <v>Error?</v>
      </c>
    </row>
    <row r="2554" spans="1:4" x14ac:dyDescent="0.2">
      <c r="A2554" s="5">
        <v>2493</v>
      </c>
      <c r="B2554" s="1832">
        <f>'Acct Summary 7-8'!C7</f>
        <v>384696</v>
      </c>
      <c r="C2554" s="2" t="s">
        <v>569</v>
      </c>
      <c r="D2554" s="2" t="str">
        <f t="shared" si="38"/>
        <v>Error?</v>
      </c>
    </row>
    <row r="2555" spans="1:4" x14ac:dyDescent="0.2">
      <c r="A2555" s="5">
        <v>2494</v>
      </c>
      <c r="B2555" s="1832">
        <f>'Acct Summary 7-8'!C8</f>
        <v>20382558</v>
      </c>
      <c r="C2555" s="2" t="s">
        <v>569</v>
      </c>
      <c r="D2555" s="2" t="str">
        <f t="shared" si="38"/>
        <v>Error?</v>
      </c>
    </row>
    <row r="2556" spans="1:4" x14ac:dyDescent="0.2">
      <c r="A2556" s="5">
        <v>2495</v>
      </c>
      <c r="B2556" s="1832">
        <f>'Acct Summary 7-8'!C12</f>
        <v>12754215</v>
      </c>
      <c r="C2556" s="2" t="s">
        <v>569</v>
      </c>
      <c r="D2556" s="2" t="str">
        <f t="shared" si="38"/>
        <v>Error?</v>
      </c>
    </row>
    <row r="2557" spans="1:4" x14ac:dyDescent="0.2">
      <c r="A2557" s="5">
        <v>2496</v>
      </c>
      <c r="B2557" s="1832">
        <f>'Acct Summary 7-8'!C13</f>
        <v>4842043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1925288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19521546</v>
      </c>
      <c r="C2561" s="2" t="s">
        <v>569</v>
      </c>
      <c r="D2561" s="2" t="str">
        <f t="shared" si="39"/>
        <v>Error?</v>
      </c>
    </row>
    <row r="2562" spans="1:4" x14ac:dyDescent="0.2">
      <c r="A2562" s="5">
        <v>2501</v>
      </c>
      <c r="B2562" s="1832">
        <f>'Acct Summary 7-8'!C20</f>
        <v>861012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2225187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2225187</v>
      </c>
      <c r="C2568" s="2" t="s">
        <v>569</v>
      </c>
      <c r="D2568" s="2" t="str">
        <f t="shared" si="39"/>
        <v>Error?</v>
      </c>
    </row>
    <row r="2569" spans="1:4" x14ac:dyDescent="0.2">
      <c r="A2569" s="5">
        <v>2508</v>
      </c>
      <c r="B2569" s="1832">
        <f>'Acct Summary 7-8'!D13</f>
        <v>1810051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1810051</v>
      </c>
      <c r="C2573" s="2" t="s">
        <v>569</v>
      </c>
      <c r="D2573" s="2" t="str">
        <f t="shared" si="39"/>
        <v>Error?</v>
      </c>
    </row>
    <row r="2574" spans="1:4" x14ac:dyDescent="0.2">
      <c r="A2574" s="5">
        <v>2513</v>
      </c>
      <c r="B2574" s="1832">
        <f>'Acct Summary 7-8'!D20</f>
        <v>415136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625914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342877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968791</v>
      </c>
      <c r="C2595" s="2" t="s">
        <v>569</v>
      </c>
      <c r="D2595" s="2" t="str">
        <f t="shared" si="39"/>
        <v>Error?</v>
      </c>
    </row>
    <row r="2596" spans="1:4" x14ac:dyDescent="0.2">
      <c r="A2596" s="5">
        <v>2535</v>
      </c>
      <c r="B2596" s="1832">
        <f>'Acct Summary 7-8'!F13</f>
        <v>1066933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1066933</v>
      </c>
      <c r="C2600" s="2" t="s">
        <v>569</v>
      </c>
      <c r="D2600" s="2" t="str">
        <f t="shared" si="39"/>
        <v>Error?</v>
      </c>
    </row>
    <row r="2601" spans="1:4" x14ac:dyDescent="0.2">
      <c r="A2601" s="5">
        <v>2540</v>
      </c>
      <c r="B2601" s="1832">
        <f>'Acct Summary 7-8'!F20</f>
        <v>-98142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522053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522053</v>
      </c>
      <c r="C2606" s="2" t="s">
        <v>569</v>
      </c>
      <c r="D2606" s="2" t="str">
        <f t="shared" si="39"/>
        <v>Error?</v>
      </c>
    </row>
    <row r="2607" spans="1:4" x14ac:dyDescent="0.2">
      <c r="A2607" s="5">
        <v>2546</v>
      </c>
      <c r="B2607" s="1832">
        <f>'Acct Summary 7-8'!G12</f>
        <v>198284</v>
      </c>
      <c r="C2607" s="2" t="s">
        <v>569</v>
      </c>
      <c r="D2607" s="2" t="str">
        <f t="shared" si="39"/>
        <v>Error?</v>
      </c>
    </row>
    <row r="2608" spans="1:4" x14ac:dyDescent="0.2">
      <c r="A2608" s="5">
        <v>2547</v>
      </c>
      <c r="B2608" s="1832">
        <f>'Acct Summary 7-8'!G13</f>
        <v>369376</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567660</v>
      </c>
      <c r="C2612" s="2" t="s">
        <v>569</v>
      </c>
      <c r="D2612" s="2" t="str">
        <f t="shared" si="39"/>
        <v>Error?</v>
      </c>
    </row>
    <row r="2613" spans="1:4" x14ac:dyDescent="0.2">
      <c r="A2613" s="5">
        <v>2552</v>
      </c>
      <c r="B2613" s="1832">
        <f>'Acct Summary 7-8'!G20</f>
        <v>-45607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1491290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1491290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1283200</v>
      </c>
      <c r="C2634" s="2" t="s">
        <v>569</v>
      </c>
      <c r="D2634" s="2" t="str">
        <f t="shared" si="40"/>
        <v>Error?</v>
      </c>
    </row>
    <row r="2635" spans="1:4" x14ac:dyDescent="0.2">
      <c r="A2635" s="5">
        <v>2574</v>
      </c>
      <c r="B2635" s="1832">
        <f>'Acct Summary 7-8'!E17</f>
        <v>1283200</v>
      </c>
      <c r="C2635" s="2" t="s">
        <v>569</v>
      </c>
      <c r="D2635" s="2" t="str">
        <f t="shared" si="40"/>
        <v>Error?</v>
      </c>
    </row>
    <row r="2636" spans="1:4" x14ac:dyDescent="0.2">
      <c r="A2636" s="5">
        <v>2575</v>
      </c>
      <c r="B2636" s="1832">
        <f>'Acct Summary 7-8'!E20</f>
        <v>208090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66535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66535</v>
      </c>
      <c r="C2658" s="2" t="s">
        <v>569</v>
      </c>
      <c r="D2658" s="2" t="str">
        <f t="shared" si="40"/>
        <v>Error?</v>
      </c>
    </row>
    <row r="2659" spans="1:4" x14ac:dyDescent="0.2">
      <c r="A2659" s="5">
        <v>2598</v>
      </c>
      <c r="B2659" s="1832">
        <f>'Acct Summary 7-8'!H13</f>
        <v>552038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552038</v>
      </c>
      <c r="C2661" s="2" t="s">
        <v>569</v>
      </c>
      <c r="D2661" s="2" t="str">
        <f t="shared" si="40"/>
        <v>Error?</v>
      </c>
    </row>
    <row r="2662" spans="1:4" x14ac:dyDescent="0.2">
      <c r="A2662" s="5">
        <v>2601</v>
      </c>
      <c r="B2662" s="1832">
        <f>'Acct Summary 7-8'!H20</f>
        <v>-485503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133830</v>
      </c>
      <c r="D2718" s="2" t="str">
        <f t="shared" si="41"/>
        <v>Error?</v>
      </c>
    </row>
    <row r="2719" spans="1:4" x14ac:dyDescent="0.2">
      <c r="A2719" s="5">
        <v>2658</v>
      </c>
      <c r="B2719" s="1832">
        <f>'Expenditures 15-22'!D51</f>
        <v>44756</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178586</v>
      </c>
      <c r="C2724" s="2" t="s">
        <v>569</v>
      </c>
      <c r="D2724" s="2" t="str">
        <f t="shared" si="41"/>
        <v>Error?</v>
      </c>
    </row>
    <row r="2725" spans="1:4" x14ac:dyDescent="0.2">
      <c r="A2725" s="5">
        <v>2664</v>
      </c>
      <c r="B2725" s="1832">
        <f>'Expenditures 15-22'!D247</f>
        <v>4681</v>
      </c>
      <c r="D2725" s="2" t="str">
        <f t="shared" si="41"/>
        <v>Error?</v>
      </c>
    </row>
    <row r="2726" spans="1:4" x14ac:dyDescent="0.2">
      <c r="A2726" s="5">
        <v>2665</v>
      </c>
      <c r="B2726" s="1832">
        <f>'Expenditures 15-22'!K247</f>
        <v>4681</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33502</v>
      </c>
      <c r="C2789" s="2" t="s">
        <v>569</v>
      </c>
      <c r="D2789" s="2" t="str">
        <f t="shared" si="42"/>
        <v>Error?</v>
      </c>
    </row>
    <row r="2790" spans="1:4" x14ac:dyDescent="0.2">
      <c r="A2790" s="5">
        <v>2729</v>
      </c>
      <c r="B2790" s="1832">
        <f>'Expenditures 15-22'!E102</f>
        <v>33502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75000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223570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336</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485011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20515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336</v>
      </c>
      <c r="D2908" s="2" t="str">
        <f t="shared" si="44"/>
        <v>Error?</v>
      </c>
    </row>
    <row r="2909" spans="1:4" x14ac:dyDescent="0.2">
      <c r="A2909" s="10">
        <v>2848</v>
      </c>
      <c r="B2909" s="1832"/>
      <c r="D2909" s="2" t="str">
        <f t="shared" si="44"/>
        <v>OK</v>
      </c>
    </row>
    <row r="2910" spans="1:4" x14ac:dyDescent="0.2">
      <c r="A2910" s="5">
        <v>2849</v>
      </c>
      <c r="B2910" s="1832">
        <f>'Assets-Liab 5-6'!I34</f>
        <v>336</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484675</v>
      </c>
      <c r="D2912" s="2" t="str">
        <f t="shared" si="44"/>
        <v>Error?</v>
      </c>
    </row>
    <row r="2913" spans="1:4" x14ac:dyDescent="0.2">
      <c r="A2913" s="5">
        <v>2852</v>
      </c>
      <c r="B2913" s="1832">
        <f>'Assets-Liab 5-6'!I41</f>
        <v>485011</v>
      </c>
      <c r="C2913" s="2" t="s">
        <v>569</v>
      </c>
      <c r="D2913" s="2" t="str">
        <f t="shared" si="44"/>
        <v>Error?</v>
      </c>
    </row>
    <row r="2914" spans="1:4" x14ac:dyDescent="0.2">
      <c r="A2914" s="5">
        <v>2853</v>
      </c>
      <c r="B2914" s="1832">
        <f>'Assets-Liab 5-6'!L33</f>
        <v>20515</v>
      </c>
      <c r="D2914" s="2" t="str">
        <f t="shared" si="44"/>
        <v>Error?</v>
      </c>
    </row>
    <row r="2915" spans="1:4" x14ac:dyDescent="0.2">
      <c r="A2915" s="10">
        <v>2854</v>
      </c>
      <c r="B2915" s="1832"/>
      <c r="D2915" s="2" t="str">
        <f t="shared" si="44"/>
        <v>OK</v>
      </c>
    </row>
    <row r="2916" spans="1:4" x14ac:dyDescent="0.2">
      <c r="A2916" s="5">
        <v>2855</v>
      </c>
      <c r="B2916" s="1832">
        <f>'Assets-Liab 5-6'!L34</f>
        <v>20515</v>
      </c>
      <c r="C2916" s="2" t="s">
        <v>569</v>
      </c>
      <c r="D2916" s="2" t="str">
        <f t="shared" si="44"/>
        <v>Error?</v>
      </c>
    </row>
    <row r="2917" spans="1:4" x14ac:dyDescent="0.2">
      <c r="A2917" s="5">
        <v>2856</v>
      </c>
      <c r="B2917" s="1832">
        <f>'Assets-Liab 5-6'!L41</f>
        <v>20515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33502</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1891786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1925288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460784</v>
      </c>
      <c r="D3055" s="2" t="str">
        <f t="shared" si="46"/>
        <v>Error?</v>
      </c>
    </row>
    <row r="3056" spans="1:4" x14ac:dyDescent="0.2">
      <c r="A3056" s="5">
        <v>2995</v>
      </c>
      <c r="B3056" s="1832">
        <f>'Expenditures 15-22'!D10</f>
        <v>67171</v>
      </c>
      <c r="D3056" s="2" t="str">
        <f t="shared" si="46"/>
        <v>Error?</v>
      </c>
    </row>
    <row r="3057" spans="1:4" x14ac:dyDescent="0.2">
      <c r="A3057" s="5">
        <v>2996</v>
      </c>
      <c r="B3057" s="1832">
        <f>'Expenditures 15-22'!E10</f>
        <v>32442</v>
      </c>
      <c r="D3057" s="2" t="str">
        <f t="shared" si="46"/>
        <v>Error?</v>
      </c>
    </row>
    <row r="3058" spans="1:4" x14ac:dyDescent="0.2">
      <c r="A3058" s="5">
        <v>2997</v>
      </c>
      <c r="B3058" s="1832">
        <f>'Expenditures 15-22'!F10</f>
        <v>976</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561373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6339</v>
      </c>
      <c r="D3064" s="2" t="str">
        <f t="shared" si="46"/>
        <v>Error?</v>
      </c>
    </row>
    <row r="3065" spans="1:4" x14ac:dyDescent="0.2">
      <c r="A3065" s="5">
        <v>3004</v>
      </c>
      <c r="B3065" s="1832">
        <f>'Expenditures 15-22'!K219</f>
        <v>6339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15637</v>
      </c>
      <c r="C3225" s="2" t="s">
        <v>569</v>
      </c>
      <c r="D3225" s="2" t="str">
        <f t="shared" si="49"/>
        <v>Error?</v>
      </c>
    </row>
    <row r="3226" spans="1:4" x14ac:dyDescent="0.2">
      <c r="A3226" s="5">
        <v>3165</v>
      </c>
      <c r="B3226" s="1832">
        <f>'Acct Summary 7-8'!I8</f>
        <v>15637</v>
      </c>
      <c r="C3226" s="2" t="s">
        <v>569</v>
      </c>
      <c r="D3226" s="2" t="str">
        <f t="shared" si="49"/>
        <v>Error?</v>
      </c>
    </row>
    <row r="3227" spans="1:4" x14ac:dyDescent="0.2">
      <c r="A3227" s="5">
        <v>3166</v>
      </c>
      <c r="B3227" s="1832">
        <f>'Acct Summary 7-8'!I20</f>
        <v>15637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75000</v>
      </c>
      <c r="C3231" s="2" t="s">
        <v>569</v>
      </c>
      <c r="D3231" s="2" t="str">
        <f t="shared" si="49"/>
        <v>Error?</v>
      </c>
    </row>
    <row r="3232" spans="1:4" x14ac:dyDescent="0.2">
      <c r="A3232" s="5">
        <v>3171</v>
      </c>
      <c r="B3232" s="1832">
        <f>'Acct Summary 7-8'!C77</f>
        <v>-75000</v>
      </c>
      <c r="C3232" s="2" t="s">
        <v>569</v>
      </c>
      <c r="D3232" s="2" t="str">
        <f t="shared" si="49"/>
        <v>Error?</v>
      </c>
    </row>
    <row r="3233" spans="1:4" x14ac:dyDescent="0.2">
      <c r="A3233" s="5">
        <v>3172</v>
      </c>
      <c r="B3233" s="1832">
        <f>'Acct Summary 7-8'!C78</f>
        <v>786012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415136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-98142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-45607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208090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-485503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15637</v>
      </c>
      <c r="C3320" s="2" t="s">
        <v>569</v>
      </c>
      <c r="D3320" s="2" t="str">
        <f t="shared" si="50"/>
        <v>Error?</v>
      </c>
    </row>
    <row r="3321" spans="1:4" x14ac:dyDescent="0.2">
      <c r="A3321" s="5">
        <v>3260</v>
      </c>
      <c r="B3321" s="1832">
        <f>'Acct Summary 7-8'!I79</f>
        <v>469038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484675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1030667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208820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642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2117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1249641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102497</v>
      </c>
      <c r="D3387" s="2" t="str">
        <f t="shared" si="51"/>
        <v>Error?</v>
      </c>
    </row>
    <row r="3388" spans="1:4" x14ac:dyDescent="0.2">
      <c r="A3388" s="5">
        <v>3327</v>
      </c>
      <c r="B3388" s="1832">
        <f>'Expenditures 15-22'!D217</f>
        <v>61459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102497</v>
      </c>
      <c r="C3390" s="2" t="s">
        <v>569</v>
      </c>
      <c r="D3390" s="2" t="str">
        <f t="shared" si="51"/>
        <v>Error?</v>
      </c>
    </row>
    <row r="3391" spans="1:4" x14ac:dyDescent="0.2">
      <c r="A3391" s="5">
        <v>3330</v>
      </c>
      <c r="B3391" s="1832">
        <f>'Expenditures 15-22'!K217</f>
        <v>61459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9576822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2793002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830248</v>
      </c>
      <c r="D3417" s="2" t="str">
        <f t="shared" si="52"/>
        <v>Error?</v>
      </c>
    </row>
    <row r="3418" spans="1:4" x14ac:dyDescent="0.2">
      <c r="A3418" s="10">
        <v>3357</v>
      </c>
      <c r="B3418" s="1832"/>
      <c r="D3418" s="2" t="str">
        <f t="shared" si="52"/>
        <v>OK</v>
      </c>
    </row>
    <row r="3419" spans="1:4" x14ac:dyDescent="0.2">
      <c r="A3419" s="5">
        <v>3358</v>
      </c>
      <c r="B3419" s="1832">
        <f>'Assets-Liab 5-6'!F4</f>
        <v>936035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217815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1611486</v>
      </c>
      <c r="D3425" s="2" t="str">
        <f t="shared" si="52"/>
        <v>Error?</v>
      </c>
    </row>
    <row r="3426" spans="1:4" x14ac:dyDescent="0.2">
      <c r="A3426" s="10">
        <v>3365</v>
      </c>
      <c r="B3426" s="1832"/>
      <c r="D3426" s="2" t="str">
        <f t="shared" si="52"/>
        <v>OK</v>
      </c>
    </row>
    <row r="3427" spans="1:4" x14ac:dyDescent="0.2">
      <c r="A3427" s="5">
        <v>3366</v>
      </c>
      <c r="B3427" s="1832">
        <f>'Assets-Liab 5-6'!I4</f>
        <v>484675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20515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271266</v>
      </c>
      <c r="C3446" s="2" t="s">
        <v>569</v>
      </c>
      <c r="D3446" s="2" t="str">
        <f t="shared" si="52"/>
        <v>Error?</v>
      </c>
    </row>
    <row r="3447" spans="1:4" x14ac:dyDescent="0.2">
      <c r="A3447" s="5">
        <v>3386</v>
      </c>
      <c r="B3447" s="1832">
        <f>'Tax Sched 23'!D16</f>
        <v>118401</v>
      </c>
      <c r="C3447" s="2" t="s">
        <v>569</v>
      </c>
      <c r="D3447" s="2" t="str">
        <f t="shared" si="52"/>
        <v>Error?</v>
      </c>
    </row>
    <row r="3448" spans="1:4" x14ac:dyDescent="0.2">
      <c r="A3448" s="5">
        <v>3387</v>
      </c>
      <c r="B3448" s="1832">
        <f>'Tax Sched 23'!C16</f>
        <v>152865</v>
      </c>
      <c r="D3448" s="2" t="str">
        <f t="shared" si="52"/>
        <v>Error?</v>
      </c>
    </row>
    <row r="3449" spans="1:4" x14ac:dyDescent="0.2">
      <c r="A3449" s="5">
        <v>3388</v>
      </c>
      <c r="B3449" s="1832">
        <f>'Tax Sched 23'!F16</f>
        <v>150841</v>
      </c>
      <c r="C3449" s="2" t="s">
        <v>569</v>
      </c>
      <c r="D3449" s="2" t="str">
        <f t="shared" si="52"/>
        <v>Error?</v>
      </c>
    </row>
    <row r="3450" spans="1:4" x14ac:dyDescent="0.2">
      <c r="A3450" s="5">
        <v>3389</v>
      </c>
      <c r="B3450" s="1832">
        <f>'Tax Sched 23'!E16</f>
        <v>303706</v>
      </c>
      <c r="D3450" s="2" t="str">
        <f t="shared" si="52"/>
        <v>Error?</v>
      </c>
    </row>
    <row r="3451" spans="1:4" x14ac:dyDescent="0.2">
      <c r="A3451" s="5">
        <v>3390</v>
      </c>
      <c r="B3451" s="1832">
        <f>'Cap Outlay Deprec 26'!C15</f>
        <v>8002183</v>
      </c>
      <c r="D3451" s="2" t="str">
        <f t="shared" si="52"/>
        <v>Error?</v>
      </c>
    </row>
    <row r="3452" spans="1:4" x14ac:dyDescent="0.2">
      <c r="A3452" s="5">
        <v>3391</v>
      </c>
      <c r="B3452" s="1832">
        <f>'Cap Outlay Deprec 26'!D15</f>
        <v>223570</v>
      </c>
      <c r="D3452" s="2" t="str">
        <f t="shared" si="52"/>
        <v>Error?</v>
      </c>
    </row>
    <row r="3453" spans="1:4" x14ac:dyDescent="0.2">
      <c r="A3453" s="5">
        <v>3392</v>
      </c>
      <c r="B3453" s="1832">
        <f>'Cap Outlay Deprec 26'!E15</f>
        <v>8002183</v>
      </c>
      <c r="D3453" s="2" t="str">
        <f t="shared" si="52"/>
        <v>Error?</v>
      </c>
    </row>
    <row r="3454" spans="1:4" x14ac:dyDescent="0.2">
      <c r="A3454" s="5">
        <v>3393</v>
      </c>
      <c r="B3454" s="1832">
        <f>'Cap Outlay Deprec 26'!F15</f>
        <v>223570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223570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4340603</v>
      </c>
      <c r="D3546" s="2" t="str">
        <f t="shared" si="54"/>
        <v>Error?</v>
      </c>
    </row>
    <row r="3547" spans="1:4" x14ac:dyDescent="0.2">
      <c r="A3547" s="10">
        <v>3486</v>
      </c>
      <c r="B3547" s="1832"/>
      <c r="D3547" s="2" t="str">
        <f t="shared" si="54"/>
        <v>OK</v>
      </c>
    </row>
    <row r="3548" spans="1:4" x14ac:dyDescent="0.2">
      <c r="A3548" s="5">
        <v>3487</v>
      </c>
      <c r="B3548" s="1832">
        <f>'Assets-Liab 5-6'!K6</f>
        <v>229122</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4569725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229122</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262422</v>
      </c>
      <c r="C3565" s="2" t="s">
        <v>569</v>
      </c>
      <c r="D3565" s="2" t="str">
        <f t="shared" si="54"/>
        <v>Error?</v>
      </c>
    </row>
    <row r="3566" spans="1:4" x14ac:dyDescent="0.2">
      <c r="A3566" s="5">
        <v>3505</v>
      </c>
      <c r="B3566" s="1832">
        <f>'Assets-Liab 5-6'!K38</f>
        <v>4307303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4569725</v>
      </c>
      <c r="C3568" s="2" t="s">
        <v>569</v>
      </c>
      <c r="D3568" s="2" t="str">
        <f t="shared" si="54"/>
        <v>Error?</v>
      </c>
    </row>
    <row r="3569" spans="1:4" x14ac:dyDescent="0.2">
      <c r="A3569" s="5">
        <v>3508</v>
      </c>
      <c r="B3569" s="1832">
        <f>'Acct Summary 7-8'!K4</f>
        <v>606349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606349</v>
      </c>
      <c r="C3571" s="2" t="s">
        <v>569</v>
      </c>
      <c r="D3571" s="2" t="str">
        <f t="shared" si="54"/>
        <v>Error?</v>
      </c>
    </row>
    <row r="3572" spans="1:4" x14ac:dyDescent="0.2">
      <c r="A3572" s="5">
        <v>3511</v>
      </c>
      <c r="B3572" s="1832">
        <f>'Acct Summary 7-8'!K13</f>
        <v>68419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68419</v>
      </c>
      <c r="C3575" s="2" t="s">
        <v>569</v>
      </c>
      <c r="D3575" s="2" t="str">
        <f t="shared" si="54"/>
        <v>Error?</v>
      </c>
    </row>
    <row r="3576" spans="1:4" x14ac:dyDescent="0.2">
      <c r="A3576" s="5">
        <v>3515</v>
      </c>
      <c r="B3576" s="1832">
        <f>'Acct Summary 7-8'!K20</f>
        <v>537930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537930</v>
      </c>
      <c r="C3588" s="2" t="s">
        <v>569</v>
      </c>
      <c r="D3588" s="2" t="str">
        <f t="shared" si="55"/>
        <v>Error?</v>
      </c>
    </row>
    <row r="3589" spans="1:4" x14ac:dyDescent="0.2">
      <c r="A3589" s="5">
        <v>3528</v>
      </c>
      <c r="B3589" s="1832">
        <f>'Acct Summary 7-8'!K79</f>
        <v>3769373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4307303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1819</v>
      </c>
      <c r="D3632" s="2" t="str">
        <f t="shared" si="55"/>
        <v>Error?</v>
      </c>
    </row>
    <row r="3633" spans="1:4" x14ac:dyDescent="0.2">
      <c r="A3633" s="5">
        <v>3572</v>
      </c>
      <c r="B3633" s="1832">
        <f>'Expenditures 15-22'!E350</f>
        <v>1819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1819</v>
      </c>
      <c r="C3635" s="2" t="s">
        <v>569</v>
      </c>
      <c r="D3635" s="2" t="str">
        <f t="shared" si="55"/>
        <v>Error?</v>
      </c>
    </row>
    <row r="3636" spans="1:4" x14ac:dyDescent="0.2">
      <c r="A3636" s="5">
        <v>3575</v>
      </c>
      <c r="B3636" s="1832">
        <f>'Expenditures 15-22'!E367</f>
        <v>1819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33300</v>
      </c>
      <c r="D3646" s="2" t="str">
        <f t="shared" si="55"/>
        <v>Error?</v>
      </c>
    </row>
    <row r="3647" spans="1:4" x14ac:dyDescent="0.2">
      <c r="A3647" s="5">
        <v>3586</v>
      </c>
      <c r="B3647" s="1832">
        <f>'Expenditures 15-22'!G350</f>
        <v>33300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33300</v>
      </c>
      <c r="C3649" s="2" t="s">
        <v>569</v>
      </c>
      <c r="D3649" s="2" t="str">
        <f t="shared" si="56"/>
        <v>Error?</v>
      </c>
    </row>
    <row r="3650" spans="1:4" x14ac:dyDescent="0.2">
      <c r="A3650" s="5">
        <v>3589</v>
      </c>
      <c r="B3650" s="1832">
        <f>'Expenditures 15-22'!G367</f>
        <v>33300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68419</v>
      </c>
      <c r="C3669" s="2" t="s">
        <v>569</v>
      </c>
      <c r="D3669" s="2" t="str">
        <f t="shared" si="56"/>
        <v>Error?</v>
      </c>
    </row>
    <row r="3670" spans="1:4" x14ac:dyDescent="0.2">
      <c r="A3670" s="5">
        <v>3609</v>
      </c>
      <c r="B3670" s="1832">
        <f>'Expenditures 15-22'!K350</f>
        <v>68419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68419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68419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537930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423014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9619929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30002487</v>
      </c>
      <c r="C4122" s="2" t="s">
        <v>569</v>
      </c>
      <c r="D4122" s="2" t="str">
        <f t="shared" si="63"/>
        <v>Error?</v>
      </c>
    </row>
    <row r="4123" spans="1:4" x14ac:dyDescent="0.2">
      <c r="A4123" s="5">
        <v>4062</v>
      </c>
      <c r="B4123" s="1832">
        <f>'Acct Summary 7-8'!D10</f>
        <v>2225187</v>
      </c>
      <c r="C4123" s="2" t="s">
        <v>569</v>
      </c>
      <c r="D4123" s="2" t="str">
        <f t="shared" si="63"/>
        <v>Error?</v>
      </c>
    </row>
    <row r="4124" spans="1:4" x14ac:dyDescent="0.2">
      <c r="A4124" s="5">
        <v>4063</v>
      </c>
      <c r="B4124" s="1832">
        <f>'Acct Summary 7-8'!E10</f>
        <v>1491290</v>
      </c>
      <c r="C4124" s="2" t="s">
        <v>569</v>
      </c>
      <c r="D4124" s="2" t="str">
        <f t="shared" si="63"/>
        <v>Error?</v>
      </c>
    </row>
    <row r="4125" spans="1:4" x14ac:dyDescent="0.2">
      <c r="A4125" s="5">
        <v>4064</v>
      </c>
      <c r="B4125" s="1832">
        <f>'Acct Summary 7-8'!F10</f>
        <v>968791</v>
      </c>
      <c r="C4125" s="2" t="s">
        <v>569</v>
      </c>
      <c r="D4125" s="2" t="str">
        <f t="shared" si="63"/>
        <v>Error?</v>
      </c>
    </row>
    <row r="4126" spans="1:4" x14ac:dyDescent="0.2">
      <c r="A4126" s="5">
        <v>4065</v>
      </c>
      <c r="B4126" s="1832">
        <f>'Acct Summary 7-8'!G10</f>
        <v>522053</v>
      </c>
      <c r="C4126" s="2" t="s">
        <v>569</v>
      </c>
      <c r="D4126" s="2" t="str">
        <f t="shared" si="63"/>
        <v>Error?</v>
      </c>
    </row>
    <row r="4127" spans="1:4" x14ac:dyDescent="0.2">
      <c r="A4127" s="5">
        <v>4066</v>
      </c>
      <c r="B4127" s="1832">
        <f>'Acct Summary 7-8'!H10</f>
        <v>66535</v>
      </c>
      <c r="C4127" s="2" t="s">
        <v>569</v>
      </c>
      <c r="D4127" s="2" t="str">
        <f t="shared" si="63"/>
        <v>Error?</v>
      </c>
    </row>
    <row r="4128" spans="1:4" x14ac:dyDescent="0.2">
      <c r="A4128" s="5">
        <v>4067</v>
      </c>
      <c r="B4128" s="1832">
        <f>'Acct Summary 7-8'!I10</f>
        <v>15637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606349</v>
      </c>
      <c r="C4130" s="2" t="s">
        <v>569</v>
      </c>
      <c r="D4130" s="2" t="str">
        <f t="shared" si="63"/>
        <v>Error?</v>
      </c>
    </row>
    <row r="4131" spans="1:4" x14ac:dyDescent="0.2">
      <c r="A4131" s="5">
        <v>4070</v>
      </c>
      <c r="B4131" s="1832">
        <f>'Acct Summary 7-8'!C18</f>
        <v>9619929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29141475</v>
      </c>
      <c r="C4136" s="2" t="s">
        <v>569</v>
      </c>
      <c r="D4136" s="2" t="str">
        <f t="shared" si="63"/>
        <v>Error?</v>
      </c>
    </row>
    <row r="4137" spans="1:4" x14ac:dyDescent="0.2">
      <c r="A4137" s="5">
        <v>4076</v>
      </c>
      <c r="B4137" s="1832">
        <f>'Acct Summary 7-8'!D19</f>
        <v>1810051</v>
      </c>
      <c r="C4137" s="2" t="s">
        <v>569</v>
      </c>
      <c r="D4137" s="2" t="str">
        <f t="shared" si="63"/>
        <v>Error?</v>
      </c>
    </row>
    <row r="4138" spans="1:4" x14ac:dyDescent="0.2">
      <c r="A4138" s="5">
        <v>4077</v>
      </c>
      <c r="B4138" s="1832">
        <f>'Acct Summary 7-8'!E19</f>
        <v>1283200</v>
      </c>
      <c r="C4138" s="2" t="s">
        <v>569</v>
      </c>
      <c r="D4138" s="2" t="str">
        <f t="shared" si="63"/>
        <v>Error?</v>
      </c>
    </row>
    <row r="4139" spans="1:4" x14ac:dyDescent="0.2">
      <c r="A4139" s="5">
        <v>4078</v>
      </c>
      <c r="B4139" s="1832">
        <f>'Acct Summary 7-8'!F19</f>
        <v>1066933</v>
      </c>
      <c r="C4139" s="2" t="s">
        <v>569</v>
      </c>
      <c r="D4139" s="2" t="str">
        <f t="shared" si="63"/>
        <v>Error?</v>
      </c>
    </row>
    <row r="4140" spans="1:4" x14ac:dyDescent="0.2">
      <c r="A4140" s="5">
        <v>4079</v>
      </c>
      <c r="B4140" s="1832">
        <f>'Acct Summary 7-8'!G19</f>
        <v>567660</v>
      </c>
      <c r="C4140" s="2" t="s">
        <v>569</v>
      </c>
      <c r="D4140" s="2" t="str">
        <f t="shared" si="63"/>
        <v>Error?</v>
      </c>
    </row>
    <row r="4141" spans="1:4" x14ac:dyDescent="0.2">
      <c r="A4141" s="5">
        <v>4080</v>
      </c>
      <c r="B4141" s="1832">
        <f>'Acct Summary 7-8'!H19</f>
        <v>552038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68419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14925000</v>
      </c>
      <c r="C4171" s="2" t="s">
        <v>569</v>
      </c>
      <c r="D4171" s="2" t="str">
        <f t="shared" si="64"/>
        <v>Error?</v>
      </c>
    </row>
    <row r="4172" spans="1:4" x14ac:dyDescent="0.2">
      <c r="A4172" s="5">
        <v>4111</v>
      </c>
      <c r="B4172" s="1832">
        <f>'Short-Term Long-Term Debt 24'!J49</f>
        <v>14925000</v>
      </c>
      <c r="C4172" s="2" t="s">
        <v>569</v>
      </c>
      <c r="D4172" s="2" t="str">
        <f t="shared" si="64"/>
        <v>Error?</v>
      </c>
    </row>
    <row r="4173" spans="1:4" x14ac:dyDescent="0.2">
      <c r="A4173" s="5">
        <v>4112</v>
      </c>
      <c r="B4173" s="1832">
        <f>'Short-Term Long-Term Debt 24'!H49</f>
        <v>720000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2566.2999999999997</v>
      </c>
      <c r="C4265" s="2" t="s">
        <v>569</v>
      </c>
      <c r="D4265" s="2" t="str">
        <f t="shared" si="65"/>
        <v>Error?</v>
      </c>
      <c r="E4265" s="125"/>
    </row>
    <row r="4266" spans="1:5" x14ac:dyDescent="0.2">
      <c r="A4266" s="12">
        <v>4205</v>
      </c>
      <c r="B4266" s="1832">
        <f>('FP Info 3'!F10)*100000</f>
        <v>304.7</v>
      </c>
      <c r="C4266" s="2" t="s">
        <v>569</v>
      </c>
      <c r="D4266" s="2" t="str">
        <f t="shared" si="65"/>
        <v>Error?</v>
      </c>
      <c r="E4266" s="125"/>
    </row>
    <row r="4267" spans="1:5" x14ac:dyDescent="0.2">
      <c r="A4267" s="12">
        <v>4206</v>
      </c>
      <c r="B4267" s="1832">
        <f>('FP Info 3'!H10)*100000</f>
        <v>65.599999999999994</v>
      </c>
      <c r="C4267" s="2" t="s">
        <v>569</v>
      </c>
      <c r="D4267" s="2" t="str">
        <f t="shared" si="65"/>
        <v>Error?</v>
      </c>
      <c r="E4267" s="125"/>
    </row>
    <row r="4268" spans="1:5" x14ac:dyDescent="0.2">
      <c r="A4268" s="12">
        <v>4207</v>
      </c>
      <c r="B4268" s="1832">
        <f>('FP Info 3'!J10)*100000</f>
        <v>2937</v>
      </c>
      <c r="C4268" s="2" t="s">
        <v>569</v>
      </c>
      <c r="D4268" s="2" t="str">
        <f t="shared" si="65"/>
        <v>Error?</v>
      </c>
    </row>
    <row r="4269" spans="1:5" x14ac:dyDescent="0.2">
      <c r="A4269" s="12">
        <v>4208</v>
      </c>
      <c r="B4269" s="1832">
        <f>'FP Info 3'!J16</f>
        <v>13763493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43084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16683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19846</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9.9999999999999992E-2</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7759</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690242851</v>
      </c>
      <c r="D4995" s="2" t="str">
        <f t="shared" si="77"/>
        <v>Error?</v>
      </c>
    </row>
    <row r="4996" spans="1:4" x14ac:dyDescent="0.2">
      <c r="A4996" s="12">
        <v>4935</v>
      </c>
      <c r="B4996" s="1832">
        <f>'FP Info 3'!H31</f>
        <v>47626756.719000004</v>
      </c>
      <c r="D4996" s="2" t="str">
        <f t="shared" si="77"/>
        <v>Error?</v>
      </c>
    </row>
    <row r="4997" spans="1:4" x14ac:dyDescent="0.2">
      <c r="A4997" s="12">
        <v>4936</v>
      </c>
      <c r="B4997" s="1832">
        <f>'FP Info 3'!H37</f>
        <v>14925000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16938160</v>
      </c>
      <c r="D5061" s="2" t="str">
        <f t="shared" si="78"/>
        <v>Error?</v>
      </c>
    </row>
    <row r="5062" spans="1:4" x14ac:dyDescent="0.2">
      <c r="A5062" s="10">
        <v>5001</v>
      </c>
      <c r="B5062" s="1832"/>
      <c r="D5062" s="2" t="str">
        <f t="shared" si="78"/>
        <v>OK</v>
      </c>
    </row>
    <row r="5063" spans="1:4" x14ac:dyDescent="0.2">
      <c r="A5063" s="5">
        <v>5002</v>
      </c>
      <c r="B5063" s="1832">
        <f>'Revenues 9-14'!C7</f>
        <v>301244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17239404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388614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388614</v>
      </c>
      <c r="C5071" s="2" t="s">
        <v>569</v>
      </c>
      <c r="D5071" s="2" t="str">
        <f t="shared" si="78"/>
        <v>Error?</v>
      </c>
    </row>
    <row r="5072" spans="1:4" x14ac:dyDescent="0.2">
      <c r="A5072" s="5">
        <v>5011</v>
      </c>
      <c r="B5072" s="1832">
        <f>'Revenues 9-14'!C20</f>
        <v>121242</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1280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122522</v>
      </c>
      <c r="C5087" s="2" t="s">
        <v>569</v>
      </c>
      <c r="D5087" s="2" t="str">
        <f t="shared" si="78"/>
        <v>Error?</v>
      </c>
    </row>
    <row r="5088" spans="1:4" x14ac:dyDescent="0.2">
      <c r="A5088" s="5">
        <v>5027</v>
      </c>
      <c r="B5088" s="1832">
        <f>'Revenues 9-14'!C65</f>
        <v>375267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375267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198949</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71647</v>
      </c>
      <c r="D5099" s="2" t="str">
        <f t="shared" si="78"/>
        <v>Error?</v>
      </c>
    </row>
    <row r="5100" spans="1:4" x14ac:dyDescent="0.2">
      <c r="A5100" s="5">
        <v>5039</v>
      </c>
      <c r="B5100" s="1832">
        <f>'Revenues 9-14'!C80</f>
        <v>4634</v>
      </c>
      <c r="D5100" s="2" t="str">
        <f t="shared" si="78"/>
        <v>Error?</v>
      </c>
    </row>
    <row r="5101" spans="1:4" x14ac:dyDescent="0.2">
      <c r="A5101" s="5">
        <v>5040</v>
      </c>
      <c r="B5101" s="1832">
        <f>'Revenues 9-14'!C81</f>
        <v>25685</v>
      </c>
      <c r="D5101" s="2" t="str">
        <f t="shared" si="78"/>
        <v>Error?</v>
      </c>
    </row>
    <row r="5102" spans="1:4" x14ac:dyDescent="0.2">
      <c r="A5102" s="5">
        <v>5041</v>
      </c>
      <c r="B5102" s="1832">
        <f>'Revenues 9-14'!C82</f>
        <v>101966</v>
      </c>
      <c r="C5102" s="2" t="s">
        <v>569</v>
      </c>
      <c r="D5102" s="2" t="str">
        <f t="shared" si="78"/>
        <v>Error?</v>
      </c>
    </row>
    <row r="5103" spans="1:4" x14ac:dyDescent="0.2">
      <c r="A5103" s="5">
        <v>5042</v>
      </c>
      <c r="B5103" s="1832">
        <f>'Revenues 9-14'!C84</f>
        <v>44928</v>
      </c>
      <c r="D5103" s="2" t="str">
        <f t="shared" si="78"/>
        <v>Error?</v>
      </c>
    </row>
    <row r="5104" spans="1:4" x14ac:dyDescent="0.2">
      <c r="A5104" s="5">
        <v>5043</v>
      </c>
      <c r="B5104" s="1832">
        <f>'Revenues 9-14'!C85</f>
        <v>38526</v>
      </c>
      <c r="D5104" s="2" t="str">
        <f t="shared" si="78"/>
        <v>Error?</v>
      </c>
    </row>
    <row r="5105" spans="1:4" x14ac:dyDescent="0.2">
      <c r="A5105" s="5">
        <v>5044</v>
      </c>
      <c r="B5105" s="1832">
        <f>'Revenues 9-14'!C86</f>
        <v>9275</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513</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93242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306499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8501</v>
      </c>
      <c r="D5119" s="2" t="str">
        <f t="shared" ref="D5119:D5182" si="79">IF(ISBLANK(B5119),"OK",IF(A5119-B5119=0,"OK","Error?"))</f>
        <v>Error?</v>
      </c>
    </row>
    <row r="5120" spans="1:4" x14ac:dyDescent="0.2">
      <c r="A5120" s="5">
        <v>5059</v>
      </c>
      <c r="B5120" s="1832">
        <f>'Revenues 9-14'!C108</f>
        <v>315000</v>
      </c>
      <c r="C5120" s="2" t="s">
        <v>569</v>
      </c>
      <c r="D5120" s="2" t="str">
        <f t="shared" si="79"/>
        <v>Error?</v>
      </c>
    </row>
    <row r="5121" spans="1:4" x14ac:dyDescent="0.2">
      <c r="A5121" s="5">
        <v>5060</v>
      </c>
      <c r="B5121" s="1832">
        <f>'Revenues 9-14'!C109</f>
        <v>18834964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1162898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1162898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1162898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13470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13470</v>
      </c>
      <c r="C5246" s="2" t="s">
        <v>569</v>
      </c>
      <c r="D5246" s="2" t="str">
        <f t="shared" si="80"/>
        <v>Error?</v>
      </c>
    </row>
    <row r="5247" spans="1:4" x14ac:dyDescent="0.2">
      <c r="A5247" s="5">
        <v>5186</v>
      </c>
      <c r="B5247" s="1832">
        <f>'Revenues 9-14'!C200</f>
        <v>274518</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274518</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5000</v>
      </c>
      <c r="D5278" s="2" t="str">
        <f t="shared" si="81"/>
        <v>Error?</v>
      </c>
    </row>
    <row r="5279" spans="1:4" x14ac:dyDescent="0.2">
      <c r="A5279" s="5">
        <v>5218</v>
      </c>
      <c r="B5279" s="1832">
        <f>'Revenues 9-14'!C214</f>
        <v>4336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9336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384696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384696</v>
      </c>
      <c r="C5326" s="2" t="s">
        <v>569</v>
      </c>
      <c r="D5326" s="2" t="str">
        <f t="shared" si="82"/>
        <v>Error?</v>
      </c>
    </row>
    <row r="5327" spans="1:5" x14ac:dyDescent="0.2">
      <c r="A5327" s="5">
        <v>5266</v>
      </c>
      <c r="B5327" s="1832">
        <f>'Revenues 9-14'!C268</f>
        <v>20382558</v>
      </c>
      <c r="C5327" s="2" t="s">
        <v>569</v>
      </c>
      <c r="D5327" s="2" t="str">
        <f t="shared" si="82"/>
        <v>Error?</v>
      </c>
    </row>
    <row r="5328" spans="1:5" x14ac:dyDescent="0.2">
      <c r="A5328" s="5">
        <v>5267</v>
      </c>
      <c r="B5328" s="1832">
        <f>'Revenues 9-14'!D5</f>
        <v>1999371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1999371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102463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102463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123353</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123353</v>
      </c>
      <c r="C5355" s="2" t="s">
        <v>569</v>
      </c>
      <c r="D5355" s="2" t="str">
        <f t="shared" si="82"/>
        <v>Error?</v>
      </c>
    </row>
    <row r="5356" spans="1:4" x14ac:dyDescent="0.2">
      <c r="A5356" s="5">
        <v>5295</v>
      </c>
      <c r="B5356" s="1832">
        <f>'Revenues 9-14'!D109</f>
        <v>2225187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2225187</v>
      </c>
      <c r="C5508" s="2" t="s">
        <v>569</v>
      </c>
      <c r="D5508" s="2" t="str">
        <f t="shared" si="85"/>
        <v>Error?</v>
      </c>
    </row>
    <row r="5509" spans="1:4" x14ac:dyDescent="0.2">
      <c r="A5509" s="5">
        <v>5448</v>
      </c>
      <c r="B5509" s="1832">
        <f>'Revenues 9-14'!E5</f>
        <v>1461122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1461122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30168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30168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1491290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1491290</v>
      </c>
      <c r="C5552" s="2" t="s">
        <v>569</v>
      </c>
      <c r="D5552" s="2" t="str">
        <f t="shared" si="85"/>
        <v>Error?</v>
      </c>
    </row>
    <row r="5553" spans="1:4" x14ac:dyDescent="0.2">
      <c r="A5553" s="5">
        <v>5492</v>
      </c>
      <c r="B5553" s="1832">
        <f>'Revenues 9-14'!F5</f>
        <v>418549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418549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166549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166549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40816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40816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625914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94555</v>
      </c>
      <c r="D5615" s="2" t="str">
        <f t="shared" si="86"/>
        <v>Error?</v>
      </c>
    </row>
    <row r="5616" spans="1:4" x14ac:dyDescent="0.2">
      <c r="A5616" s="10">
        <v>5555</v>
      </c>
      <c r="B5616" s="1832"/>
      <c r="D5616" s="2" t="str">
        <f t="shared" si="86"/>
        <v>OK</v>
      </c>
    </row>
    <row r="5617" spans="1:5" x14ac:dyDescent="0.2">
      <c r="A5617" s="5">
        <v>5556</v>
      </c>
      <c r="B5617" s="1832">
        <f>'Revenues 9-14'!F153</f>
        <v>248322</v>
      </c>
      <c r="D5617" s="2" t="str">
        <f t="shared" si="86"/>
        <v>Error?</v>
      </c>
    </row>
    <row r="5618" spans="1:5" x14ac:dyDescent="0.2">
      <c r="A5618" s="5">
        <v>5557</v>
      </c>
      <c r="B5618" s="1832">
        <f>'Revenues 9-14'!F155</f>
        <v>342877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342877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342877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968791</v>
      </c>
      <c r="C5720" s="2" t="s">
        <v>569</v>
      </c>
      <c r="D5720" s="2" t="str">
        <f t="shared" si="88"/>
        <v>Error?</v>
      </c>
    </row>
    <row r="5721" spans="1:4" x14ac:dyDescent="0.2">
      <c r="A5721" s="5">
        <v>5660</v>
      </c>
      <c r="B5721" s="1832">
        <f>'Revenues 9-14'!G5</f>
        <v>175243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271266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446509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61685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61685</v>
      </c>
      <c r="C5730" s="2" t="s">
        <v>569</v>
      </c>
      <c r="D5730" s="2" t="str">
        <f t="shared" si="88"/>
        <v>Error?</v>
      </c>
    </row>
    <row r="5731" spans="1:4" x14ac:dyDescent="0.2">
      <c r="A5731" s="5">
        <v>5670</v>
      </c>
      <c r="B5731" s="1832">
        <f>'Revenues 9-14'!G65</f>
        <v>13859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13859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522053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66535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66535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66535</v>
      </c>
      <c r="C5915" s="2" t="s">
        <v>569</v>
      </c>
      <c r="D5915" s="2" t="str">
        <f t="shared" si="91"/>
        <v>Error?</v>
      </c>
    </row>
    <row r="5916" spans="1:4" x14ac:dyDescent="0.2">
      <c r="A5916" s="5">
        <v>5855</v>
      </c>
      <c r="B5916" s="1832">
        <f>'Revenues 9-14'!I5</f>
        <v>648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648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14989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14989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15637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448995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448995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157354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157354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606349</v>
      </c>
      <c r="C6023" s="2" t="s">
        <v>569</v>
      </c>
      <c r="D6023" s="2" t="str">
        <f t="shared" si="93"/>
        <v>Error?</v>
      </c>
    </row>
    <row r="6024" spans="1:5" x14ac:dyDescent="0.2">
      <c r="A6024" s="5">
        <v>5963</v>
      </c>
      <c r="B6024" s="1832">
        <f>'Revenues 9-14'!G109</f>
        <v>522053</v>
      </c>
      <c r="C6024" s="2" t="s">
        <v>569</v>
      </c>
      <c r="D6024" s="2" t="str">
        <f t="shared" si="93"/>
        <v>Error?</v>
      </c>
    </row>
    <row r="6025" spans="1:5" x14ac:dyDescent="0.2">
      <c r="A6025" s="5">
        <v>5964</v>
      </c>
      <c r="B6025" s="1832">
        <f>'Revenues 9-14'!H109</f>
        <v>66535</v>
      </c>
      <c r="C6025" s="2" t="s">
        <v>569</v>
      </c>
      <c r="D6025" s="2" t="str">
        <f t="shared" si="93"/>
        <v>Error?</v>
      </c>
    </row>
    <row r="6026" spans="1:5" x14ac:dyDescent="0.2">
      <c r="A6026" s="5">
        <v>5965</v>
      </c>
      <c r="B6026" s="1832">
        <f>'Revenues 9-14'!I109</f>
        <v>15637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606349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198949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1154.2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125349</v>
      </c>
      <c r="D6090" s="2" t="str">
        <f t="shared" si="94"/>
        <v>Error?</v>
      </c>
      <c r="E6090" s="2" t="s">
        <v>189</v>
      </c>
    </row>
    <row r="6091" spans="1:5" x14ac:dyDescent="0.2">
      <c r="A6091">
        <v>6030</v>
      </c>
      <c r="B6091" s="1832">
        <f>'Assets-Liab 5-6'!D8</f>
        <v>6521</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85509</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242571</v>
      </c>
      <c r="D6113" s="2" t="str">
        <f t="shared" si="94"/>
        <v>Error?</v>
      </c>
      <c r="E6113" s="2" t="s">
        <v>189</v>
      </c>
    </row>
    <row r="6114" spans="1:5" x14ac:dyDescent="0.2">
      <c r="A6114">
        <v>6053</v>
      </c>
      <c r="B6114" s="1832">
        <f>'Assets-Liab 5-6'!D11</f>
        <v>7455</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161619</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265355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11541</v>
      </c>
      <c r="D6142" s="2" t="str">
        <f t="shared" si="94"/>
        <v>Error?</v>
      </c>
      <c r="E6142" s="2" t="s">
        <v>189</v>
      </c>
    </row>
    <row r="6143" spans="1:5" x14ac:dyDescent="0.2">
      <c r="A6143">
        <v>6082</v>
      </c>
      <c r="B6143" s="1832">
        <f>'Assets-Liab 5-6'!D27</f>
        <v>62112</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201974</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33300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420711</v>
      </c>
      <c r="D6169" s="2" t="str">
        <f t="shared" si="95"/>
        <v>Error?</v>
      </c>
      <c r="E6169" s="2" t="s">
        <v>189</v>
      </c>
    </row>
    <row r="6170" spans="1:5" x14ac:dyDescent="0.2">
      <c r="A6170">
        <v>6109</v>
      </c>
      <c r="B6170" s="1832">
        <f>'Assets-Liab 5-6'!D30</f>
        <v>82</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38635</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38635</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226720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265355</v>
      </c>
      <c r="D6216" s="2" t="str">
        <f t="shared" si="96"/>
        <v>Error?</v>
      </c>
      <c r="E6216" s="2" t="s">
        <v>189</v>
      </c>
    </row>
    <row r="6217" spans="1:5" x14ac:dyDescent="0.2">
      <c r="A6217">
        <v>6156</v>
      </c>
      <c r="B6217" s="1832">
        <f>'Assets-Liab 5-6'!J4</f>
        <v>65101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38635</v>
      </c>
      <c r="D6219" s="2" t="str">
        <f t="shared" si="96"/>
        <v>Error?</v>
      </c>
      <c r="E6219" s="2" t="s">
        <v>189</v>
      </c>
    </row>
    <row r="6220" spans="1:5" x14ac:dyDescent="0.2">
      <c r="A6220">
        <v>6159</v>
      </c>
      <c r="B6220" s="1832">
        <f>'Acct Summary 7-8'!J4</f>
        <v>43615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43615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43615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145868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145868</v>
      </c>
      <c r="D6229" s="2" t="str">
        <f t="shared" si="96"/>
        <v>Error?</v>
      </c>
      <c r="E6229" s="2" t="s">
        <v>189</v>
      </c>
    </row>
    <row r="6230" spans="1:5" x14ac:dyDescent="0.2">
      <c r="A6230">
        <v>6169</v>
      </c>
      <c r="B6230" s="1832">
        <f>'Acct Summary 7-8'!J20</f>
        <v>-102253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75000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75000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75000</v>
      </c>
      <c r="D6262" s="2" t="str">
        <f t="shared" si="96"/>
        <v>Error?</v>
      </c>
      <c r="E6262" s="2" t="s">
        <v>189</v>
      </c>
    </row>
    <row r="6263" spans="1:5" x14ac:dyDescent="0.2">
      <c r="A6263">
        <v>6202</v>
      </c>
      <c r="B6263" s="1832">
        <f>'Acct Summary 7-8'!J78</f>
        <v>-27253</v>
      </c>
      <c r="D6263" s="2" t="str">
        <f t="shared" si="96"/>
        <v>Error?</v>
      </c>
      <c r="E6263" s="2" t="s">
        <v>189</v>
      </c>
    </row>
    <row r="6264" spans="1:5" x14ac:dyDescent="0.2">
      <c r="A6264">
        <v>6203</v>
      </c>
      <c r="B6264" s="1832">
        <f>'Acct Summary 7-8'!J79</f>
        <v>253973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226720</v>
      </c>
      <c r="D6266" s="2" t="str">
        <f t="shared" si="96"/>
        <v>Error?</v>
      </c>
      <c r="E6266" s="2" t="s">
        <v>189</v>
      </c>
    </row>
    <row r="6267" spans="1:5" x14ac:dyDescent="0.2">
      <c r="A6267">
        <v>6206</v>
      </c>
      <c r="B6267" s="1832">
        <f>'Acct Summary 7-8'!C82</f>
        <v>786012</v>
      </c>
      <c r="D6267" s="2" t="str">
        <f t="shared" si="96"/>
        <v>Error?</v>
      </c>
      <c r="E6267" s="2" t="s">
        <v>189</v>
      </c>
    </row>
    <row r="6268" spans="1:5" x14ac:dyDescent="0.2">
      <c r="A6268">
        <v>6207</v>
      </c>
      <c r="B6268" s="1832">
        <f>'Acct Summary 7-8'!D82</f>
        <v>415136</v>
      </c>
      <c r="D6268" s="2" t="str">
        <f t="shared" si="96"/>
        <v>Error?</v>
      </c>
      <c r="E6268" s="2" t="s">
        <v>189</v>
      </c>
    </row>
    <row r="6269" spans="1:5" x14ac:dyDescent="0.2">
      <c r="A6269">
        <v>6208</v>
      </c>
      <c r="B6269" s="1832">
        <f>'Acct Summary 7-8'!E82</f>
        <v>208090</v>
      </c>
      <c r="D6269" s="2" t="str">
        <f t="shared" si="96"/>
        <v>Error?</v>
      </c>
      <c r="E6269" s="2" t="s">
        <v>189</v>
      </c>
    </row>
    <row r="6270" spans="1:5" x14ac:dyDescent="0.2">
      <c r="A6270">
        <v>6209</v>
      </c>
      <c r="B6270" s="1832">
        <f>'Acct Summary 7-8'!F82</f>
        <v>-98142</v>
      </c>
      <c r="D6270" s="2" t="str">
        <f t="shared" si="96"/>
        <v>Error?</v>
      </c>
      <c r="E6270" s="2" t="s">
        <v>189</v>
      </c>
    </row>
    <row r="6271" spans="1:5" x14ac:dyDescent="0.2">
      <c r="A6271">
        <v>6210</v>
      </c>
      <c r="B6271" s="1832">
        <f>'Acct Summary 7-8'!G82</f>
        <v>-45607</v>
      </c>
      <c r="D6271" s="2" t="str">
        <f t="shared" ref="D6271:D6334" si="97">IF(ISBLANK(B6271),"OK",IF(A6271-B6271=0,"OK","Error?"))</f>
        <v>Error?</v>
      </c>
      <c r="E6271" s="2" t="s">
        <v>189</v>
      </c>
    </row>
    <row r="6272" spans="1:5" x14ac:dyDescent="0.2">
      <c r="A6272">
        <v>6211</v>
      </c>
      <c r="B6272" s="1832">
        <f>'Acct Summary 7-8'!H82</f>
        <v>-485503</v>
      </c>
      <c r="D6272" s="2" t="str">
        <f t="shared" si="97"/>
        <v>Error?</v>
      </c>
      <c r="E6272" s="2" t="s">
        <v>189</v>
      </c>
    </row>
    <row r="6273" spans="1:5" x14ac:dyDescent="0.2">
      <c r="A6273">
        <v>6212</v>
      </c>
      <c r="B6273" s="1832">
        <f>'Acct Summary 7-8'!I82</f>
        <v>15637</v>
      </c>
      <c r="D6273" s="2" t="str">
        <f t="shared" si="97"/>
        <v>Error?</v>
      </c>
      <c r="E6273" s="2" t="s">
        <v>189</v>
      </c>
    </row>
    <row r="6274" spans="1:5" x14ac:dyDescent="0.2">
      <c r="A6274">
        <v>6213</v>
      </c>
      <c r="B6274" s="1832">
        <f>'Acct Summary 7-8'!J82</f>
        <v>-27253</v>
      </c>
      <c r="D6274" s="2" t="str">
        <f t="shared" si="97"/>
        <v>Error?</v>
      </c>
      <c r="E6274" s="2" t="s">
        <v>189</v>
      </c>
    </row>
    <row r="6275" spans="1:5" x14ac:dyDescent="0.2">
      <c r="A6275">
        <v>6214</v>
      </c>
      <c r="B6275" s="1832">
        <f>'Acct Summary 7-8'!K82</f>
        <v>537930</v>
      </c>
      <c r="D6275" s="2" t="str">
        <f t="shared" si="97"/>
        <v>Error?</v>
      </c>
      <c r="E6275" s="2" t="s">
        <v>189</v>
      </c>
    </row>
    <row r="6276" spans="1:5" x14ac:dyDescent="0.2">
      <c r="A6276">
        <v>6215</v>
      </c>
      <c r="B6276" s="1832">
        <f>'Acct Summary 7-8'!C83</f>
        <v>8.2629469255683846E-2</v>
      </c>
      <c r="D6276" s="2" t="str">
        <f t="shared" si="97"/>
        <v>Error?</v>
      </c>
      <c r="E6276" s="2" t="s">
        <v>189</v>
      </c>
    </row>
    <row r="6277" spans="1:5" x14ac:dyDescent="0.2">
      <c r="A6277">
        <v>6216</v>
      </c>
      <c r="B6277" s="1832">
        <f>'Acct Summary 7-8'!D83</f>
        <v>0.15124541676139178</v>
      </c>
      <c r="D6277" s="2" t="str">
        <f t="shared" si="97"/>
        <v>Error?</v>
      </c>
      <c r="E6277" s="2" t="s">
        <v>189</v>
      </c>
    </row>
    <row r="6278" spans="1:5" x14ac:dyDescent="0.2">
      <c r="A6278">
        <v>6217</v>
      </c>
      <c r="B6278" s="1832">
        <f>'Acct Summary 7-8'!E83</f>
        <v>0.25063595455815613</v>
      </c>
      <c r="D6278" s="2" t="str">
        <f t="shared" si="97"/>
        <v>Error?</v>
      </c>
      <c r="E6278" s="2" t="s">
        <v>189</v>
      </c>
    </row>
    <row r="6279" spans="1:5" x14ac:dyDescent="0.2">
      <c r="A6279">
        <v>6218</v>
      </c>
      <c r="B6279" s="1832">
        <f>'Acct Summary 7-8'!F83</f>
        <v>-9.6072220090373001E-2</v>
      </c>
      <c r="D6279" s="2" t="str">
        <f t="shared" si="97"/>
        <v>Error?</v>
      </c>
      <c r="E6279" s="2" t="s">
        <v>189</v>
      </c>
    </row>
    <row r="6280" spans="1:5" x14ac:dyDescent="0.2">
      <c r="A6280">
        <v>6219</v>
      </c>
      <c r="B6280" s="1832">
        <f>'Acct Summary 7-8'!G83</f>
        <v>-0.20938411036889104</v>
      </c>
      <c r="D6280" s="2" t="str">
        <f t="shared" si="97"/>
        <v>Error?</v>
      </c>
      <c r="E6280" s="2" t="s">
        <v>189</v>
      </c>
    </row>
    <row r="6281" spans="1:5" x14ac:dyDescent="0.2">
      <c r="A6281">
        <v>6220</v>
      </c>
      <c r="B6281" s="1832">
        <f>'Acct Summary 7-8'!H83</f>
        <v>-0.34444758185811825</v>
      </c>
      <c r="D6281" s="2" t="str">
        <f t="shared" si="97"/>
        <v>Error?</v>
      </c>
      <c r="E6281" s="2" t="s">
        <v>189</v>
      </c>
    </row>
    <row r="6282" spans="1:5" x14ac:dyDescent="0.2">
      <c r="A6282">
        <v>6221</v>
      </c>
      <c r="B6282" s="1832">
        <f>'Acct Summary 7-8'!I83</f>
        <v>3.2262856553360503E-2</v>
      </c>
      <c r="D6282" s="2" t="str">
        <f t="shared" si="97"/>
        <v>Error?</v>
      </c>
      <c r="E6282" s="2" t="s">
        <v>189</v>
      </c>
    </row>
    <row r="6283" spans="1:5" x14ac:dyDescent="0.2">
      <c r="A6283">
        <v>6222</v>
      </c>
      <c r="B6283" s="1832">
        <f>'Acct Summary 7-8'!J83</f>
        <v>-0.12020553987297107</v>
      </c>
      <c r="D6283" s="2" t="str">
        <f t="shared" si="97"/>
        <v>Error?</v>
      </c>
      <c r="E6283" s="2" t="s">
        <v>189</v>
      </c>
    </row>
    <row r="6284" spans="1:5" x14ac:dyDescent="0.2">
      <c r="A6284">
        <v>6223</v>
      </c>
      <c r="B6284" s="1832">
        <f>'Acct Summary 7-8'!K83</f>
        <v>0.12488789388626712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40255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40255</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3360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3360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43615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226679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113664</v>
      </c>
      <c r="D6844" s="2" t="str">
        <f t="shared" si="105"/>
        <v>Error?</v>
      </c>
    </row>
    <row r="6845" spans="1:5" x14ac:dyDescent="0.2">
      <c r="A6845">
        <v>6784</v>
      </c>
      <c r="B6845" s="1832">
        <f>'Expenditures 15-22'!J5</f>
        <v>452599</v>
      </c>
      <c r="D6845" s="2" t="str">
        <f t="shared" si="105"/>
        <v>Error?</v>
      </c>
    </row>
    <row r="6846" spans="1:5" x14ac:dyDescent="0.2">
      <c r="A6846">
        <v>6785</v>
      </c>
      <c r="B6846" s="1832">
        <f>'Expenditures 15-22'!I7</f>
        <v>647</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306808</v>
      </c>
      <c r="D6848" s="2" t="str">
        <f t="shared" si="106"/>
        <v>Error?</v>
      </c>
    </row>
    <row r="6849" spans="1:4" x14ac:dyDescent="0.2">
      <c r="A6849">
        <v>6788</v>
      </c>
      <c r="B6849" s="1832">
        <f>'Expenditures 15-22'!I8</f>
        <v>7360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5676</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127347</v>
      </c>
      <c r="D6902" s="2" t="str">
        <f t="shared" si="106"/>
        <v>Error?</v>
      </c>
    </row>
    <row r="6903" spans="1:4" x14ac:dyDescent="0.2">
      <c r="A6903">
        <v>6842</v>
      </c>
      <c r="B6903" s="1832">
        <f>'Expenditures 15-22'!J33</f>
        <v>452599</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2950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2950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2950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130297</v>
      </c>
      <c r="D7020" s="2" t="str">
        <f t="shared" si="108"/>
        <v>Error?</v>
      </c>
    </row>
    <row r="7021" spans="1:4" x14ac:dyDescent="0.2">
      <c r="A7021">
        <v>6960</v>
      </c>
      <c r="B7021" s="1832">
        <f>'Expenditures 15-22'!J114</f>
        <v>452599</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87009</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87009</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87009</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145868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87009</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43615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10207</v>
      </c>
      <c r="D7073" s="2" t="str">
        <f t="shared" si="109"/>
        <v>Error?</v>
      </c>
    </row>
    <row r="7074" spans="1:4" x14ac:dyDescent="0.2">
      <c r="A7074">
        <v>7013</v>
      </c>
      <c r="B7074" s="1832">
        <f>'Expenditures 15-22'!K216</f>
        <v>10207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3128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3128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1347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1347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74809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74809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145868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145868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145868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145868</v>
      </c>
      <c r="D7224" s="2" t="str">
        <f t="shared" si="111"/>
        <v>Error?</v>
      </c>
    </row>
    <row r="7225" spans="1:4" x14ac:dyDescent="0.2">
      <c r="A7225">
        <v>7164</v>
      </c>
      <c r="B7225" s="1832">
        <f>'Expenditures 15-22'!K343</f>
        <v>-102253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33300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33300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33300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33300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78377</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1105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250606</v>
      </c>
      <c r="D7624" s="2" t="str">
        <f t="shared" si="124"/>
        <v>Error?</v>
      </c>
      <c r="E7624" s="2" t="s">
        <v>19</v>
      </c>
    </row>
    <row r="7625" spans="1:5" x14ac:dyDescent="0.2">
      <c r="A7625">
        <f t="shared" si="123"/>
        <v>7564</v>
      </c>
      <c r="B7625" s="1832">
        <f>'Cap Outlay Deprec 26'!I17</f>
        <v>25060.6</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2607070.6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66584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66584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301244</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342877</v>
      </c>
      <c r="D7759" s="2" t="str">
        <f t="shared" si="127"/>
        <v>Error?</v>
      </c>
      <c r="E7759" s="4" t="s">
        <v>1322</v>
      </c>
    </row>
    <row r="7760" spans="1:6" x14ac:dyDescent="0.2">
      <c r="A7760">
        <v>7699</v>
      </c>
      <c r="B7760" s="1832">
        <f>'Aud Quest 2'!J90</f>
        <v>342877</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18650000</v>
      </c>
      <c r="D7817" s="2" t="str">
        <f t="shared" si="128"/>
        <v>Error?</v>
      </c>
      <c r="E7817" s="4" t="s">
        <v>1966</v>
      </c>
    </row>
    <row r="7818" spans="1:5" x14ac:dyDescent="0.2">
      <c r="A7818">
        <v>7757</v>
      </c>
      <c r="B7818" s="1832">
        <f>'PCTC-OEPP 27-28'!F172</f>
        <v>417585.64</v>
      </c>
      <c r="D7818" s="2" t="str">
        <f t="shared" si="128"/>
        <v>Error?</v>
      </c>
      <c r="E7818" s="4" t="s">
        <v>1980</v>
      </c>
    </row>
    <row r="7819" spans="1:5" x14ac:dyDescent="0.2">
      <c r="A7819">
        <v>7758</v>
      </c>
      <c r="B7819" s="1832">
        <f>'PCTC-OEPP 27-28'!F173</f>
        <v>42144.32</v>
      </c>
      <c r="D7819" s="2" t="str">
        <f t="shared" si="128"/>
        <v>Error?</v>
      </c>
      <c r="E7819" s="4" t="s">
        <v>1980</v>
      </c>
    </row>
    <row r="7820" spans="1:5" x14ac:dyDescent="0.2">
      <c r="A7820">
        <v>7759</v>
      </c>
      <c r="B7820" s="1832">
        <f>'ICR Computation 30'!E40</f>
        <v>-1667727</v>
      </c>
      <c r="D7820" s="2" t="str">
        <f t="shared" si="128"/>
        <v>Error?</v>
      </c>
    </row>
    <row r="7821" spans="1:5" x14ac:dyDescent="0.2">
      <c r="A7821">
        <v>7760</v>
      </c>
      <c r="B7821" s="1832">
        <f>'ICR Computation 30'!G40</f>
        <v>-1667727</v>
      </c>
      <c r="D7821" s="2" t="str">
        <f t="shared" si="128"/>
        <v>Error?</v>
      </c>
    </row>
    <row r="7822" spans="1:5" x14ac:dyDescent="0.2">
      <c r="A7822" s="1">
        <v>7761</v>
      </c>
      <c r="B7822" s="1832">
        <f>'PCTC-OEPP 27-28'!F14</f>
        <v>24395258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306161</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31719</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3525746</v>
      </c>
      <c r="D7834" s="2" t="str">
        <f t="shared" si="129"/>
        <v>Error?</v>
      </c>
      <c r="E7834" s="4" t="s">
        <v>1998</v>
      </c>
    </row>
    <row r="7835" spans="1:5" x14ac:dyDescent="0.2">
      <c r="A7835">
        <v>7774</v>
      </c>
      <c r="B7835" s="1832">
        <f>'PCTC-OEPP 27-28'!F78</f>
        <v>20869512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18081.3654479293</v>
      </c>
      <c r="D7837" s="2" t="str">
        <f t="shared" si="129"/>
        <v>Error?</v>
      </c>
      <c r="E7837" s="4" t="s">
        <v>1998</v>
      </c>
    </row>
    <row r="7838" spans="1:5" x14ac:dyDescent="0.2">
      <c r="A7838">
        <v>7777</v>
      </c>
      <c r="B7838" s="1832">
        <f>'PCTC-OEPP 27-28'!F96</f>
        <v>101966</v>
      </c>
      <c r="D7838" s="2" t="str">
        <f t="shared" si="129"/>
        <v>Error?</v>
      </c>
      <c r="E7838" s="4" t="s">
        <v>1998</v>
      </c>
    </row>
    <row r="7839" spans="1:5" x14ac:dyDescent="0.2">
      <c r="A7839">
        <v>7778</v>
      </c>
      <c r="B7839" s="1832">
        <f>'PCTC-OEPP 27-28'!F102</f>
        <v>123353</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342877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13470</v>
      </c>
      <c r="D7858" s="2" t="str">
        <f t="shared" si="129"/>
        <v>Error?</v>
      </c>
      <c r="E7858" s="4" t="s">
        <v>1998</v>
      </c>
    </row>
    <row r="7859" spans="1:5" x14ac:dyDescent="0.2">
      <c r="A7859">
        <v>7798</v>
      </c>
      <c r="B7859" s="1832">
        <f>'PCTC-OEPP 27-28'!F127</f>
        <v>274518</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5000</v>
      </c>
      <c r="D7861" s="2" t="str">
        <f t="shared" si="129"/>
        <v>Error?</v>
      </c>
      <c r="E7861" s="4" t="s">
        <v>1998</v>
      </c>
    </row>
    <row r="7862" spans="1:5" x14ac:dyDescent="0.2">
      <c r="A7862">
        <v>7801</v>
      </c>
      <c r="B7862" s="1832">
        <f>'PCTC-OEPP 27-28'!F130</f>
        <v>4336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19846</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43084</v>
      </c>
      <c r="D7874" s="2" t="str">
        <f t="shared" si="129"/>
        <v>Error?</v>
      </c>
      <c r="E7874" s="4" t="s">
        <v>1998</v>
      </c>
    </row>
    <row r="7875" spans="1:5" x14ac:dyDescent="0.2">
      <c r="A7875">
        <v>7814</v>
      </c>
      <c r="B7875" s="1832">
        <f>'PCTC-OEPP 27-28'!F170</f>
        <v>16683</v>
      </c>
      <c r="D7875" s="2" t="str">
        <f t="shared" si="129"/>
        <v>Error?</v>
      </c>
      <c r="E7875" s="4" t="s">
        <v>1998</v>
      </c>
    </row>
    <row r="7876" spans="1:5" x14ac:dyDescent="0.2">
      <c r="A7876">
        <v>7815</v>
      </c>
      <c r="B7876" s="1832">
        <f>'PCTC-OEPP 27-28'!F171</f>
        <v>7759</v>
      </c>
      <c r="D7876" s="2" t="str">
        <f t="shared" si="129"/>
        <v>Error?</v>
      </c>
      <c r="E7876" s="4" t="s">
        <v>1998</v>
      </c>
    </row>
    <row r="7877" spans="1:5" x14ac:dyDescent="0.2">
      <c r="A7877">
        <v>7816</v>
      </c>
      <c r="B7877" s="1832">
        <f>'PCTC-OEPP 27-28'!F175</f>
        <v>1656498.9600000002</v>
      </c>
      <c r="D7877" s="2" t="str">
        <f t="shared" si="129"/>
        <v>Error?</v>
      </c>
      <c r="E7877" s="4" t="s">
        <v>1998</v>
      </c>
    </row>
    <row r="7878" spans="1:5" x14ac:dyDescent="0.2">
      <c r="A7878">
        <v>7817</v>
      </c>
      <c r="B7878" s="1832">
        <f>'PCTC-OEPP 27-28'!F176</f>
        <v>19213013.039999999</v>
      </c>
      <c r="D7878" s="2" t="str">
        <f t="shared" si="129"/>
        <v>Error?</v>
      </c>
      <c r="E7878" s="4" t="s">
        <v>1998</v>
      </c>
    </row>
    <row r="7879" spans="1:5" x14ac:dyDescent="0.2">
      <c r="A7879">
        <v>7818</v>
      </c>
      <c r="B7879" s="1832">
        <f>'PCTC-OEPP 27-28'!F178</f>
        <v>21820083.640000001</v>
      </c>
      <c r="D7879" s="2" t="str">
        <f t="shared" si="129"/>
        <v>Error?</v>
      </c>
      <c r="E7879" s="4" t="s">
        <v>1998</v>
      </c>
    </row>
    <row r="7880" spans="1:5" x14ac:dyDescent="0.2">
      <c r="A7880">
        <v>7819</v>
      </c>
      <c r="B7880" s="1832">
        <f>'PCTC-OEPP 27-28'!F180</f>
        <v>18904.941639230638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Lincolnwood SD 74</v>
      </c>
      <c r="B7" s="2516"/>
      <c r="C7" s="2516"/>
      <c r="D7" s="2554"/>
      <c r="E7" s="2555">
        <f>COVER!A13</f>
        <v>5016074002</v>
      </c>
      <c r="F7" s="2556"/>
      <c r="G7" s="2522">
        <f>COVER!T23</f>
        <v>65033233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Lauterbach &amp; Amen, LLP</v>
      </c>
      <c r="H9" s="2529"/>
      <c r="I9" s="2529"/>
      <c r="J9" s="2529"/>
      <c r="K9" s="2529"/>
      <c r="L9" s="2530"/>
    </row>
    <row r="10" spans="1:29" ht="13.5" customHeight="1" x14ac:dyDescent="0.2">
      <c r="A10" s="2512" t="str">
        <f>COVER!A38</f>
        <v>Dr. Kimberly Nasshan</v>
      </c>
      <c r="B10" s="2513"/>
      <c r="C10" s="2513"/>
      <c r="D10" s="2513"/>
      <c r="E10" s="2513"/>
      <c r="F10" s="2514"/>
      <c r="G10" s="2528" t="str">
        <f>COVER!T17</f>
        <v>668 N. River Road</v>
      </c>
      <c r="H10" s="2541"/>
      <c r="I10" s="2541"/>
      <c r="J10" s="2541"/>
      <c r="K10" s="2541"/>
      <c r="L10" s="2542"/>
    </row>
    <row r="11" spans="1:29" ht="13.5" customHeight="1" x14ac:dyDescent="0.2">
      <c r="A11" s="963" t="s">
        <v>1502</v>
      </c>
      <c r="B11" s="964"/>
      <c r="C11" s="965"/>
      <c r="D11" s="970"/>
      <c r="E11" s="965"/>
      <c r="F11" s="969"/>
      <c r="G11" s="2528" t="str">
        <f>COVER!T19</f>
        <v>Naperville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mberan@lauterbachamen.com</v>
      </c>
      <c r="J13" s="2550"/>
      <c r="K13" s="2550"/>
      <c r="L13" s="2551"/>
    </row>
    <row r="14" spans="1:29" ht="13.5" customHeight="1" x14ac:dyDescent="0.2">
      <c r="A14" s="2528" t="str">
        <f>COVER!A19</f>
        <v>6950 East Prairie Road</v>
      </c>
      <c r="B14" s="2541"/>
      <c r="C14" s="2541"/>
      <c r="D14" s="2541"/>
      <c r="E14" s="2541"/>
      <c r="F14" s="2542"/>
      <c r="G14" s="974" t="s">
        <v>1175</v>
      </c>
      <c r="H14" s="972"/>
      <c r="I14" s="972"/>
      <c r="J14" s="972"/>
      <c r="K14" s="972"/>
      <c r="L14" s="973"/>
    </row>
    <row r="15" spans="1:29" ht="13.5" customHeight="1" x14ac:dyDescent="0.2">
      <c r="A15" s="2528" t="str">
        <f>COVER!A21</f>
        <v>Lincolnwood</v>
      </c>
      <c r="B15" s="2541"/>
      <c r="C15" s="2541"/>
      <c r="D15" s="2541"/>
      <c r="E15" s="2541"/>
      <c r="F15" s="2542"/>
      <c r="G15" s="2538" t="str">
        <f>COVER!T15</f>
        <v>Matt Beran</v>
      </c>
      <c r="H15" s="2539"/>
      <c r="I15" s="2539"/>
      <c r="J15" s="2539"/>
      <c r="K15" s="2539"/>
      <c r="L15" s="2540"/>
    </row>
    <row r="16" spans="1:29" ht="12.2" customHeight="1" x14ac:dyDescent="0.2">
      <c r="A16" s="2518">
        <f>COVER!A25</f>
        <v>60712</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f>COVER!T21</f>
        <v>6303931483</v>
      </c>
      <c r="H18" s="2516"/>
      <c r="I18" s="2516"/>
      <c r="J18" s="2516"/>
      <c r="K18" s="2515">
        <f>COVER!X21</f>
        <v>6303932516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Lincolnwood SD 74</v>
      </c>
      <c r="B1" s="2558"/>
      <c r="C1" s="2558"/>
      <c r="D1" s="2558"/>
    </row>
    <row r="2" spans="1:11" s="991" customFormat="1" ht="12.75" x14ac:dyDescent="0.2">
      <c r="A2" s="2559">
        <f>'Single Audit Cover'!E7</f>
        <v>5016074002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Lincolnwood SD 74</v>
      </c>
      <c r="B1" s="2562"/>
      <c r="C1" s="2562"/>
      <c r="D1" s="2562"/>
      <c r="E1" s="2562"/>
    </row>
    <row r="2" spans="1:5" x14ac:dyDescent="0.2">
      <c r="A2" s="2563">
        <f>'Single Audit Cover'!E7</f>
        <v>5016074002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384696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-16683</v>
      </c>
    </row>
    <row r="19" spans="1:4" ht="13.5" thickBot="1" x14ac:dyDescent="0.25">
      <c r="A19" s="1041" t="s">
        <v>1224</v>
      </c>
      <c r="D19" s="1042">
        <f>SUM(D10:D17)</f>
        <v>368013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368013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368013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Lincolnwood SD 74</v>
      </c>
      <c r="C1" s="2566"/>
      <c r="D1" s="2566"/>
      <c r="E1" s="2566"/>
      <c r="F1" s="2566"/>
      <c r="G1" s="2566"/>
      <c r="H1" s="2566"/>
      <c r="I1" s="2566"/>
      <c r="J1" s="2566"/>
      <c r="K1" s="2566"/>
      <c r="L1" s="2566"/>
      <c r="M1" s="2566"/>
    </row>
    <row r="2" spans="2:14" ht="15" x14ac:dyDescent="0.2">
      <c r="B2" s="2567">
        <f>'Single Audit Cover'!E7</f>
        <v>5016074002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Lincolnwood SD 74</v>
      </c>
      <c r="B1" s="2571"/>
      <c r="C1" s="2571"/>
      <c r="D1" s="2571"/>
      <c r="E1" s="2571"/>
      <c r="F1" s="2571"/>
    </row>
    <row r="2" spans="1:7" ht="13.5" customHeight="1" x14ac:dyDescent="0.2">
      <c r="A2" s="2567">
        <f>'Single Audit Cover'!E7</f>
        <v>5016074002</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7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v>94556</v>
      </c>
      <c r="H88" s="1544">
        <v>248321</v>
      </c>
      <c r="I88" s="1904"/>
      <c r="J88" s="1727">
        <f>SUM(E88:I88)</f>
        <v>342877</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342877</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Lincolnwood SD 74</v>
      </c>
      <c r="C1" s="2587"/>
      <c r="D1" s="2587"/>
      <c r="E1" s="2587"/>
      <c r="F1" s="2587"/>
      <c r="G1" s="2587"/>
      <c r="H1" s="2587"/>
      <c r="I1" s="2587"/>
      <c r="J1" s="1178"/>
    </row>
    <row r="2" spans="2:10" s="295" customFormat="1" ht="12.75" customHeight="1" x14ac:dyDescent="0.2">
      <c r="B2" s="2588">
        <f>'Single Audit Cover'!E7</f>
        <v>5016074002</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Lincolnwood SD 74</v>
      </c>
      <c r="C1" s="2586"/>
      <c r="D1" s="2586"/>
      <c r="E1" s="2586"/>
      <c r="F1" s="2586"/>
      <c r="G1" s="2586"/>
      <c r="H1" s="2586"/>
      <c r="I1" s="2586"/>
      <c r="J1" s="2586"/>
      <c r="K1" s="2586"/>
      <c r="L1" s="1144"/>
      <c r="M1" s="1144"/>
    </row>
    <row r="2" spans="1:13" ht="12" customHeight="1" x14ac:dyDescent="0.2">
      <c r="B2" s="2588">
        <f>'Single Audit Cover'!E7</f>
        <v>5016074002</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Lincolnwood SD 74</v>
      </c>
      <c r="C1" s="2613"/>
      <c r="D1" s="2613"/>
      <c r="E1" s="2613"/>
      <c r="F1" s="2613"/>
      <c r="G1" s="2613"/>
      <c r="H1" s="2613"/>
      <c r="I1" s="2613"/>
      <c r="J1" s="2613"/>
      <c r="K1" s="2613"/>
      <c r="L1" s="1221"/>
    </row>
    <row r="2" spans="1:12" ht="12.75" customHeight="1" x14ac:dyDescent="0.2">
      <c r="B2" s="2614">
        <f>'Single Audit Cover'!E7</f>
        <v>5016074002</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Lincolnwood SD 74</v>
      </c>
      <c r="C1" s="2586"/>
      <c r="D1" s="2586"/>
      <c r="E1" s="1240"/>
    </row>
    <row r="2" spans="2:5" s="1058" customFormat="1" ht="12.75" customHeight="1" x14ac:dyDescent="0.2">
      <c r="B2" s="2588">
        <f>'Single Audit Cover'!E7</f>
        <v>5016074002</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690242851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2.5662999999999998E-2</v>
      </c>
      <c r="E10" s="333" t="s">
        <v>998</v>
      </c>
      <c r="F10" s="332">
        <v>3.0469999999999998E-3</v>
      </c>
      <c r="G10" s="333" t="s">
        <v>998</v>
      </c>
      <c r="H10" s="332">
        <v>6.5600000000000001E-4</v>
      </c>
      <c r="I10" s="333" t="s">
        <v>999</v>
      </c>
      <c r="J10" s="1424">
        <f>ROUND(D10+F10+H10,5)</f>
        <v>2.937E-2</v>
      </c>
      <c r="K10" s="217"/>
      <c r="L10" s="332">
        <v>9.9999999999999995E-7</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23592173</v>
      </c>
      <c r="E16" s="1547"/>
      <c r="F16" s="1546">
        <f>SUM('Acct Summary 7-8'!C17,'Acct Summary 7-8'!D17,'Acct Summary 7-8'!F17)</f>
        <v>22398530</v>
      </c>
      <c r="G16" s="1547"/>
      <c r="H16" s="1546">
        <f>SUM(D16-F16)</f>
        <v>1193643</v>
      </c>
      <c r="I16" s="1548"/>
      <c r="J16" s="1546">
        <f>SUM('Acct Summary 7-8'!C81,'Acct Summary 7-8'!D81,'Acct Summary 7-8'!F81,'Acct Summary 7-8'!I81)</f>
        <v>13763493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47626756.719000004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14925000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O35" sqref="O3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Lincolnwood SD 74</v>
      </c>
      <c r="E7" s="368"/>
      <c r="G7" s="247"/>
      <c r="H7" s="364"/>
      <c r="I7" s="364"/>
      <c r="J7" s="364"/>
      <c r="K7" s="364"/>
      <c r="L7" s="307"/>
      <c r="M7" s="307"/>
      <c r="N7" s="307"/>
      <c r="O7" s="307"/>
      <c r="P7" s="307"/>
    </row>
    <row r="8" spans="1:18" ht="12.75" x14ac:dyDescent="0.2">
      <c r="A8" s="307"/>
      <c r="B8" s="307"/>
      <c r="C8" s="366" t="s">
        <v>1115</v>
      </c>
      <c r="D8" s="369">
        <f>COVER!A13</f>
        <v>5016074002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13763493</v>
      </c>
      <c r="I12" s="380"/>
      <c r="J12" s="380"/>
      <c r="K12" s="1559">
        <f>TRUNC((H12/H13*100000),5)/100000</f>
        <v>0.58339233940000002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23592173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22398530</v>
      </c>
      <c r="I17" s="380"/>
      <c r="J17" s="389"/>
      <c r="K17" s="1559">
        <f>TRUNC((H17/H18*100000),5)/100000</f>
        <v>0.9494051268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23592173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13790534</v>
      </c>
      <c r="I24" s="394"/>
      <c r="J24" s="394"/>
      <c r="K24" s="1555">
        <f>TRUNC(((H24/H25*100000)/100000),2)</f>
        <v>221.64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62218.138890000002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17231567.653790001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14925000</v>
      </c>
      <c r="I32" s="392"/>
      <c r="J32" s="392"/>
      <c r="K32" s="1555">
        <f>TRUNC(100-((((H32/H33*100))*100)/100),2)</f>
        <v>68.66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47626756.719000004</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K124" sqref="K124"/>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9576822</v>
      </c>
      <c r="D4" s="1573">
        <v>2793002</v>
      </c>
      <c r="E4" s="1573">
        <v>830248</v>
      </c>
      <c r="F4" s="1573">
        <v>936035</v>
      </c>
      <c r="G4" s="1573">
        <v>217815</v>
      </c>
      <c r="H4" s="1573">
        <v>1611486</v>
      </c>
      <c r="I4" s="1573">
        <v>484675</v>
      </c>
      <c r="J4" s="1574">
        <v>65101</v>
      </c>
      <c r="K4" s="1573">
        <v>4340603</v>
      </c>
      <c r="L4" s="1573">
        <v>20515</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8775190</v>
      </c>
      <c r="D6" s="1573">
        <v>1023659</v>
      </c>
      <c r="E6" s="1573">
        <v>238826</v>
      </c>
      <c r="F6" s="1573">
        <v>220387</v>
      </c>
      <c r="G6" s="1577">
        <v>237184</v>
      </c>
      <c r="H6" s="1577"/>
      <c r="I6" s="1573">
        <v>336</v>
      </c>
      <c r="J6" s="1579">
        <v>38635</v>
      </c>
      <c r="K6" s="1577">
        <v>229122</v>
      </c>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125349</v>
      </c>
      <c r="D8" s="1574">
        <v>6521</v>
      </c>
      <c r="E8" s="1574"/>
      <c r="F8" s="1574">
        <v>85509</v>
      </c>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242571</v>
      </c>
      <c r="D11" s="1574">
        <v>7455</v>
      </c>
      <c r="E11" s="1574"/>
      <c r="F11" s="1574"/>
      <c r="G11" s="1574"/>
      <c r="H11" s="1574"/>
      <c r="I11" s="1583"/>
      <c r="J11" s="1583">
        <v>161619</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18719932</v>
      </c>
      <c r="D13" s="1587">
        <f t="shared" ref="D13:L13" si="0">SUM(D4:D12)</f>
        <v>3830637</v>
      </c>
      <c r="E13" s="1587">
        <f t="shared" si="0"/>
        <v>1069074</v>
      </c>
      <c r="F13" s="1587">
        <f t="shared" si="0"/>
        <v>1241931</v>
      </c>
      <c r="G13" s="1587">
        <f t="shared" si="0"/>
        <v>454999</v>
      </c>
      <c r="H13" s="1587">
        <f t="shared" si="0"/>
        <v>1611486</v>
      </c>
      <c r="I13" s="1587">
        <f t="shared" si="0"/>
        <v>485011</v>
      </c>
      <c r="J13" s="1587">
        <f t="shared" si="0"/>
        <v>265355</v>
      </c>
      <c r="K13" s="1587">
        <f t="shared" si="0"/>
        <v>4569725</v>
      </c>
      <c r="L13" s="1587">
        <f t="shared" si="0"/>
        <v>20515</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f>'Cap Outlay Deprec 26'!L5</f>
        <v>2337500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f>'Cap Outlay Deprec 26'!L8</f>
        <v>35477176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f>'Cap Outlay Deprec 26'!L10</f>
        <v>587627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'Cap Outlay Deprec 26'!L12</f>
        <v>1805063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f>'Cap Outlay Deprec 26'!L15</f>
        <v>223570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14925000</v>
      </c>
    </row>
    <row r="23" spans="1:14" ht="13.5" customHeight="1" thickBot="1" x14ac:dyDescent="0.25">
      <c r="A23" s="1426" t="s">
        <v>638</v>
      </c>
      <c r="B23" s="1429"/>
      <c r="C23" s="1575"/>
      <c r="D23" s="1575"/>
      <c r="E23" s="1575"/>
      <c r="F23" s="1575"/>
      <c r="G23" s="1575"/>
      <c r="H23" s="1575"/>
      <c r="I23" s="1575"/>
      <c r="J23" s="1575"/>
      <c r="K23" s="1575"/>
      <c r="L23" s="1575"/>
      <c r="M23" s="1594">
        <f>SUM(M15:M22)</f>
        <v>40430936</v>
      </c>
      <c r="N23" s="1594">
        <f>SUM(N21:N22)</f>
        <v>14925000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11541</v>
      </c>
      <c r="D27" s="1574">
        <v>62112</v>
      </c>
      <c r="E27" s="1574"/>
      <c r="F27" s="1574"/>
      <c r="G27" s="1574"/>
      <c r="H27" s="1574">
        <v>201974</v>
      </c>
      <c r="I27" s="1574"/>
      <c r="J27" s="1574"/>
      <c r="K27" s="1574">
        <v>33300</v>
      </c>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420711</v>
      </c>
      <c r="D30" s="1579">
        <v>82</v>
      </c>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8775190</v>
      </c>
      <c r="D32" s="1599">
        <v>1023659</v>
      </c>
      <c r="E32" s="1579">
        <v>238826</v>
      </c>
      <c r="F32" s="1579">
        <v>220387</v>
      </c>
      <c r="G32" s="1579">
        <v>237184</v>
      </c>
      <c r="H32" s="1579"/>
      <c r="I32" s="1579">
        <v>336</v>
      </c>
      <c r="J32" s="1579">
        <v>38635</v>
      </c>
      <c r="K32" s="1584">
        <v>229122</v>
      </c>
      <c r="L32" s="1575"/>
      <c r="M32" s="1575"/>
      <c r="N32" s="1575"/>
    </row>
    <row r="33" spans="1:14" ht="13.5" customHeight="1" x14ac:dyDescent="0.2">
      <c r="A33" s="436" t="s">
        <v>300</v>
      </c>
      <c r="B33" s="435">
        <v>493</v>
      </c>
      <c r="C33" s="1574"/>
      <c r="D33" s="1574"/>
      <c r="E33" s="1574"/>
      <c r="F33" s="1574"/>
      <c r="G33" s="1574"/>
      <c r="H33" s="1574"/>
      <c r="I33" s="1574"/>
      <c r="J33" s="1574"/>
      <c r="K33" s="1574"/>
      <c r="L33" s="1574">
        <v>20515</v>
      </c>
      <c r="M33" s="1575"/>
      <c r="N33" s="1576"/>
    </row>
    <row r="34" spans="1:14" ht="13.5" customHeight="1" thickBot="1" x14ac:dyDescent="0.25">
      <c r="A34" s="1427" t="s">
        <v>649</v>
      </c>
      <c r="B34" s="1428"/>
      <c r="C34" s="1600">
        <f>SUM(C25:C33)</f>
        <v>9207442</v>
      </c>
      <c r="D34" s="1600">
        <f t="shared" ref="D34:K34" si="1">SUM(D25:D33)</f>
        <v>1085853</v>
      </c>
      <c r="E34" s="1600">
        <f t="shared" si="1"/>
        <v>238826</v>
      </c>
      <c r="F34" s="1600">
        <f t="shared" si="1"/>
        <v>220387</v>
      </c>
      <c r="G34" s="1600">
        <f t="shared" si="1"/>
        <v>237184</v>
      </c>
      <c r="H34" s="1600">
        <f t="shared" si="1"/>
        <v>201974</v>
      </c>
      <c r="I34" s="1600">
        <f t="shared" si="1"/>
        <v>336</v>
      </c>
      <c r="J34" s="1600">
        <f t="shared" si="1"/>
        <v>38635</v>
      </c>
      <c r="K34" s="1600">
        <f t="shared" si="1"/>
        <v>262422</v>
      </c>
      <c r="L34" s="1601">
        <f>SUM(L33)</f>
        <v>20515</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14925000</v>
      </c>
    </row>
    <row r="37" spans="1:14" ht="13.5" thickBot="1" x14ac:dyDescent="0.25">
      <c r="A37" s="1426" t="s">
        <v>648</v>
      </c>
      <c r="B37" s="1429"/>
      <c r="C37" s="1582"/>
      <c r="D37" s="1582"/>
      <c r="E37" s="1582"/>
      <c r="F37" s="1582"/>
      <c r="G37" s="1582"/>
      <c r="H37" s="1582"/>
      <c r="I37" s="1582"/>
      <c r="J37" s="1582"/>
      <c r="K37" s="1582"/>
      <c r="L37" s="1585"/>
      <c r="M37" s="1575"/>
      <c r="N37" s="1594">
        <f>SUM(N36:N36)</f>
        <v>14925000</v>
      </c>
    </row>
    <row r="38" spans="1:14" s="307" customFormat="1" ht="13.5" customHeight="1" thickTop="1" x14ac:dyDescent="0.2">
      <c r="A38" s="438" t="s">
        <v>417</v>
      </c>
      <c r="B38" s="432">
        <v>714</v>
      </c>
      <c r="C38" s="1573">
        <v>242571</v>
      </c>
      <c r="D38" s="1573">
        <v>2744784</v>
      </c>
      <c r="E38" s="1573">
        <v>830248</v>
      </c>
      <c r="F38" s="1573">
        <v>1021544</v>
      </c>
      <c r="G38" s="1573">
        <v>217815</v>
      </c>
      <c r="H38" s="1573">
        <v>1409512</v>
      </c>
      <c r="I38" s="1573"/>
      <c r="J38" s="1574">
        <v>226720</v>
      </c>
      <c r="K38" s="1573">
        <v>4307303</v>
      </c>
      <c r="L38" s="1586"/>
      <c r="M38" s="1604"/>
      <c r="N38" s="1604"/>
    </row>
    <row r="39" spans="1:14" s="307" customFormat="1" ht="13.5" customHeight="1" x14ac:dyDescent="0.2">
      <c r="A39" s="438" t="s">
        <v>339</v>
      </c>
      <c r="B39" s="432">
        <v>730</v>
      </c>
      <c r="C39" s="1573">
        <v>9269919</v>
      </c>
      <c r="D39" s="1573"/>
      <c r="E39" s="1573"/>
      <c r="F39" s="1573"/>
      <c r="G39" s="1573"/>
      <c r="H39" s="1573"/>
      <c r="I39" s="1573">
        <v>484675</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'Cap Outlay Deprec 26'!L16</f>
        <v>40430936</v>
      </c>
      <c r="N40" s="1604"/>
    </row>
    <row r="41" spans="1:14" ht="13.5" customHeight="1" thickBot="1" x14ac:dyDescent="0.25">
      <c r="A41" s="1426" t="s">
        <v>650</v>
      </c>
      <c r="B41" s="1405"/>
      <c r="C41" s="1594">
        <f>(SUM(C34,C37,C38,C39))</f>
        <v>18719932</v>
      </c>
      <c r="D41" s="1594">
        <f t="shared" ref="D41:L41" si="2">SUM(D34,D37,D38:D39)</f>
        <v>3830637</v>
      </c>
      <c r="E41" s="1594">
        <f t="shared" si="2"/>
        <v>1069074</v>
      </c>
      <c r="F41" s="1594">
        <f t="shared" si="2"/>
        <v>1241931</v>
      </c>
      <c r="G41" s="1594">
        <f t="shared" si="2"/>
        <v>454999</v>
      </c>
      <c r="H41" s="1594">
        <f t="shared" si="2"/>
        <v>1611486</v>
      </c>
      <c r="I41" s="1594">
        <f t="shared" si="2"/>
        <v>485011</v>
      </c>
      <c r="J41" s="1594">
        <f t="shared" si="2"/>
        <v>265355</v>
      </c>
      <c r="K41" s="1594">
        <f t="shared" si="2"/>
        <v>4569725</v>
      </c>
      <c r="L41" s="1594">
        <f t="shared" si="2"/>
        <v>20515</v>
      </c>
      <c r="M41" s="1594">
        <f>SUM(M40)</f>
        <v>40430936</v>
      </c>
      <c r="N41" s="1594">
        <f>SUM(N37)</f>
        <v>14925000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3" activePane="bottomLeft" state="frozen"/>
      <selection activeCell="K124" sqref="K124"/>
      <selection pane="bottomLeft" activeCell="C49" sqref="C4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18834964</v>
      </c>
      <c r="D4" s="1606">
        <f>'Revenues 9-14'!D109</f>
        <v>2225187</v>
      </c>
      <c r="E4" s="1606">
        <f>'Revenues 9-14'!E109</f>
        <v>1491290</v>
      </c>
      <c r="F4" s="1606">
        <f>'Revenues 9-14'!F109</f>
        <v>625914</v>
      </c>
      <c r="G4" s="1606">
        <f>'Revenues 9-14'!G109</f>
        <v>522053</v>
      </c>
      <c r="H4" s="1606">
        <f>'Revenues 9-14'!H109</f>
        <v>66535</v>
      </c>
      <c r="I4" s="1606">
        <f>'Revenues 9-14'!I109</f>
        <v>15637</v>
      </c>
      <c r="J4" s="1606">
        <f>'Revenues 9-14'!J109</f>
        <v>43615</v>
      </c>
      <c r="K4" s="1606">
        <f>'Revenues 9-14'!K109</f>
        <v>606349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1162898</v>
      </c>
      <c r="D6" s="1607">
        <f>'Revenues 9-14'!D170</f>
        <v>0</v>
      </c>
      <c r="E6" s="1607">
        <f>'Revenues 9-14'!E170</f>
        <v>0</v>
      </c>
      <c r="F6" s="1607">
        <f>'Revenues 9-14'!F170</f>
        <v>342877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384696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20382558</v>
      </c>
      <c r="D8" s="1594">
        <f t="shared" ref="D8:K8" si="0">SUM(D4:D7)</f>
        <v>2225187</v>
      </c>
      <c r="E8" s="1594">
        <f t="shared" si="0"/>
        <v>1491290</v>
      </c>
      <c r="F8" s="1594">
        <f t="shared" si="0"/>
        <v>968791</v>
      </c>
      <c r="G8" s="1594">
        <f t="shared" si="0"/>
        <v>522053</v>
      </c>
      <c r="H8" s="1594">
        <f t="shared" si="0"/>
        <v>66535</v>
      </c>
      <c r="I8" s="1594">
        <f t="shared" si="0"/>
        <v>15637</v>
      </c>
      <c r="J8" s="1594">
        <f t="shared" si="0"/>
        <v>43615</v>
      </c>
      <c r="K8" s="1594">
        <f t="shared" si="0"/>
        <v>606349</v>
      </c>
      <c r="L8" s="325"/>
    </row>
    <row r="9" spans="1:13" ht="15.75" thickTop="1" x14ac:dyDescent="0.2">
      <c r="A9" s="449" t="s">
        <v>1634</v>
      </c>
      <c r="B9" s="450">
        <v>3998</v>
      </c>
      <c r="C9" s="1586">
        <v>9619929</v>
      </c>
      <c r="D9" s="1613"/>
      <c r="E9" s="1586"/>
      <c r="F9" s="1586"/>
      <c r="G9" s="1614"/>
      <c r="H9" s="1586"/>
      <c r="I9" s="1609" t="s">
        <v>1159</v>
      </c>
      <c r="J9" s="1583"/>
      <c r="K9" s="1586"/>
      <c r="L9" s="325"/>
    </row>
    <row r="10" spans="1:13" s="452" customFormat="1" ht="13.5" thickBot="1" x14ac:dyDescent="0.25">
      <c r="A10" s="1426" t="s">
        <v>1163</v>
      </c>
      <c r="B10" s="1407"/>
      <c r="C10" s="1594">
        <f>SUM(C8:C9)</f>
        <v>30002487</v>
      </c>
      <c r="D10" s="1594">
        <f t="shared" ref="D10:K10" si="1">SUM(D8:D9)</f>
        <v>2225187</v>
      </c>
      <c r="E10" s="1594">
        <f t="shared" si="1"/>
        <v>1491290</v>
      </c>
      <c r="F10" s="1594">
        <f t="shared" si="1"/>
        <v>968791</v>
      </c>
      <c r="G10" s="1594">
        <f t="shared" si="1"/>
        <v>522053</v>
      </c>
      <c r="H10" s="1594">
        <f t="shared" si="1"/>
        <v>66535</v>
      </c>
      <c r="I10" s="1594">
        <f t="shared" si="1"/>
        <v>15637</v>
      </c>
      <c r="J10" s="1594">
        <f t="shared" si="1"/>
        <v>43615</v>
      </c>
      <c r="K10" s="1594">
        <f t="shared" si="1"/>
        <v>606349</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12754215</v>
      </c>
      <c r="D12" s="1616" t="s">
        <v>1159</v>
      </c>
      <c r="E12" s="1575" t="s">
        <v>1159</v>
      </c>
      <c r="F12" s="1575" t="s">
        <v>1159</v>
      </c>
      <c r="G12" s="1606">
        <f>'Expenditures 15-22'!K229</f>
        <v>198284</v>
      </c>
      <c r="H12" s="1617"/>
      <c r="I12" s="1575" t="s">
        <v>1159</v>
      </c>
      <c r="J12" s="1575" t="s">
        <v>1159</v>
      </c>
      <c r="K12" s="1617" t="s">
        <v>1159</v>
      </c>
      <c r="L12" s="325"/>
    </row>
    <row r="13" spans="1:13" ht="15.75" customHeight="1" x14ac:dyDescent="0.2">
      <c r="A13" s="1314" t="s">
        <v>454</v>
      </c>
      <c r="B13" s="1316">
        <v>2000</v>
      </c>
      <c r="C13" s="1607">
        <f>'Expenditures 15-22'!K74</f>
        <v>4842043</v>
      </c>
      <c r="D13" s="1607">
        <f>'Expenditures 15-22'!K129</f>
        <v>1810051</v>
      </c>
      <c r="E13" s="1576" t="s">
        <v>1159</v>
      </c>
      <c r="F13" s="1607">
        <f>'Expenditures 15-22'!K184</f>
        <v>1066933</v>
      </c>
      <c r="G13" s="1607">
        <f>'Expenditures 15-22'!K279</f>
        <v>369376</v>
      </c>
      <c r="H13" s="1607">
        <f>'Expenditures 15-22'!K303</f>
        <v>552038</v>
      </c>
      <c r="I13" s="1575" t="s">
        <v>1159</v>
      </c>
      <c r="J13" s="1607">
        <f>'Expenditures 15-22'!K330</f>
        <v>145868</v>
      </c>
      <c r="K13" s="1618">
        <f>'Expenditures 15-22'!K352</f>
        <v>68419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1925288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1283200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19521546</v>
      </c>
      <c r="D17" s="1594">
        <f t="shared" si="2"/>
        <v>1810051</v>
      </c>
      <c r="E17" s="1594">
        <f t="shared" si="2"/>
        <v>1283200</v>
      </c>
      <c r="F17" s="1594">
        <f t="shared" si="2"/>
        <v>1066933</v>
      </c>
      <c r="G17" s="1594">
        <f t="shared" si="2"/>
        <v>567660</v>
      </c>
      <c r="H17" s="1594">
        <f t="shared" si="2"/>
        <v>552038</v>
      </c>
      <c r="I17" s="1575"/>
      <c r="J17" s="1594">
        <f>SUM(J12:J16)</f>
        <v>145868</v>
      </c>
      <c r="K17" s="1594">
        <f>SUM(K12:K16)</f>
        <v>68419</v>
      </c>
      <c r="L17" s="325"/>
    </row>
    <row r="18" spans="1:12" ht="15" customHeight="1" thickTop="1" x14ac:dyDescent="0.2">
      <c r="A18" s="1430" t="s">
        <v>1635</v>
      </c>
      <c r="B18" s="1431">
        <v>4180</v>
      </c>
      <c r="C18" s="1606">
        <f t="shared" ref="C18:H18" si="3">C9</f>
        <v>9619929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29141475</v>
      </c>
      <c r="D19" s="1594">
        <f t="shared" si="4"/>
        <v>1810051</v>
      </c>
      <c r="E19" s="1594">
        <f t="shared" si="4"/>
        <v>1283200</v>
      </c>
      <c r="F19" s="1594">
        <f t="shared" si="4"/>
        <v>1066933</v>
      </c>
      <c r="G19" s="1594">
        <f t="shared" si="4"/>
        <v>567660</v>
      </c>
      <c r="H19" s="1594">
        <f t="shared" si="4"/>
        <v>552038</v>
      </c>
      <c r="I19" s="1575"/>
      <c r="J19" s="1594">
        <f>SUM(J17:J18)</f>
        <v>145868</v>
      </c>
      <c r="K19" s="1594">
        <f>SUM(K17:K18)</f>
        <v>68419</v>
      </c>
      <c r="L19" s="325"/>
    </row>
    <row r="20" spans="1:12" ht="16.5" thickTop="1" thickBot="1" x14ac:dyDescent="0.25">
      <c r="A20" s="2231" t="s">
        <v>1636</v>
      </c>
      <c r="B20" s="2232"/>
      <c r="C20" s="1622">
        <f>C8-C17</f>
        <v>861012</v>
      </c>
      <c r="D20" s="1622">
        <f t="shared" ref="D20:K20" si="5">D8-D17</f>
        <v>415136</v>
      </c>
      <c r="E20" s="1622">
        <f t="shared" si="5"/>
        <v>208090</v>
      </c>
      <c r="F20" s="1622">
        <f t="shared" si="5"/>
        <v>-98142</v>
      </c>
      <c r="G20" s="1622">
        <f t="shared" si="5"/>
        <v>-45607</v>
      </c>
      <c r="H20" s="1622">
        <f t="shared" si="5"/>
        <v>-485503</v>
      </c>
      <c r="I20" s="1622">
        <f t="shared" si="5"/>
        <v>15637</v>
      </c>
      <c r="J20" s="1622">
        <f t="shared" si="5"/>
        <v>-102253</v>
      </c>
      <c r="K20" s="1622">
        <f t="shared" si="5"/>
        <v>537930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v>75000</v>
      </c>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75000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v>75000</v>
      </c>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75000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-75000</v>
      </c>
      <c r="D77" s="1624">
        <f t="shared" si="8"/>
        <v>0</v>
      </c>
      <c r="E77" s="1624">
        <f t="shared" si="8"/>
        <v>0</v>
      </c>
      <c r="F77" s="1624">
        <f t="shared" si="8"/>
        <v>0</v>
      </c>
      <c r="G77" s="1624">
        <f t="shared" si="8"/>
        <v>0</v>
      </c>
      <c r="H77" s="1624">
        <f t="shared" si="8"/>
        <v>0</v>
      </c>
      <c r="I77" s="1624">
        <f t="shared" si="8"/>
        <v>0</v>
      </c>
      <c r="J77" s="1624">
        <f t="shared" si="8"/>
        <v>75000</v>
      </c>
      <c r="K77" s="1624">
        <f t="shared" si="8"/>
        <v>0</v>
      </c>
      <c r="L77" s="325"/>
    </row>
    <row r="78" spans="1:12" ht="21.75" customHeight="1" thickTop="1" thickBot="1" x14ac:dyDescent="0.25">
      <c r="A78" s="2227" t="s">
        <v>593</v>
      </c>
      <c r="B78" s="2228"/>
      <c r="C78" s="1629">
        <f t="shared" ref="C78:K78" si="9">C20+C77</f>
        <v>786012</v>
      </c>
      <c r="D78" s="1629">
        <f t="shared" si="9"/>
        <v>415136</v>
      </c>
      <c r="E78" s="1629">
        <f t="shared" si="9"/>
        <v>208090</v>
      </c>
      <c r="F78" s="1629">
        <f t="shared" si="9"/>
        <v>-98142</v>
      </c>
      <c r="G78" s="1629">
        <f t="shared" si="9"/>
        <v>-45607</v>
      </c>
      <c r="H78" s="1629">
        <f t="shared" si="9"/>
        <v>-485503</v>
      </c>
      <c r="I78" s="1629">
        <f t="shared" si="9"/>
        <v>15637</v>
      </c>
      <c r="J78" s="1629">
        <f t="shared" si="9"/>
        <v>-27253</v>
      </c>
      <c r="K78" s="1629">
        <f t="shared" si="9"/>
        <v>537930</v>
      </c>
      <c r="L78" s="457"/>
    </row>
    <row r="79" spans="1:12" ht="13.5" thickTop="1" x14ac:dyDescent="0.2">
      <c r="A79" s="1844" t="str">
        <f>"Fund Balances - July 1, "&amp;'AFR20'!E2-1</f>
        <v>Fund Balances - July 1, 2019</v>
      </c>
      <c r="B79" s="458"/>
      <c r="C79" s="1583">
        <v>8726478</v>
      </c>
      <c r="D79" s="1630">
        <v>2329648</v>
      </c>
      <c r="E79" s="1630">
        <v>622158</v>
      </c>
      <c r="F79" s="1630">
        <v>1119686</v>
      </c>
      <c r="G79" s="1630">
        <v>263422</v>
      </c>
      <c r="H79" s="1630">
        <v>1895015</v>
      </c>
      <c r="I79" s="1630">
        <v>469038</v>
      </c>
      <c r="J79" s="1630">
        <v>253973</v>
      </c>
      <c r="K79" s="1630">
        <v>3769373</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9512490</v>
      </c>
      <c r="D81" s="1594">
        <f>SUM(D78:D80)</f>
        <v>2744784</v>
      </c>
      <c r="E81" s="1594">
        <f t="shared" ref="E81:K81" si="10">SUM(E78:E80)</f>
        <v>830248</v>
      </c>
      <c r="F81" s="1594">
        <f t="shared" si="10"/>
        <v>1021544</v>
      </c>
      <c r="G81" s="1594">
        <f t="shared" si="10"/>
        <v>217815</v>
      </c>
      <c r="H81" s="1594">
        <f t="shared" si="10"/>
        <v>1409512</v>
      </c>
      <c r="I81" s="1594">
        <f t="shared" si="10"/>
        <v>484675</v>
      </c>
      <c r="J81" s="1594">
        <f t="shared" si="10"/>
        <v>226720</v>
      </c>
      <c r="K81" s="1594">
        <f t="shared" si="10"/>
        <v>4307303</v>
      </c>
      <c r="L81" s="325"/>
    </row>
    <row r="82" spans="1:12" ht="0.75" customHeight="1" thickTop="1" thickBot="1" x14ac:dyDescent="0.25">
      <c r="A82" s="459" t="s">
        <v>340</v>
      </c>
      <c r="B82" s="460"/>
      <c r="C82" s="461">
        <f>(C81-C79)</f>
        <v>786012</v>
      </c>
      <c r="D82" s="461">
        <f t="shared" ref="D82:K82" si="11">(D81-D79)</f>
        <v>415136</v>
      </c>
      <c r="E82" s="461">
        <f t="shared" si="11"/>
        <v>208090</v>
      </c>
      <c r="F82" s="461">
        <f t="shared" si="11"/>
        <v>-98142</v>
      </c>
      <c r="G82" s="461">
        <f t="shared" si="11"/>
        <v>-45607</v>
      </c>
      <c r="H82" s="461">
        <f t="shared" si="11"/>
        <v>-485503</v>
      </c>
      <c r="I82" s="461">
        <f t="shared" si="11"/>
        <v>15637</v>
      </c>
      <c r="J82" s="461">
        <f t="shared" si="11"/>
        <v>-27253</v>
      </c>
      <c r="K82" s="461">
        <f t="shared" si="11"/>
        <v>537930</v>
      </c>
    </row>
    <row r="83" spans="1:12" ht="14.25" hidden="1" thickTop="1" thickBot="1" x14ac:dyDescent="0.25">
      <c r="A83" s="462" t="s">
        <v>341</v>
      </c>
      <c r="B83" s="428"/>
      <c r="C83" s="463">
        <f>C82/C81</f>
        <v>8.2629469255683846E-2</v>
      </c>
      <c r="D83" s="463">
        <f t="shared" ref="D83:K83" si="12">D82/D81</f>
        <v>0.15124541676139178</v>
      </c>
      <c r="E83" s="463">
        <f t="shared" si="12"/>
        <v>0.25063595455815613</v>
      </c>
      <c r="F83" s="463">
        <f t="shared" si="12"/>
        <v>-9.6072220090373001E-2</v>
      </c>
      <c r="G83" s="463">
        <f t="shared" si="12"/>
        <v>-0.20938411036889104</v>
      </c>
      <c r="H83" s="463">
        <f t="shared" si="12"/>
        <v>-0.34444758185811825</v>
      </c>
      <c r="I83" s="463">
        <f t="shared" si="12"/>
        <v>3.2262856553360503E-2</v>
      </c>
      <c r="J83" s="463">
        <f t="shared" si="12"/>
        <v>-0.12020553987297107</v>
      </c>
      <c r="K83" s="463">
        <f t="shared" si="12"/>
        <v>0.12488789388626712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24" activePane="bottomLeft" state="frozen"/>
      <selection activeCell="K124" sqref="K124"/>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16938160</v>
      </c>
      <c r="D5" s="1586">
        <v>1999371</v>
      </c>
      <c r="E5" s="1573">
        <v>1461122</v>
      </c>
      <c r="F5" s="1631">
        <v>418549</v>
      </c>
      <c r="G5" s="1573">
        <v>175243</v>
      </c>
      <c r="H5" s="1573"/>
      <c r="I5" s="1573">
        <v>648</v>
      </c>
      <c r="J5" s="1574">
        <v>40255</v>
      </c>
      <c r="K5" s="1573">
        <v>448995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301244</v>
      </c>
      <c r="D7" s="1573"/>
      <c r="E7" s="1575"/>
      <c r="F7" s="1574"/>
      <c r="G7" s="1574"/>
      <c r="H7" s="1574"/>
      <c r="I7" s="1575"/>
      <c r="J7" s="1575"/>
      <c r="K7" s="1575"/>
    </row>
    <row r="8" spans="1:12" x14ac:dyDescent="0.2">
      <c r="A8" s="427" t="s">
        <v>410</v>
      </c>
      <c r="B8" s="429">
        <v>1150</v>
      </c>
      <c r="C8" s="1580"/>
      <c r="D8" s="1580"/>
      <c r="E8" s="1582"/>
      <c r="F8" s="1582"/>
      <c r="G8" s="1586">
        <v>271266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17239404</v>
      </c>
      <c r="D12" s="1633">
        <f t="shared" si="0"/>
        <v>1999371</v>
      </c>
      <c r="E12" s="1633">
        <f t="shared" si="0"/>
        <v>1461122</v>
      </c>
      <c r="F12" s="1633">
        <f t="shared" si="0"/>
        <v>418549</v>
      </c>
      <c r="G12" s="1633">
        <f t="shared" si="0"/>
        <v>446509</v>
      </c>
      <c r="H12" s="1633">
        <f t="shared" si="0"/>
        <v>0</v>
      </c>
      <c r="I12" s="1633">
        <f t="shared" si="0"/>
        <v>648</v>
      </c>
      <c r="J12" s="1633">
        <f t="shared" si="0"/>
        <v>40255</v>
      </c>
      <c r="K12" s="1594">
        <f t="shared" si="0"/>
        <v>448995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388614</v>
      </c>
      <c r="D16" s="1573"/>
      <c r="E16" s="1573"/>
      <c r="F16" s="1573">
        <v>166549</v>
      </c>
      <c r="G16" s="1573">
        <v>61685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388614</v>
      </c>
      <c r="D18" s="1635">
        <f t="shared" ref="D18:K18" si="1">SUM(D14:D17)</f>
        <v>0</v>
      </c>
      <c r="E18" s="1635">
        <f t="shared" si="1"/>
        <v>0</v>
      </c>
      <c r="F18" s="1635">
        <f t="shared" si="1"/>
        <v>166549</v>
      </c>
      <c r="G18" s="1635">
        <f t="shared" si="1"/>
        <v>61685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121242</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1280</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122522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375267</v>
      </c>
      <c r="D65" s="1573">
        <v>102463</v>
      </c>
      <c r="E65" s="1573">
        <v>30168</v>
      </c>
      <c r="F65" s="1574">
        <v>40816</v>
      </c>
      <c r="G65" s="1573">
        <v>13859</v>
      </c>
      <c r="H65" s="1573">
        <v>66535</v>
      </c>
      <c r="I65" s="1573">
        <v>14989</v>
      </c>
      <c r="J65" s="1574">
        <v>3360</v>
      </c>
      <c r="K65" s="1573">
        <v>157354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375267</v>
      </c>
      <c r="D67" s="1594">
        <f t="shared" ref="D67:K67" si="2">SUM(D65:D66)</f>
        <v>102463</v>
      </c>
      <c r="E67" s="1594">
        <f t="shared" si="2"/>
        <v>30168</v>
      </c>
      <c r="F67" s="1594">
        <f t="shared" si="2"/>
        <v>40816</v>
      </c>
      <c r="G67" s="1594">
        <f t="shared" si="2"/>
        <v>13859</v>
      </c>
      <c r="H67" s="1594">
        <f t="shared" si="2"/>
        <v>66535</v>
      </c>
      <c r="I67" s="1594">
        <f t="shared" si="2"/>
        <v>14989</v>
      </c>
      <c r="J67" s="1594">
        <f t="shared" si="2"/>
        <v>3360</v>
      </c>
      <c r="K67" s="1594">
        <f t="shared" si="2"/>
        <v>157354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198949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198949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71647</v>
      </c>
      <c r="D79" s="1573"/>
      <c r="E79" s="1575"/>
      <c r="F79" s="1575"/>
      <c r="G79" s="1575"/>
      <c r="H79" s="1575"/>
      <c r="I79" s="1575"/>
      <c r="J79" s="1575"/>
      <c r="K79" s="1575"/>
    </row>
    <row r="80" spans="1:11" ht="12.75" customHeight="1" x14ac:dyDescent="0.2">
      <c r="A80" s="427" t="s">
        <v>547</v>
      </c>
      <c r="B80" s="429">
        <v>1730</v>
      </c>
      <c r="C80" s="1632">
        <v>4634</v>
      </c>
      <c r="D80" s="1573"/>
      <c r="E80" s="1575"/>
      <c r="F80" s="1575"/>
      <c r="G80" s="1575"/>
      <c r="H80" s="1575"/>
      <c r="I80" s="1575"/>
      <c r="J80" s="1575"/>
      <c r="K80" s="1575"/>
    </row>
    <row r="81" spans="1:11" ht="12.75" customHeight="1" x14ac:dyDescent="0.2">
      <c r="A81" s="427" t="s">
        <v>26</v>
      </c>
      <c r="B81" s="429">
        <v>1790</v>
      </c>
      <c r="C81" s="1632">
        <v>25685</v>
      </c>
      <c r="D81" s="1573"/>
      <c r="E81" s="1575"/>
      <c r="F81" s="1575"/>
      <c r="G81" s="1575"/>
      <c r="H81" s="1575"/>
      <c r="I81" s="1575"/>
      <c r="J81" s="1575"/>
      <c r="K81" s="1575"/>
    </row>
    <row r="82" spans="1:11" ht="12.75" customHeight="1" thickBot="1" x14ac:dyDescent="0.25">
      <c r="A82" s="1406" t="s">
        <v>239</v>
      </c>
      <c r="B82" s="1407"/>
      <c r="C82" s="1633">
        <f>SUM(C77:C81)</f>
        <v>101966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44928</v>
      </c>
      <c r="D84" s="1575"/>
      <c r="E84" s="1575"/>
      <c r="F84" s="1575"/>
      <c r="G84" s="1575"/>
      <c r="H84" s="1575"/>
      <c r="I84" s="1575"/>
      <c r="J84" s="1575"/>
      <c r="K84" s="1575"/>
    </row>
    <row r="85" spans="1:11" ht="12.75" customHeight="1" x14ac:dyDescent="0.2">
      <c r="A85" s="427" t="s">
        <v>549</v>
      </c>
      <c r="B85" s="429">
        <v>1812</v>
      </c>
      <c r="C85" s="1632">
        <v>38526</v>
      </c>
      <c r="D85" s="1575"/>
      <c r="E85" s="1575"/>
      <c r="F85" s="1575"/>
      <c r="G85" s="1575"/>
      <c r="H85" s="1575"/>
      <c r="I85" s="1575"/>
      <c r="J85" s="1575"/>
      <c r="K85" s="1575"/>
    </row>
    <row r="86" spans="1:11" ht="12.75" customHeight="1" x14ac:dyDescent="0.2">
      <c r="A86" s="427" t="s">
        <v>992</v>
      </c>
      <c r="B86" s="429">
        <v>1813</v>
      </c>
      <c r="C86" s="1632">
        <v>9275</v>
      </c>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v>513</v>
      </c>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93242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123353</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306499</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8501</v>
      </c>
      <c r="D107" s="1573"/>
      <c r="E107" s="1573"/>
      <c r="F107" s="1573"/>
      <c r="G107" s="1573"/>
      <c r="H107" s="1573"/>
      <c r="I107" s="1573"/>
      <c r="J107" s="1574"/>
      <c r="K107" s="1573"/>
    </row>
    <row r="108" spans="1:12" ht="12.75" customHeight="1" thickBot="1" x14ac:dyDescent="0.25">
      <c r="A108" s="1406" t="s">
        <v>484</v>
      </c>
      <c r="B108" s="1408"/>
      <c r="C108" s="1633">
        <f>SUM(C95:C107)</f>
        <v>315000</v>
      </c>
      <c r="D108" s="1633">
        <f t="shared" ref="D108:K108" si="3">SUM(D95:D107)</f>
        <v>123353</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18834964</v>
      </c>
      <c r="D109" s="1641">
        <f t="shared" si="4"/>
        <v>2225187</v>
      </c>
      <c r="E109" s="1641">
        <f t="shared" si="4"/>
        <v>1491290</v>
      </c>
      <c r="F109" s="1641">
        <f t="shared" si="4"/>
        <v>625914</v>
      </c>
      <c r="G109" s="1641">
        <f t="shared" si="4"/>
        <v>522053</v>
      </c>
      <c r="H109" s="1641">
        <f t="shared" si="4"/>
        <v>66535</v>
      </c>
      <c r="I109" s="1641">
        <f t="shared" si="4"/>
        <v>15637</v>
      </c>
      <c r="J109" s="1641">
        <f t="shared" si="4"/>
        <v>43615</v>
      </c>
      <c r="K109" s="1629">
        <f t="shared" si="4"/>
        <v>606349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1162898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1162898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94555</v>
      </c>
      <c r="G152" s="1574"/>
      <c r="H152" s="1575"/>
      <c r="I152" s="1575"/>
      <c r="J152" s="1575"/>
      <c r="K152" s="1575"/>
    </row>
    <row r="153" spans="1:11" ht="12.75" customHeight="1" x14ac:dyDescent="0.2">
      <c r="A153" s="427" t="s">
        <v>1048</v>
      </c>
      <c r="B153" s="478">
        <v>3510</v>
      </c>
      <c r="C153" s="1632"/>
      <c r="D153" s="1573"/>
      <c r="E153" s="1640"/>
      <c r="F153" s="1573">
        <v>248322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342877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0</v>
      </c>
      <c r="D169" s="1658">
        <f t="shared" si="6"/>
        <v>0</v>
      </c>
      <c r="E169" s="1658">
        <f t="shared" si="6"/>
        <v>0</v>
      </c>
      <c r="F169" s="1658">
        <f t="shared" si="6"/>
        <v>342877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1162898</v>
      </c>
      <c r="D170" s="1641">
        <f t="shared" si="7"/>
        <v>0</v>
      </c>
      <c r="E170" s="1641">
        <f t="shared" si="7"/>
        <v>0</v>
      </c>
      <c r="F170" s="1641">
        <f t="shared" si="7"/>
        <v>342877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13470</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13470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274518</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274518</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5000</v>
      </c>
      <c r="D213" s="1573"/>
      <c r="E213" s="1575"/>
      <c r="F213" s="1573"/>
      <c r="G213" s="1573"/>
      <c r="H213" s="1575"/>
      <c r="I213" s="1575"/>
      <c r="J213" s="1575"/>
      <c r="K213" s="1575"/>
    </row>
    <row r="214" spans="1:11" ht="12.75" customHeight="1" x14ac:dyDescent="0.2">
      <c r="A214" s="427" t="s">
        <v>1045</v>
      </c>
      <c r="B214" s="429">
        <v>4625</v>
      </c>
      <c r="C214" s="1632">
        <v>4336</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9336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19846</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43084</v>
      </c>
      <c r="D263" s="1651"/>
      <c r="E263" s="1575"/>
      <c r="F263" s="1651"/>
      <c r="G263" s="1651"/>
      <c r="H263" s="1575"/>
      <c r="I263" s="1575"/>
      <c r="J263" s="1575"/>
      <c r="K263" s="1575"/>
    </row>
    <row r="264" spans="1:11" ht="12.75" customHeight="1" thickTop="1" thickBot="1" x14ac:dyDescent="0.25">
      <c r="A264" s="427" t="s">
        <v>374</v>
      </c>
      <c r="B264" s="429">
        <v>4992</v>
      </c>
      <c r="C264" s="1650">
        <v>16683</v>
      </c>
      <c r="D264" s="1651"/>
      <c r="E264" s="1575"/>
      <c r="F264" s="1651"/>
      <c r="G264" s="1651"/>
      <c r="H264" s="1575"/>
      <c r="I264" s="1575"/>
      <c r="J264" s="1575"/>
      <c r="K264" s="1575"/>
    </row>
    <row r="265" spans="1:11" s="489" customFormat="1" ht="12.75" customHeight="1" thickTop="1" thickBot="1" x14ac:dyDescent="0.25">
      <c r="A265" s="479" t="s">
        <v>75</v>
      </c>
      <c r="B265" s="475">
        <v>4998</v>
      </c>
      <c r="C265" s="1650">
        <v>7759</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384696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384696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20382558</v>
      </c>
      <c r="D268" s="1641">
        <f t="shared" si="12"/>
        <v>2225187</v>
      </c>
      <c r="E268" s="1641">
        <f t="shared" si="12"/>
        <v>1491290</v>
      </c>
      <c r="F268" s="1641">
        <f t="shared" si="12"/>
        <v>968791</v>
      </c>
      <c r="G268" s="1641">
        <f t="shared" si="12"/>
        <v>522053</v>
      </c>
      <c r="H268" s="1641">
        <f t="shared" si="12"/>
        <v>66535</v>
      </c>
      <c r="I268" s="1641">
        <f t="shared" si="12"/>
        <v>15637</v>
      </c>
      <c r="J268" s="1641">
        <f t="shared" si="12"/>
        <v>43615</v>
      </c>
      <c r="K268" s="1629">
        <f t="shared" si="12"/>
        <v>606349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2" activePane="bottomLeft" state="frozen"/>
      <selection activeCell="K124" sqref="K124"/>
      <selection pane="bottomLeft" activeCell="K124" sqref="K1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7249853</v>
      </c>
      <c r="D5" s="1573">
        <v>906030</v>
      </c>
      <c r="E5" s="1573">
        <v>123999</v>
      </c>
      <c r="F5" s="1573">
        <v>252536</v>
      </c>
      <c r="G5" s="1573">
        <v>238293</v>
      </c>
      <c r="H5" s="1573"/>
      <c r="I5" s="1574">
        <v>113664</v>
      </c>
      <c r="J5" s="1574">
        <v>452599</v>
      </c>
      <c r="K5" s="1672">
        <f>SUM(C5:J5)</f>
        <v>9336974</v>
      </c>
      <c r="L5" s="1573">
        <v>10158615</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226679</v>
      </c>
      <c r="D7" s="1574">
        <v>78377</v>
      </c>
      <c r="E7" s="1574"/>
      <c r="F7" s="1574">
        <v>1105</v>
      </c>
      <c r="G7" s="1574"/>
      <c r="H7" s="1574"/>
      <c r="I7" s="1574">
        <v>647</v>
      </c>
      <c r="J7" s="1574"/>
      <c r="K7" s="1672">
        <f t="shared" ref="K7:K32" si="0">SUM(C7:J7)</f>
        <v>306808</v>
      </c>
      <c r="L7" s="1573">
        <v>314431</v>
      </c>
    </row>
    <row r="8" spans="1:14" x14ac:dyDescent="0.2">
      <c r="A8" s="1274" t="s">
        <v>163</v>
      </c>
      <c r="B8" s="503">
        <v>1200</v>
      </c>
      <c r="C8" s="1573">
        <v>1030667</v>
      </c>
      <c r="D8" s="1573">
        <v>208820</v>
      </c>
      <c r="E8" s="1573">
        <v>642</v>
      </c>
      <c r="F8" s="1573">
        <v>2117</v>
      </c>
      <c r="G8" s="1573"/>
      <c r="H8" s="1573">
        <v>35</v>
      </c>
      <c r="I8" s="1574">
        <v>7360</v>
      </c>
      <c r="J8" s="1574"/>
      <c r="K8" s="1672">
        <f t="shared" si="0"/>
        <v>1249641</v>
      </c>
      <c r="L8" s="1573">
        <v>1417125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460784</v>
      </c>
      <c r="D10" s="1573">
        <v>67171</v>
      </c>
      <c r="E10" s="1573">
        <v>32442</v>
      </c>
      <c r="F10" s="1573">
        <v>976</v>
      </c>
      <c r="G10" s="1573"/>
      <c r="H10" s="1573"/>
      <c r="I10" s="1574"/>
      <c r="J10" s="1574"/>
      <c r="K10" s="1672">
        <f t="shared" si="0"/>
        <v>561373</v>
      </c>
      <c r="L10" s="1573">
        <v>564807</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88445</v>
      </c>
      <c r="D14" s="1573">
        <v>1096</v>
      </c>
      <c r="E14" s="1573"/>
      <c r="F14" s="1573">
        <v>4959</v>
      </c>
      <c r="G14" s="1573"/>
      <c r="H14" s="1573"/>
      <c r="I14" s="1574">
        <v>5676</v>
      </c>
      <c r="J14" s="1574"/>
      <c r="K14" s="1672">
        <f t="shared" si="0"/>
        <v>100176</v>
      </c>
      <c r="L14" s="1573">
        <v>105350</v>
      </c>
    </row>
    <row r="15" spans="1:14" x14ac:dyDescent="0.2">
      <c r="A15" s="1274" t="s">
        <v>958</v>
      </c>
      <c r="B15" s="503">
        <v>1600</v>
      </c>
      <c r="C15" s="1573">
        <v>30425</v>
      </c>
      <c r="D15" s="1573">
        <v>731</v>
      </c>
      <c r="E15" s="1573"/>
      <c r="F15" s="1573">
        <v>563</v>
      </c>
      <c r="G15" s="1573"/>
      <c r="H15" s="1573"/>
      <c r="I15" s="1574"/>
      <c r="J15" s="1574"/>
      <c r="K15" s="1672">
        <f t="shared" si="0"/>
        <v>31719</v>
      </c>
      <c r="L15" s="1573">
        <v>34400</v>
      </c>
    </row>
    <row r="16" spans="1:14" x14ac:dyDescent="0.2">
      <c r="A16" s="1274" t="s">
        <v>980</v>
      </c>
      <c r="B16" s="503" t="s">
        <v>421</v>
      </c>
      <c r="C16" s="1573">
        <v>369074</v>
      </c>
      <c r="D16" s="1573">
        <v>71622</v>
      </c>
      <c r="E16" s="1573"/>
      <c r="F16" s="1573">
        <v>2583</v>
      </c>
      <c r="G16" s="1573"/>
      <c r="H16" s="1573"/>
      <c r="I16" s="1574"/>
      <c r="J16" s="1574"/>
      <c r="K16" s="1672">
        <f t="shared" si="0"/>
        <v>443279</v>
      </c>
      <c r="L16" s="1573">
        <v>447697</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639042</v>
      </c>
      <c r="D18" s="1573">
        <v>78109</v>
      </c>
      <c r="E18" s="1573">
        <v>1650</v>
      </c>
      <c r="F18" s="1573">
        <v>5444</v>
      </c>
      <c r="G18" s="1573"/>
      <c r="H18" s="1573"/>
      <c r="I18" s="1574"/>
      <c r="J18" s="1574"/>
      <c r="K18" s="1672">
        <f t="shared" si="0"/>
        <v>724245</v>
      </c>
      <c r="L18" s="1573">
        <v>737953</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10094969</v>
      </c>
      <c r="D33" s="1674">
        <f t="shared" ref="D33:L33" si="1">SUM(D5:D32)</f>
        <v>1411956</v>
      </c>
      <c r="E33" s="1674">
        <f t="shared" si="1"/>
        <v>158733</v>
      </c>
      <c r="F33" s="1674">
        <f t="shared" si="1"/>
        <v>270283</v>
      </c>
      <c r="G33" s="1674">
        <f t="shared" si="1"/>
        <v>238293</v>
      </c>
      <c r="H33" s="1674">
        <f t="shared" si="1"/>
        <v>35</v>
      </c>
      <c r="I33" s="1674">
        <f t="shared" si="1"/>
        <v>127347</v>
      </c>
      <c r="J33" s="1674">
        <f t="shared" si="1"/>
        <v>452599</v>
      </c>
      <c r="K33" s="1674">
        <f t="shared" si="1"/>
        <v>12754215</v>
      </c>
      <c r="L33" s="1674">
        <f t="shared" si="1"/>
        <v>13780378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278044</v>
      </c>
      <c r="D36" s="1586">
        <v>15962</v>
      </c>
      <c r="E36" s="1586"/>
      <c r="F36" s="1586">
        <v>1507</v>
      </c>
      <c r="G36" s="1586"/>
      <c r="H36" s="1586"/>
      <c r="I36" s="1574"/>
      <c r="J36" s="1574"/>
      <c r="K36" s="1672">
        <f t="shared" ref="K36:K41" si="2">SUM(C36:J36)</f>
        <v>295513</v>
      </c>
      <c r="L36" s="1573">
        <v>313487</v>
      </c>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v>161245</v>
      </c>
      <c r="D38" s="1573">
        <v>46586</v>
      </c>
      <c r="E38" s="1573">
        <v>30</v>
      </c>
      <c r="F38" s="1573">
        <v>3483</v>
      </c>
      <c r="G38" s="1573">
        <v>0</v>
      </c>
      <c r="H38" s="1573"/>
      <c r="I38" s="1574">
        <v>2950</v>
      </c>
      <c r="J38" s="1574"/>
      <c r="K38" s="1672">
        <f t="shared" si="2"/>
        <v>214294</v>
      </c>
      <c r="L38" s="1573">
        <v>227292</v>
      </c>
    </row>
    <row r="39" spans="1:14" x14ac:dyDescent="0.2">
      <c r="A39" s="1274" t="s">
        <v>197</v>
      </c>
      <c r="B39" s="503">
        <v>2140</v>
      </c>
      <c r="C39" s="1573">
        <v>166987</v>
      </c>
      <c r="D39" s="1573">
        <v>19585</v>
      </c>
      <c r="E39" s="1573">
        <v>124</v>
      </c>
      <c r="F39" s="1573">
        <v>843</v>
      </c>
      <c r="G39" s="1573"/>
      <c r="H39" s="1573"/>
      <c r="I39" s="1574"/>
      <c r="J39" s="1574"/>
      <c r="K39" s="1672">
        <f t="shared" si="2"/>
        <v>187539</v>
      </c>
      <c r="L39" s="1573">
        <v>180119</v>
      </c>
    </row>
    <row r="40" spans="1:14" x14ac:dyDescent="0.2">
      <c r="A40" s="1274" t="s">
        <v>198</v>
      </c>
      <c r="B40" s="503">
        <v>2150</v>
      </c>
      <c r="C40" s="1573">
        <v>266857</v>
      </c>
      <c r="D40" s="1573">
        <v>31616</v>
      </c>
      <c r="E40" s="1573"/>
      <c r="F40" s="1573">
        <v>349</v>
      </c>
      <c r="G40" s="1573"/>
      <c r="H40" s="1573"/>
      <c r="I40" s="1574"/>
      <c r="J40" s="1574"/>
      <c r="K40" s="1672">
        <f t="shared" si="2"/>
        <v>298822</v>
      </c>
      <c r="L40" s="1573">
        <v>301216</v>
      </c>
    </row>
    <row r="41" spans="1:14" x14ac:dyDescent="0.2">
      <c r="A41" s="1274" t="s">
        <v>1650</v>
      </c>
      <c r="B41" s="503">
        <v>2190</v>
      </c>
      <c r="C41" s="1573">
        <v>58430</v>
      </c>
      <c r="D41" s="1573">
        <v>281</v>
      </c>
      <c r="E41" s="1573"/>
      <c r="F41" s="1573"/>
      <c r="G41" s="1573"/>
      <c r="H41" s="1573"/>
      <c r="I41" s="1574"/>
      <c r="J41" s="1574"/>
      <c r="K41" s="1672">
        <f t="shared" si="2"/>
        <v>58711</v>
      </c>
      <c r="L41" s="1573">
        <v>55825</v>
      </c>
    </row>
    <row r="42" spans="1:14" ht="12.75" customHeight="1" thickBot="1" x14ac:dyDescent="0.25">
      <c r="A42" s="1380" t="s">
        <v>556</v>
      </c>
      <c r="B42" s="1381" t="s">
        <v>711</v>
      </c>
      <c r="C42" s="1674">
        <f>SUM(C36:C41)</f>
        <v>931563</v>
      </c>
      <c r="D42" s="1674">
        <f t="shared" ref="D42:L42" si="3">SUM(D36:D41)</f>
        <v>114030</v>
      </c>
      <c r="E42" s="1674">
        <f t="shared" si="3"/>
        <v>154</v>
      </c>
      <c r="F42" s="1674">
        <f t="shared" si="3"/>
        <v>6182</v>
      </c>
      <c r="G42" s="1674">
        <f t="shared" si="3"/>
        <v>0</v>
      </c>
      <c r="H42" s="1674">
        <f t="shared" si="3"/>
        <v>0</v>
      </c>
      <c r="I42" s="1674">
        <f t="shared" si="3"/>
        <v>2950</v>
      </c>
      <c r="J42" s="1674">
        <f t="shared" si="3"/>
        <v>0</v>
      </c>
      <c r="K42" s="1674">
        <f t="shared" si="3"/>
        <v>1054879</v>
      </c>
      <c r="L42" s="1674">
        <f t="shared" si="3"/>
        <v>1077939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322329</v>
      </c>
      <c r="D44" s="1586">
        <v>37771</v>
      </c>
      <c r="E44" s="1586">
        <v>67006</v>
      </c>
      <c r="F44" s="1586">
        <v>2588</v>
      </c>
      <c r="G44" s="1586"/>
      <c r="H44" s="1586">
        <v>288</v>
      </c>
      <c r="I44" s="1574"/>
      <c r="J44" s="1574"/>
      <c r="K44" s="1678">
        <f>SUM(C44:J44)</f>
        <v>429982</v>
      </c>
      <c r="L44" s="1586">
        <v>459563</v>
      </c>
    </row>
    <row r="45" spans="1:14" x14ac:dyDescent="0.2">
      <c r="A45" s="1274" t="s">
        <v>810</v>
      </c>
      <c r="B45" s="503">
        <v>2220</v>
      </c>
      <c r="C45" s="1573">
        <v>244750</v>
      </c>
      <c r="D45" s="1573">
        <v>26228</v>
      </c>
      <c r="E45" s="1573"/>
      <c r="F45" s="1573">
        <v>23070</v>
      </c>
      <c r="G45" s="1573"/>
      <c r="H45" s="1573"/>
      <c r="I45" s="1574"/>
      <c r="J45" s="1574"/>
      <c r="K45" s="1678">
        <f>SUM(C45:J45)</f>
        <v>294048</v>
      </c>
      <c r="L45" s="1573">
        <v>306006</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567079</v>
      </c>
      <c r="D47" s="1674">
        <f t="shared" ref="D47:K47" si="4">SUM(D44:D46)</f>
        <v>63999</v>
      </c>
      <c r="E47" s="1674">
        <f t="shared" si="4"/>
        <v>67006</v>
      </c>
      <c r="F47" s="1674">
        <f t="shared" si="4"/>
        <v>25658</v>
      </c>
      <c r="G47" s="1674">
        <f t="shared" si="4"/>
        <v>0</v>
      </c>
      <c r="H47" s="1674">
        <f t="shared" si="4"/>
        <v>288</v>
      </c>
      <c r="I47" s="1674">
        <f t="shared" si="4"/>
        <v>0</v>
      </c>
      <c r="J47" s="1674">
        <f t="shared" si="4"/>
        <v>0</v>
      </c>
      <c r="K47" s="1674">
        <f t="shared" si="4"/>
        <v>724030</v>
      </c>
      <c r="L47" s="1674">
        <f>SUM(L44:L46)</f>
        <v>765569</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54206</v>
      </c>
      <c r="E49" s="1586">
        <v>167229</v>
      </c>
      <c r="F49" s="1586">
        <v>82</v>
      </c>
      <c r="G49" s="1586"/>
      <c r="H49" s="1586">
        <v>21422</v>
      </c>
      <c r="I49" s="1574"/>
      <c r="J49" s="1574"/>
      <c r="K49" s="1678">
        <f>SUM(C49:J49)</f>
        <v>242939</v>
      </c>
      <c r="L49" s="1586">
        <v>329450</v>
      </c>
    </row>
    <row r="50" spans="1:14" x14ac:dyDescent="0.2">
      <c r="A50" s="1274" t="s">
        <v>813</v>
      </c>
      <c r="B50" s="503">
        <v>2320</v>
      </c>
      <c r="C50" s="1573">
        <v>254423</v>
      </c>
      <c r="D50" s="1573">
        <v>31574</v>
      </c>
      <c r="E50" s="1573">
        <v>1097</v>
      </c>
      <c r="F50" s="1573">
        <v>369</v>
      </c>
      <c r="G50" s="1573"/>
      <c r="H50" s="1573">
        <v>2129</v>
      </c>
      <c r="I50" s="1574"/>
      <c r="J50" s="1574"/>
      <c r="K50" s="1678">
        <f>SUM(C50:J50)</f>
        <v>289592</v>
      </c>
      <c r="L50" s="1573">
        <v>294413</v>
      </c>
    </row>
    <row r="51" spans="1:14" x14ac:dyDescent="0.2">
      <c r="A51" s="1274" t="s">
        <v>42</v>
      </c>
      <c r="B51" s="503">
        <v>2330</v>
      </c>
      <c r="C51" s="1573">
        <v>133830</v>
      </c>
      <c r="D51" s="1573">
        <v>44756</v>
      </c>
      <c r="E51" s="1573"/>
      <c r="F51" s="1573"/>
      <c r="G51" s="1573"/>
      <c r="H51" s="1573"/>
      <c r="I51" s="1574"/>
      <c r="J51" s="1574"/>
      <c r="K51" s="1678">
        <f>SUM(C51:J51)</f>
        <v>178586</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388253</v>
      </c>
      <c r="D53" s="1674">
        <f t="shared" ref="D53:L53" si="5">SUM(D49:D52)</f>
        <v>130536</v>
      </c>
      <c r="E53" s="1674">
        <f t="shared" si="5"/>
        <v>168326</v>
      </c>
      <c r="F53" s="1674">
        <f t="shared" si="5"/>
        <v>451</v>
      </c>
      <c r="G53" s="1674">
        <f t="shared" si="5"/>
        <v>0</v>
      </c>
      <c r="H53" s="1674">
        <f t="shared" si="5"/>
        <v>23551</v>
      </c>
      <c r="I53" s="1674">
        <f t="shared" si="5"/>
        <v>0</v>
      </c>
      <c r="J53" s="1674">
        <f t="shared" si="5"/>
        <v>0</v>
      </c>
      <c r="K53" s="1674">
        <f t="shared" si="5"/>
        <v>711117</v>
      </c>
      <c r="L53" s="1674">
        <f t="shared" si="5"/>
        <v>623863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700751</v>
      </c>
      <c r="D55" s="1586">
        <v>143748</v>
      </c>
      <c r="E55" s="1586">
        <v>3309</v>
      </c>
      <c r="F55" s="1586">
        <v>2311</v>
      </c>
      <c r="G55" s="1586"/>
      <c r="H55" s="1586">
        <v>798</v>
      </c>
      <c r="I55" s="1574"/>
      <c r="J55" s="1574"/>
      <c r="K55" s="1678">
        <f>SUM(C55:J55)</f>
        <v>850917</v>
      </c>
      <c r="L55" s="1586">
        <v>891758</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700751</v>
      </c>
      <c r="D57" s="1679">
        <f t="shared" ref="D57:K57" si="6">SUM(D55:D56)</f>
        <v>143748</v>
      </c>
      <c r="E57" s="1679">
        <f t="shared" si="6"/>
        <v>3309</v>
      </c>
      <c r="F57" s="1679">
        <f t="shared" si="6"/>
        <v>2311</v>
      </c>
      <c r="G57" s="1679">
        <f t="shared" si="6"/>
        <v>0</v>
      </c>
      <c r="H57" s="1679">
        <f t="shared" si="6"/>
        <v>798</v>
      </c>
      <c r="I57" s="1679">
        <f t="shared" si="6"/>
        <v>0</v>
      </c>
      <c r="J57" s="1679">
        <f t="shared" si="6"/>
        <v>0</v>
      </c>
      <c r="K57" s="1679">
        <f t="shared" si="6"/>
        <v>850917</v>
      </c>
      <c r="L57" s="1674">
        <f>SUM(L55:L56)</f>
        <v>891758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164835</v>
      </c>
      <c r="D59" s="1586">
        <v>28192</v>
      </c>
      <c r="E59" s="1586"/>
      <c r="F59" s="1586"/>
      <c r="G59" s="1586"/>
      <c r="H59" s="1586">
        <v>1170</v>
      </c>
      <c r="I59" s="1574"/>
      <c r="J59" s="1574"/>
      <c r="K59" s="1678">
        <f t="shared" ref="K59:K64" si="7">SUM(C59:J59)</f>
        <v>194197</v>
      </c>
      <c r="L59" s="1586">
        <v>49046</v>
      </c>
      <c r="M59" s="501"/>
      <c r="N59" s="501"/>
    </row>
    <row r="60" spans="1:14" s="321" customFormat="1" x14ac:dyDescent="0.2">
      <c r="A60" s="1274" t="s">
        <v>460</v>
      </c>
      <c r="B60" s="503">
        <v>2520</v>
      </c>
      <c r="C60" s="1573">
        <v>202211</v>
      </c>
      <c r="D60" s="1573">
        <v>36722</v>
      </c>
      <c r="E60" s="1573">
        <v>115347</v>
      </c>
      <c r="F60" s="1573">
        <v>4579</v>
      </c>
      <c r="G60" s="1573"/>
      <c r="H60" s="1573">
        <v>22951</v>
      </c>
      <c r="I60" s="1574"/>
      <c r="J60" s="1574"/>
      <c r="K60" s="1678">
        <f t="shared" si="7"/>
        <v>381810</v>
      </c>
      <c r="L60" s="1573">
        <v>518121</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218750</v>
      </c>
      <c r="D63" s="1573">
        <v>45579</v>
      </c>
      <c r="E63" s="1573">
        <v>2495</v>
      </c>
      <c r="F63" s="1573">
        <v>155340</v>
      </c>
      <c r="G63" s="1573"/>
      <c r="H63" s="1573">
        <v>850</v>
      </c>
      <c r="I63" s="1574"/>
      <c r="J63" s="1574"/>
      <c r="K63" s="1678">
        <f t="shared" si="7"/>
        <v>423014</v>
      </c>
      <c r="L63" s="1573">
        <v>632457</v>
      </c>
    </row>
    <row r="64" spans="1:14" s="501" customFormat="1" x14ac:dyDescent="0.2">
      <c r="A64" s="1279" t="s">
        <v>101</v>
      </c>
      <c r="B64" s="513">
        <v>2570</v>
      </c>
      <c r="C64" s="1586"/>
      <c r="D64" s="1586"/>
      <c r="E64" s="1586">
        <v>23994</v>
      </c>
      <c r="F64" s="1586"/>
      <c r="G64" s="1586"/>
      <c r="H64" s="1586"/>
      <c r="I64" s="1574"/>
      <c r="J64" s="1574"/>
      <c r="K64" s="1678">
        <f t="shared" si="7"/>
        <v>23994</v>
      </c>
      <c r="L64" s="1586">
        <v>4400</v>
      </c>
    </row>
    <row r="65" spans="1:14" s="321" customFormat="1" ht="12.75" customHeight="1" thickBot="1" x14ac:dyDescent="0.25">
      <c r="A65" s="1380" t="s">
        <v>714</v>
      </c>
      <c r="B65" s="1381" t="s">
        <v>35</v>
      </c>
      <c r="C65" s="1674">
        <f>SUM(C59:C64)</f>
        <v>585796</v>
      </c>
      <c r="D65" s="1674">
        <f t="shared" ref="D65:L65" si="8">SUM(D59:D64)</f>
        <v>110493</v>
      </c>
      <c r="E65" s="1674">
        <f t="shared" si="8"/>
        <v>141836</v>
      </c>
      <c r="F65" s="1674">
        <f t="shared" si="8"/>
        <v>159919</v>
      </c>
      <c r="G65" s="1674">
        <f t="shared" si="8"/>
        <v>0</v>
      </c>
      <c r="H65" s="1674">
        <f t="shared" si="8"/>
        <v>24971</v>
      </c>
      <c r="I65" s="1674">
        <f t="shared" si="8"/>
        <v>0</v>
      </c>
      <c r="J65" s="1674">
        <f t="shared" si="8"/>
        <v>0</v>
      </c>
      <c r="K65" s="1674">
        <f t="shared" si="8"/>
        <v>1023015</v>
      </c>
      <c r="L65" s="1674">
        <f t="shared" si="8"/>
        <v>1204024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v>77441</v>
      </c>
      <c r="D69" s="1573">
        <v>5877</v>
      </c>
      <c r="E69" s="1573">
        <v>13914</v>
      </c>
      <c r="F69" s="1573">
        <v>1128</v>
      </c>
      <c r="G69" s="1573"/>
      <c r="H69" s="1573">
        <v>135</v>
      </c>
      <c r="I69" s="1574"/>
      <c r="J69" s="1574"/>
      <c r="K69" s="1678">
        <f>SUM(C69:J69)</f>
        <v>98495</v>
      </c>
      <c r="L69" s="1573">
        <v>138875</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309630</v>
      </c>
      <c r="D71" s="1573">
        <v>69735</v>
      </c>
      <c r="E71" s="1573">
        <v>225</v>
      </c>
      <c r="F71" s="1573"/>
      <c r="G71" s="1573"/>
      <c r="H71" s="1573"/>
      <c r="I71" s="1574"/>
      <c r="J71" s="1574"/>
      <c r="K71" s="1678">
        <f>SUM(C71:J71)</f>
        <v>379590</v>
      </c>
      <c r="L71" s="1573">
        <v>510246</v>
      </c>
      <c r="M71" s="501"/>
      <c r="N71" s="501"/>
    </row>
    <row r="72" spans="1:14" s="321" customFormat="1" ht="12.75" customHeight="1" thickBot="1" x14ac:dyDescent="0.25">
      <c r="A72" s="1380" t="s">
        <v>37</v>
      </c>
      <c r="B72" s="1383" t="s">
        <v>36</v>
      </c>
      <c r="C72" s="1674">
        <f>SUM(C67:C71)</f>
        <v>387071</v>
      </c>
      <c r="D72" s="1674">
        <f t="shared" ref="D72:K72" si="9">SUM(D67:D71)</f>
        <v>75612</v>
      </c>
      <c r="E72" s="1674">
        <f t="shared" si="9"/>
        <v>14139</v>
      </c>
      <c r="F72" s="1674">
        <f t="shared" si="9"/>
        <v>1128</v>
      </c>
      <c r="G72" s="1674">
        <f t="shared" si="9"/>
        <v>0</v>
      </c>
      <c r="H72" s="1674">
        <f t="shared" si="9"/>
        <v>135</v>
      </c>
      <c r="I72" s="1674">
        <f t="shared" si="9"/>
        <v>0</v>
      </c>
      <c r="J72" s="1674">
        <f t="shared" si="9"/>
        <v>0</v>
      </c>
      <c r="K72" s="1674">
        <f t="shared" si="9"/>
        <v>478085</v>
      </c>
      <c r="L72" s="1674">
        <f>SUM(L67:L71)</f>
        <v>649121</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3560513</v>
      </c>
      <c r="D74" s="1681">
        <f t="shared" ref="D74:K74" si="10">SUM(D42,D47,D53,D57,D65,D72,D73)</f>
        <v>638418</v>
      </c>
      <c r="E74" s="1681">
        <f t="shared" si="10"/>
        <v>394770</v>
      </c>
      <c r="F74" s="1681">
        <f t="shared" si="10"/>
        <v>195649</v>
      </c>
      <c r="G74" s="1681">
        <f t="shared" si="10"/>
        <v>0</v>
      </c>
      <c r="H74" s="1681">
        <f t="shared" si="10"/>
        <v>49743</v>
      </c>
      <c r="I74" s="1681">
        <f t="shared" si="10"/>
        <v>2950</v>
      </c>
      <c r="J74" s="1681">
        <f t="shared" si="10"/>
        <v>0</v>
      </c>
      <c r="K74" s="1681">
        <f t="shared" si="10"/>
        <v>4842043</v>
      </c>
      <c r="L74" s="1681">
        <f>SUM(L42,L47,L53,L57,L65,L72,L73)</f>
        <v>5212274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2295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33502</v>
      </c>
      <c r="F79" s="1673"/>
      <c r="G79" s="1673"/>
      <c r="H79" s="1573">
        <v>1891786</v>
      </c>
      <c r="I79" s="1582"/>
      <c r="J79" s="1582"/>
      <c r="K79" s="1672">
        <f t="shared" si="11"/>
        <v>1925288</v>
      </c>
      <c r="L79" s="1573">
        <v>1914000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33502</v>
      </c>
      <c r="F84" s="1673"/>
      <c r="G84" s="1673"/>
      <c r="H84" s="1674">
        <f>SUM(H78:H83)</f>
        <v>1891786</v>
      </c>
      <c r="I84" s="1582"/>
      <c r="J84" s="1582"/>
      <c r="K84" s="1674">
        <f>SUM(K78:K83)</f>
        <v>1925288</v>
      </c>
      <c r="L84" s="1674">
        <f>SUM(L78:L83)</f>
        <v>1914000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33502</v>
      </c>
      <c r="F102" s="1673"/>
      <c r="G102" s="1673"/>
      <c r="H102" s="1681">
        <f>SUM(H84,H92,H100,H101)</f>
        <v>1891786</v>
      </c>
      <c r="I102" s="1582"/>
      <c r="J102" s="1582"/>
      <c r="K102" s="1681">
        <f>SUM(K84,K92,K100,K101)</f>
        <v>1925288</v>
      </c>
      <c r="L102" s="1681">
        <f>SUM(L84,L92,L100,L101)</f>
        <v>1914000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13655482</v>
      </c>
      <c r="D114" s="1674">
        <f t="shared" ref="D114:K114" si="13">SUM(D33,D74,D75,D102,D112,D113)</f>
        <v>2050374</v>
      </c>
      <c r="E114" s="1674">
        <f t="shared" si="13"/>
        <v>587005</v>
      </c>
      <c r="F114" s="1674">
        <f t="shared" si="13"/>
        <v>465932</v>
      </c>
      <c r="G114" s="1674">
        <f t="shared" si="13"/>
        <v>238293</v>
      </c>
      <c r="H114" s="1674">
        <f>SUM(H33,H74,H75,H102,H112,H113)</f>
        <v>1941564</v>
      </c>
      <c r="I114" s="1674">
        <f t="shared" si="13"/>
        <v>130297</v>
      </c>
      <c r="J114" s="1674">
        <f t="shared" si="13"/>
        <v>452599</v>
      </c>
      <c r="K114" s="1674">
        <f t="shared" si="13"/>
        <v>19521546</v>
      </c>
      <c r="L114" s="1674">
        <f>SUM(L33,L74,L75,L102,L112,L113)</f>
        <v>20908947</v>
      </c>
    </row>
    <row r="115" spans="1:14" ht="13.5" thickTop="1" x14ac:dyDescent="0.2">
      <c r="A115" s="2261" t="s">
        <v>989</v>
      </c>
      <c r="B115" s="2262"/>
      <c r="C115" s="1675"/>
      <c r="D115" s="1675"/>
      <c r="E115" s="1675"/>
      <c r="F115" s="1675"/>
      <c r="G115" s="1675"/>
      <c r="H115" s="1675"/>
      <c r="I115" s="1675"/>
      <c r="J115" s="1675"/>
      <c r="K115" s="1689">
        <f>'Revenues 9-14'!C268-'Expenditures 15-22'!K114</f>
        <v>861012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465448</v>
      </c>
      <c r="D124" s="1573">
        <v>61675</v>
      </c>
      <c r="E124" s="1573">
        <v>748525</v>
      </c>
      <c r="F124" s="1573">
        <v>370903</v>
      </c>
      <c r="G124" s="1573">
        <v>76311</v>
      </c>
      <c r="H124" s="1573">
        <v>180</v>
      </c>
      <c r="I124" s="1574">
        <v>87009</v>
      </c>
      <c r="J124" s="1574"/>
      <c r="K124" s="1674">
        <f>SUM(C124:J124)</f>
        <v>1810051</v>
      </c>
      <c r="L124" s="1573">
        <v>2346482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465448</v>
      </c>
      <c r="D127" s="1674">
        <f t="shared" ref="D127:L127" si="14">SUM(D122:D126)</f>
        <v>61675</v>
      </c>
      <c r="E127" s="1674">
        <f t="shared" si="14"/>
        <v>748525</v>
      </c>
      <c r="F127" s="1674">
        <f t="shared" si="14"/>
        <v>370903</v>
      </c>
      <c r="G127" s="1674">
        <f t="shared" si="14"/>
        <v>76311</v>
      </c>
      <c r="H127" s="1674">
        <f t="shared" si="14"/>
        <v>180</v>
      </c>
      <c r="I127" s="1674">
        <f t="shared" si="14"/>
        <v>87009</v>
      </c>
      <c r="J127" s="1674">
        <f t="shared" si="14"/>
        <v>0</v>
      </c>
      <c r="K127" s="1674">
        <f t="shared" si="14"/>
        <v>1810051</v>
      </c>
      <c r="L127" s="1674">
        <f t="shared" si="14"/>
        <v>2346482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465448</v>
      </c>
      <c r="D129" s="1681">
        <f t="shared" ref="D129:L129" si="15">SUM(D120,D127,D128)</f>
        <v>61675</v>
      </c>
      <c r="E129" s="1681">
        <f t="shared" si="15"/>
        <v>748525</v>
      </c>
      <c r="F129" s="1681">
        <f t="shared" si="15"/>
        <v>370903</v>
      </c>
      <c r="G129" s="1681">
        <f t="shared" si="15"/>
        <v>76311</v>
      </c>
      <c r="H129" s="1681">
        <f t="shared" si="15"/>
        <v>180</v>
      </c>
      <c r="I129" s="1681">
        <f t="shared" si="15"/>
        <v>87009</v>
      </c>
      <c r="J129" s="1681">
        <f t="shared" si="15"/>
        <v>0</v>
      </c>
      <c r="K129" s="1681">
        <f t="shared" si="15"/>
        <v>1810051</v>
      </c>
      <c r="L129" s="1681">
        <f t="shared" si="15"/>
        <v>2346482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465448</v>
      </c>
      <c r="D151" s="1674">
        <f t="shared" ref="D151:K151" si="16">SUM(D129,D130,D139,D149,D150)</f>
        <v>61675</v>
      </c>
      <c r="E151" s="1674">
        <f t="shared" si="16"/>
        <v>748525</v>
      </c>
      <c r="F151" s="1674">
        <f t="shared" si="16"/>
        <v>370903</v>
      </c>
      <c r="G151" s="1674">
        <f t="shared" si="16"/>
        <v>76311</v>
      </c>
      <c r="H151" s="1674">
        <f t="shared" si="16"/>
        <v>180</v>
      </c>
      <c r="I151" s="1674">
        <f t="shared" si="16"/>
        <v>87009</v>
      </c>
      <c r="J151" s="1674">
        <f t="shared" si="16"/>
        <v>0</v>
      </c>
      <c r="K151" s="1674">
        <f t="shared" si="16"/>
        <v>1810051</v>
      </c>
      <c r="L151" s="1674">
        <f>SUM(L129,L130,L139,L149,L150)</f>
        <v>2346482</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415136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563200</v>
      </c>
      <c r="I169" s="1673"/>
      <c r="J169" s="1673"/>
      <c r="K169" s="1672">
        <f>SUM(C169:H169)</f>
        <v>563200</v>
      </c>
      <c r="L169" s="1695">
        <v>563200</v>
      </c>
    </row>
    <row r="170" spans="1:14" ht="33.75" customHeight="1" x14ac:dyDescent="0.2">
      <c r="A170" s="543" t="s">
        <v>1651</v>
      </c>
      <c r="B170" s="545" t="s">
        <v>31</v>
      </c>
      <c r="C170" s="1673"/>
      <c r="D170" s="1673"/>
      <c r="E170" s="1673"/>
      <c r="F170" s="1673"/>
      <c r="G170" s="1673"/>
      <c r="H170" s="1646">
        <v>720000</v>
      </c>
      <c r="I170" s="1673"/>
      <c r="J170" s="1673"/>
      <c r="K170" s="1672">
        <f>SUM(C170:J170)</f>
        <v>720000</v>
      </c>
      <c r="L170" s="1646">
        <v>720000</v>
      </c>
    </row>
    <row r="171" spans="1:14" ht="15.75" customHeight="1" x14ac:dyDescent="0.2">
      <c r="A171" s="507" t="s">
        <v>761</v>
      </c>
      <c r="B171" s="546" t="s">
        <v>84</v>
      </c>
      <c r="C171" s="1673"/>
      <c r="D171" s="1673"/>
      <c r="E171" s="1573"/>
      <c r="F171" s="1673"/>
      <c r="G171" s="1673"/>
      <c r="H171" s="1646"/>
      <c r="I171" s="1582"/>
      <c r="J171" s="1673"/>
      <c r="K171" s="1672">
        <f>SUM(C171:J171)</f>
        <v>0</v>
      </c>
      <c r="L171" s="1646">
        <v>2500</v>
      </c>
    </row>
    <row r="172" spans="1:14" ht="12.75" customHeight="1" thickBot="1" x14ac:dyDescent="0.25">
      <c r="A172" s="1380" t="s">
        <v>633</v>
      </c>
      <c r="B172" s="1381" t="s">
        <v>489</v>
      </c>
      <c r="C172" s="1673"/>
      <c r="D172" s="1673"/>
      <c r="E172" s="1681">
        <f>SUM(E168,E169,E170,E171)</f>
        <v>0</v>
      </c>
      <c r="F172" s="1673"/>
      <c r="G172" s="1673"/>
      <c r="H172" s="1681">
        <f>SUM(H168,H169,H170,H171)</f>
        <v>1283200</v>
      </c>
      <c r="I172" s="1684"/>
      <c r="J172" s="1673"/>
      <c r="K172" s="1681">
        <f>SUM(K168,K169,K170,K171)</f>
        <v>1283200</v>
      </c>
      <c r="L172" s="1681">
        <f>SUM(L168,L169,L170,L171)</f>
        <v>1285700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1283200</v>
      </c>
      <c r="I174" s="1684"/>
      <c r="J174" s="1673"/>
      <c r="K174" s="1681">
        <f>SUM(K160,K172,K173)</f>
        <v>1283200</v>
      </c>
      <c r="L174" s="1681">
        <f>SUM(L160,L172,L173)</f>
        <v>1285700</v>
      </c>
    </row>
    <row r="175" spans="1:14" ht="13.5" thickTop="1" x14ac:dyDescent="0.2">
      <c r="A175" s="2261" t="s">
        <v>989</v>
      </c>
      <c r="B175" s="2262"/>
      <c r="C175" s="1673"/>
      <c r="D175" s="1673"/>
      <c r="E175" s="1673"/>
      <c r="F175" s="1673"/>
      <c r="G175" s="1673"/>
      <c r="H175" s="1675"/>
      <c r="I175" s="1673"/>
      <c r="J175" s="1673"/>
      <c r="K175" s="1689">
        <f>'Revenues 9-14'!E268-'Expenditures 15-22'!K174</f>
        <v>208090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1066933</v>
      </c>
      <c r="F182" s="1573"/>
      <c r="G182" s="1573"/>
      <c r="H182" s="1573"/>
      <c r="I182" s="1574"/>
      <c r="J182" s="1574"/>
      <c r="K182" s="1672">
        <f>SUM(C182:J182)</f>
        <v>1066933</v>
      </c>
      <c r="L182" s="1573">
        <v>1238000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1066933</v>
      </c>
      <c r="F184" s="1681">
        <f t="shared" si="17"/>
        <v>0</v>
      </c>
      <c r="G184" s="1681">
        <f t="shared" si="17"/>
        <v>0</v>
      </c>
      <c r="H184" s="1681">
        <f t="shared" si="17"/>
        <v>0</v>
      </c>
      <c r="I184" s="1681">
        <f t="shared" si="17"/>
        <v>0</v>
      </c>
      <c r="J184" s="1681">
        <f t="shared" si="17"/>
        <v>0</v>
      </c>
      <c r="K184" s="1681">
        <f>SUM(K180,K182,K183)</f>
        <v>1066933</v>
      </c>
      <c r="L184" s="1681">
        <f>SUM(L180, L182:L183)</f>
        <v>1238000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1066933</v>
      </c>
      <c r="F210" s="1674">
        <f>SUM(F184,F185)</f>
        <v>0</v>
      </c>
      <c r="G210" s="1674">
        <f>SUM(G184,G185)</f>
        <v>0</v>
      </c>
      <c r="H210" s="1674">
        <f>SUM(H184,H185,H196,H208,H209)</f>
        <v>0</v>
      </c>
      <c r="I210" s="1674">
        <f>SUM(I184,I185)</f>
        <v>0</v>
      </c>
      <c r="J210" s="1674">
        <f>SUM(J184,J185)</f>
        <v>0</v>
      </c>
      <c r="K210" s="1672">
        <f>SUM(K184,K185,K196,K208,K209)</f>
        <v>1066933</v>
      </c>
      <c r="L210" s="1674">
        <f>SUM(L184,L185,L196,L208,L209)</f>
        <v>1238000</v>
      </c>
    </row>
    <row r="211" spans="1:14" ht="13.5" thickTop="1" x14ac:dyDescent="0.2">
      <c r="A211" s="2261" t="s">
        <v>989</v>
      </c>
      <c r="B211" s="2262"/>
      <c r="C211" s="1675"/>
      <c r="D211" s="1675"/>
      <c r="E211" s="1675"/>
      <c r="F211" s="1675"/>
      <c r="G211" s="1675"/>
      <c r="H211" s="1675"/>
      <c r="I211" s="1673"/>
      <c r="J211" s="1673"/>
      <c r="K211" s="1689">
        <f>'Revenues 9-14'!F268-'Expenditures 15-22'!K210</f>
        <v>-98142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102497</v>
      </c>
      <c r="E215" s="1673"/>
      <c r="F215" s="1673"/>
      <c r="G215" s="1673"/>
      <c r="H215" s="1673"/>
      <c r="I215" s="1673"/>
      <c r="J215" s="1673"/>
      <c r="K215" s="1672">
        <f>D215</f>
        <v>102497</v>
      </c>
      <c r="L215" s="1573">
        <v>100299</v>
      </c>
    </row>
    <row r="216" spans="1:14" x14ac:dyDescent="0.2">
      <c r="A216" s="1274" t="s">
        <v>162</v>
      </c>
      <c r="B216" s="503" t="s">
        <v>961</v>
      </c>
      <c r="C216" s="1673"/>
      <c r="D216" s="1574">
        <v>10207</v>
      </c>
      <c r="E216" s="1673"/>
      <c r="F216" s="1673"/>
      <c r="G216" s="1673"/>
      <c r="H216" s="1673"/>
      <c r="I216" s="1673"/>
      <c r="J216" s="1673"/>
      <c r="K216" s="1672">
        <f t="shared" ref="K216:K228" si="19">D216</f>
        <v>10207</v>
      </c>
      <c r="L216" s="1573">
        <v>9182</v>
      </c>
    </row>
    <row r="217" spans="1:14" x14ac:dyDescent="0.2">
      <c r="A217" s="1274" t="s">
        <v>163</v>
      </c>
      <c r="B217" s="503">
        <v>1200</v>
      </c>
      <c r="C217" s="1673"/>
      <c r="D217" s="1573">
        <v>61459</v>
      </c>
      <c r="E217" s="1673"/>
      <c r="F217" s="1673"/>
      <c r="G217" s="1673"/>
      <c r="H217" s="1673"/>
      <c r="I217" s="1673"/>
      <c r="J217" s="1673"/>
      <c r="K217" s="1672">
        <f t="shared" si="19"/>
        <v>61459</v>
      </c>
      <c r="L217" s="1573">
        <v>56673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6339</v>
      </c>
      <c r="E219" s="1673"/>
      <c r="F219" s="1673"/>
      <c r="G219" s="1673"/>
      <c r="H219" s="1673"/>
      <c r="I219" s="1673"/>
      <c r="J219" s="1673"/>
      <c r="K219" s="1672">
        <f t="shared" si="19"/>
        <v>6339</v>
      </c>
      <c r="L219" s="1573">
        <v>6276</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3478</v>
      </c>
      <c r="E223" s="1673"/>
      <c r="F223" s="1673"/>
      <c r="G223" s="1673"/>
      <c r="H223" s="1673"/>
      <c r="I223" s="1673"/>
      <c r="J223" s="1673"/>
      <c r="K223" s="1672">
        <f t="shared" si="19"/>
        <v>3478</v>
      </c>
      <c r="L223" s="1573"/>
    </row>
    <row r="224" spans="1:14" x14ac:dyDescent="0.2">
      <c r="A224" s="1274" t="s">
        <v>958</v>
      </c>
      <c r="B224" s="503">
        <v>1600</v>
      </c>
      <c r="C224" s="1673"/>
      <c r="D224" s="1573">
        <v>461</v>
      </c>
      <c r="E224" s="1673"/>
      <c r="F224" s="1673"/>
      <c r="G224" s="1673"/>
      <c r="H224" s="1673"/>
      <c r="I224" s="1673"/>
      <c r="J224" s="1673"/>
      <c r="K224" s="1672">
        <f t="shared" si="19"/>
        <v>461</v>
      </c>
      <c r="L224" s="1573">
        <v>436</v>
      </c>
    </row>
    <row r="225" spans="1:12" x14ac:dyDescent="0.2">
      <c r="A225" s="1274" t="s">
        <v>980</v>
      </c>
      <c r="B225" s="503">
        <v>1650</v>
      </c>
      <c r="C225" s="1673"/>
      <c r="D225" s="1573">
        <v>4978</v>
      </c>
      <c r="E225" s="1673"/>
      <c r="F225" s="1673"/>
      <c r="G225" s="1673"/>
      <c r="H225" s="1673"/>
      <c r="I225" s="1673"/>
      <c r="J225" s="1673"/>
      <c r="K225" s="1672">
        <f t="shared" si="19"/>
        <v>4978</v>
      </c>
      <c r="L225" s="1573">
        <v>4988</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8865</v>
      </c>
      <c r="E227" s="1673"/>
      <c r="F227" s="1673"/>
      <c r="G227" s="1673"/>
      <c r="H227" s="1673"/>
      <c r="I227" s="1673"/>
      <c r="J227" s="1673"/>
      <c r="K227" s="1672">
        <f t="shared" si="19"/>
        <v>8865</v>
      </c>
      <c r="L227" s="1573">
        <v>8588</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198284</v>
      </c>
      <c r="E229" s="1673"/>
      <c r="F229" s="1673"/>
      <c r="G229" s="1673"/>
      <c r="H229" s="1673"/>
      <c r="I229" s="1673"/>
      <c r="J229" s="1673"/>
      <c r="K229" s="1674">
        <f>SUM(K215:K228)</f>
        <v>198284</v>
      </c>
      <c r="L229" s="1674">
        <f>SUM(L215:L228)</f>
        <v>186442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3960</v>
      </c>
      <c r="E232" s="1673"/>
      <c r="F232" s="1673"/>
      <c r="G232" s="1673"/>
      <c r="H232" s="1673"/>
      <c r="I232" s="1673"/>
      <c r="J232" s="1673"/>
      <c r="K232" s="1672">
        <f t="shared" ref="K232:K237" si="20">D232</f>
        <v>3960</v>
      </c>
      <c r="L232" s="1573">
        <v>4141</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30899</v>
      </c>
      <c r="E234" s="1673"/>
      <c r="F234" s="1673"/>
      <c r="G234" s="1673"/>
      <c r="H234" s="1673"/>
      <c r="I234" s="1673"/>
      <c r="J234" s="1673"/>
      <c r="K234" s="1672">
        <f t="shared" si="20"/>
        <v>30899</v>
      </c>
      <c r="L234" s="1573">
        <v>25625</v>
      </c>
    </row>
    <row r="235" spans="1:12" x14ac:dyDescent="0.2">
      <c r="A235" s="1274" t="s">
        <v>197</v>
      </c>
      <c r="B235" s="503">
        <v>2140</v>
      </c>
      <c r="C235" s="1673"/>
      <c r="D235" s="1573">
        <v>2326</v>
      </c>
      <c r="E235" s="1673"/>
      <c r="F235" s="1673"/>
      <c r="G235" s="1673"/>
      <c r="H235" s="1673"/>
      <c r="I235" s="1673"/>
      <c r="J235" s="1673"/>
      <c r="K235" s="1672">
        <f t="shared" si="20"/>
        <v>2326</v>
      </c>
      <c r="L235" s="1573">
        <v>2387</v>
      </c>
    </row>
    <row r="236" spans="1:12" x14ac:dyDescent="0.2">
      <c r="A236" s="1274" t="s">
        <v>198</v>
      </c>
      <c r="B236" s="503">
        <v>2150</v>
      </c>
      <c r="C236" s="1673"/>
      <c r="D236" s="1573">
        <v>3589</v>
      </c>
      <c r="E236" s="1673"/>
      <c r="F236" s="1673"/>
      <c r="G236" s="1673"/>
      <c r="H236" s="1673"/>
      <c r="I236" s="1673"/>
      <c r="J236" s="1673"/>
      <c r="K236" s="1672">
        <f t="shared" si="20"/>
        <v>3589</v>
      </c>
      <c r="L236" s="1573">
        <v>3635</v>
      </c>
    </row>
    <row r="237" spans="1:12" x14ac:dyDescent="0.2">
      <c r="A237" s="1274" t="s">
        <v>164</v>
      </c>
      <c r="B237" s="503">
        <v>2190</v>
      </c>
      <c r="C237" s="1673"/>
      <c r="D237" s="1573">
        <v>3650</v>
      </c>
      <c r="E237" s="1673"/>
      <c r="F237" s="1673"/>
      <c r="G237" s="1673"/>
      <c r="H237" s="1673"/>
      <c r="I237" s="1673"/>
      <c r="J237" s="1673"/>
      <c r="K237" s="1672">
        <f t="shared" si="20"/>
        <v>3650</v>
      </c>
      <c r="L237" s="1573"/>
    </row>
    <row r="238" spans="1:12" ht="12.75" customHeight="1" thickBot="1" x14ac:dyDescent="0.25">
      <c r="A238" s="1380" t="s">
        <v>556</v>
      </c>
      <c r="B238" s="1383" t="s">
        <v>711</v>
      </c>
      <c r="C238" s="1673"/>
      <c r="D238" s="1674">
        <f>SUM(D232:D237)</f>
        <v>44424</v>
      </c>
      <c r="E238" s="1673"/>
      <c r="F238" s="1673"/>
      <c r="G238" s="1673"/>
      <c r="H238" s="1673"/>
      <c r="I238" s="1673"/>
      <c r="J238" s="1673"/>
      <c r="K238" s="1674">
        <f>SUM(K232:K237)</f>
        <v>44424</v>
      </c>
      <c r="L238" s="1674">
        <f>SUM(L232:L237)</f>
        <v>35788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14312</v>
      </c>
      <c r="E240" s="1673"/>
      <c r="F240" s="1673"/>
      <c r="G240" s="1673"/>
      <c r="H240" s="1673"/>
      <c r="I240" s="1673"/>
      <c r="J240" s="1673"/>
      <c r="K240" s="1678">
        <f>D240</f>
        <v>14312</v>
      </c>
      <c r="L240" s="1586">
        <v>13788</v>
      </c>
    </row>
    <row r="241" spans="1:12" x14ac:dyDescent="0.2">
      <c r="A241" s="1274" t="s">
        <v>810</v>
      </c>
      <c r="B241" s="503">
        <v>2220</v>
      </c>
      <c r="C241" s="1673"/>
      <c r="D241" s="1573">
        <v>3393</v>
      </c>
      <c r="E241" s="1673"/>
      <c r="F241" s="1673"/>
      <c r="G241" s="1673"/>
      <c r="H241" s="1673"/>
      <c r="I241" s="1673"/>
      <c r="J241" s="1673"/>
      <c r="K241" s="1678">
        <f>D241</f>
        <v>3393</v>
      </c>
      <c r="L241" s="1573">
        <v>3574</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17705</v>
      </c>
      <c r="E243" s="1673"/>
      <c r="F243" s="1673"/>
      <c r="G243" s="1673"/>
      <c r="H243" s="1673"/>
      <c r="I243" s="1673"/>
      <c r="J243" s="1673"/>
      <c r="K243" s="1674">
        <f>SUM(K240:K242)</f>
        <v>17705</v>
      </c>
      <c r="L243" s="1674">
        <f>SUM(L240:L242)</f>
        <v>17362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3726</v>
      </c>
      <c r="E246" s="1673"/>
      <c r="F246" s="1673"/>
      <c r="G246" s="1673"/>
      <c r="H246" s="1673"/>
      <c r="I246" s="1673"/>
      <c r="J246" s="1673"/>
      <c r="K246" s="1678">
        <f t="shared" ref="K246:K256" si="21">D246</f>
        <v>3726</v>
      </c>
      <c r="L246" s="1573">
        <v>3715</v>
      </c>
    </row>
    <row r="247" spans="1:12" x14ac:dyDescent="0.2">
      <c r="A247" s="1274" t="s">
        <v>814</v>
      </c>
      <c r="B247" s="503">
        <v>2330</v>
      </c>
      <c r="C247" s="1673"/>
      <c r="D247" s="1573">
        <v>4681</v>
      </c>
      <c r="E247" s="1673"/>
      <c r="F247" s="1673"/>
      <c r="G247" s="1673"/>
      <c r="H247" s="1673"/>
      <c r="I247" s="1673"/>
      <c r="J247" s="1673"/>
      <c r="K247" s="1678">
        <f t="shared" si="21"/>
        <v>4681</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8407</v>
      </c>
      <c r="E257" s="1673"/>
      <c r="F257" s="1673"/>
      <c r="G257" s="1673"/>
      <c r="H257" s="1673"/>
      <c r="I257" s="1673"/>
      <c r="J257" s="1673"/>
      <c r="K257" s="1674">
        <f>SUM(K245:K256)</f>
        <v>8407</v>
      </c>
      <c r="L257" s="1674">
        <f>SUM(L245:L256)</f>
        <v>3715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44397</v>
      </c>
      <c r="E259" s="1673"/>
      <c r="F259" s="1673"/>
      <c r="G259" s="1673"/>
      <c r="H259" s="1673"/>
      <c r="I259" s="1673"/>
      <c r="J259" s="1673"/>
      <c r="K259" s="1678">
        <f>D259</f>
        <v>44397</v>
      </c>
      <c r="L259" s="1586">
        <v>40722</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44397</v>
      </c>
      <c r="E261" s="1673"/>
      <c r="F261" s="1673"/>
      <c r="G261" s="1673"/>
      <c r="H261" s="1673"/>
      <c r="I261" s="1673"/>
      <c r="J261" s="1673"/>
      <c r="K261" s="1674">
        <f>SUM(K259:K260)</f>
        <v>44397</v>
      </c>
      <c r="L261" s="1674">
        <f>SUM(L259:L260)</f>
        <v>40722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2388</v>
      </c>
      <c r="E263" s="1673"/>
      <c r="F263" s="1673"/>
      <c r="G263" s="1673"/>
      <c r="H263" s="1673"/>
      <c r="I263" s="1673"/>
      <c r="J263" s="1673"/>
      <c r="K263" s="1678">
        <f>D263</f>
        <v>2388</v>
      </c>
      <c r="L263" s="1586">
        <v>2388</v>
      </c>
    </row>
    <row r="264" spans="1:14" x14ac:dyDescent="0.2">
      <c r="A264" s="1274" t="s">
        <v>460</v>
      </c>
      <c r="B264" s="559">
        <v>2520</v>
      </c>
      <c r="C264" s="1673"/>
      <c r="D264" s="1573">
        <v>38611</v>
      </c>
      <c r="E264" s="1673"/>
      <c r="F264" s="1673"/>
      <c r="G264" s="1673"/>
      <c r="H264" s="1673"/>
      <c r="I264" s="1673"/>
      <c r="J264" s="1673"/>
      <c r="K264" s="1678">
        <f t="shared" ref="K264:K269" si="22">D264</f>
        <v>38611</v>
      </c>
      <c r="L264" s="1573">
        <v>33877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91026</v>
      </c>
      <c r="E266" s="1673"/>
      <c r="F266" s="1673"/>
      <c r="G266" s="1673"/>
      <c r="H266" s="1673"/>
      <c r="I266" s="1673"/>
      <c r="J266" s="1673"/>
      <c r="K266" s="1678">
        <f t="shared" si="22"/>
        <v>91026</v>
      </c>
      <c r="L266" s="1573">
        <v>87951</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42450</v>
      </c>
      <c r="E268" s="1673"/>
      <c r="F268" s="1673"/>
      <c r="G268" s="1673"/>
      <c r="H268" s="1673"/>
      <c r="I268" s="1673"/>
      <c r="J268" s="1673"/>
      <c r="K268" s="1678">
        <f t="shared" si="22"/>
        <v>42450</v>
      </c>
      <c r="L268" s="1573">
        <v>31230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174475</v>
      </c>
      <c r="E270" s="1673"/>
      <c r="F270" s="1673"/>
      <c r="G270" s="1673"/>
      <c r="H270" s="1673"/>
      <c r="I270" s="1673"/>
      <c r="J270" s="1673"/>
      <c r="K270" s="1674">
        <f>SUM(K263:K269)</f>
        <v>174475</v>
      </c>
      <c r="L270" s="1674">
        <f>SUM(L263:L269)</f>
        <v>155446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15129</v>
      </c>
      <c r="E274" s="1673"/>
      <c r="F274" s="1673"/>
      <c r="G274" s="1673"/>
      <c r="H274" s="1673"/>
      <c r="I274" s="1673"/>
      <c r="J274" s="1673"/>
      <c r="K274" s="1678">
        <f>D274</f>
        <v>15129</v>
      </c>
      <c r="L274" s="1573">
        <v>13902</v>
      </c>
    </row>
    <row r="275" spans="1:12" x14ac:dyDescent="0.2">
      <c r="A275" s="1274" t="s">
        <v>400</v>
      </c>
      <c r="B275" s="503">
        <v>2640</v>
      </c>
      <c r="C275" s="1673"/>
      <c r="D275" s="1573">
        <v>64839</v>
      </c>
      <c r="E275" s="1673"/>
      <c r="F275" s="1673"/>
      <c r="G275" s="1673"/>
      <c r="H275" s="1673"/>
      <c r="I275" s="1673"/>
      <c r="J275" s="1673"/>
      <c r="K275" s="1678">
        <f>D275</f>
        <v>64839</v>
      </c>
      <c r="L275" s="1573">
        <v>59637</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79968</v>
      </c>
      <c r="E277" s="1673"/>
      <c r="F277" s="1673"/>
      <c r="G277" s="1673"/>
      <c r="H277" s="1673"/>
      <c r="I277" s="1673"/>
      <c r="J277" s="1673"/>
      <c r="K277" s="1674">
        <f>SUM(K272:K276)</f>
        <v>79968</v>
      </c>
      <c r="L277" s="1674">
        <f>SUM(L272:L276)</f>
        <v>73539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369376</v>
      </c>
      <c r="E279" s="1673"/>
      <c r="F279" s="1673"/>
      <c r="G279" s="1673"/>
      <c r="H279" s="1673"/>
      <c r="I279" s="1673"/>
      <c r="J279" s="1673"/>
      <c r="K279" s="1681">
        <f>SUM(K238,K243,K257,K261,K270,K277,K278)</f>
        <v>369376</v>
      </c>
      <c r="L279" s="1681">
        <f>SUM(L238,L243,L257,L261,L270,L277,L278)</f>
        <v>326572</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567660</v>
      </c>
      <c r="E295" s="1673"/>
      <c r="F295" s="1673"/>
      <c r="G295" s="1673"/>
      <c r="H295" s="1674">
        <f>H293</f>
        <v>0</v>
      </c>
      <c r="I295" s="1673"/>
      <c r="J295" s="1673"/>
      <c r="K295" s="1674">
        <f>SUM(K229,K279,K280,K285,K293,K294)</f>
        <v>567660</v>
      </c>
      <c r="L295" s="1674">
        <f>SUM(L229,L279,L280,L285,L293,L294)</f>
        <v>513014</v>
      </c>
    </row>
    <row r="296" spans="1:14" ht="13.5" thickTop="1" x14ac:dyDescent="0.2">
      <c r="A296" s="2261" t="s">
        <v>989</v>
      </c>
      <c r="B296" s="2262"/>
      <c r="C296" s="1673"/>
      <c r="D296" s="1675"/>
      <c r="E296" s="1673"/>
      <c r="F296" s="1673"/>
      <c r="G296" s="1673"/>
      <c r="H296" s="1707"/>
      <c r="I296" s="1673"/>
      <c r="J296" s="1673"/>
      <c r="K296" s="1689">
        <f>'Revenues 9-14'!G268-'Expenditures 15-22'!K295</f>
        <v>-45607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239533</v>
      </c>
      <c r="F301" s="1573"/>
      <c r="G301" s="1573">
        <v>312505</v>
      </c>
      <c r="H301" s="1573"/>
      <c r="I301" s="1574"/>
      <c r="J301" s="1574"/>
      <c r="K301" s="1672">
        <f>SUM(C301:J301)</f>
        <v>552038</v>
      </c>
      <c r="L301" s="1574">
        <v>616000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239533</v>
      </c>
      <c r="F303" s="1681">
        <f t="shared" si="23"/>
        <v>0</v>
      </c>
      <c r="G303" s="1681">
        <f t="shared" si="23"/>
        <v>312505</v>
      </c>
      <c r="H303" s="1681">
        <f t="shared" si="23"/>
        <v>0</v>
      </c>
      <c r="I303" s="1681">
        <f t="shared" si="23"/>
        <v>0</v>
      </c>
      <c r="J303" s="1681">
        <f t="shared" si="23"/>
        <v>0</v>
      </c>
      <c r="K303" s="1681">
        <f t="shared" si="23"/>
        <v>552038</v>
      </c>
      <c r="L303" s="1681">
        <f t="shared" si="23"/>
        <v>616000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239533</v>
      </c>
      <c r="F312" s="1674">
        <f>SUM(F303)</f>
        <v>0</v>
      </c>
      <c r="G312" s="1674">
        <f>SUM(G303)</f>
        <v>312505</v>
      </c>
      <c r="H312" s="1674">
        <f>SUM(H303,H310)</f>
        <v>0</v>
      </c>
      <c r="I312" s="1674">
        <f>SUM(I303)</f>
        <v>0</v>
      </c>
      <c r="J312" s="1674">
        <f>SUM(J303)</f>
        <v>0</v>
      </c>
      <c r="K312" s="1674">
        <f>SUM(K303,K310,K311)</f>
        <v>552038</v>
      </c>
      <c r="L312" s="1674">
        <f>SUM(L303,L310,L311)</f>
        <v>616000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-485503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3128</v>
      </c>
      <c r="F320" s="1574"/>
      <c r="G320" s="1574"/>
      <c r="H320" s="1574"/>
      <c r="I320" s="1574"/>
      <c r="J320" s="1574"/>
      <c r="K320" s="1672">
        <f t="shared" ref="K320:K327" si="24">SUM(C320:J320)</f>
        <v>3128</v>
      </c>
      <c r="L320" s="1574">
        <v>95000</v>
      </c>
      <c r="M320" s="539"/>
      <c r="N320" s="539"/>
    </row>
    <row r="321" spans="1:14" s="548" customFormat="1" x14ac:dyDescent="0.2">
      <c r="A321" s="1289" t="s">
        <v>297</v>
      </c>
      <c r="B321" s="567" t="s">
        <v>281</v>
      </c>
      <c r="C321" s="1574"/>
      <c r="D321" s="1574"/>
      <c r="E321" s="1574">
        <v>1347</v>
      </c>
      <c r="F321" s="1574"/>
      <c r="G321" s="1574"/>
      <c r="H321" s="1574"/>
      <c r="I321" s="1574"/>
      <c r="J321" s="1574"/>
      <c r="K321" s="1672">
        <f t="shared" si="24"/>
        <v>1347</v>
      </c>
      <c r="L321" s="1574"/>
      <c r="M321" s="539"/>
      <c r="N321" s="539"/>
    </row>
    <row r="322" spans="1:14" s="548" customFormat="1" x14ac:dyDescent="0.2">
      <c r="A322" s="1289" t="s">
        <v>236</v>
      </c>
      <c r="B322" s="567" t="s">
        <v>282</v>
      </c>
      <c r="C322" s="1574"/>
      <c r="D322" s="1574"/>
      <c r="E322" s="1574">
        <v>74809</v>
      </c>
      <c r="F322" s="1574"/>
      <c r="G322" s="1574"/>
      <c r="H322" s="1574"/>
      <c r="I322" s="1574"/>
      <c r="J322" s="1574"/>
      <c r="K322" s="1672">
        <f t="shared" si="24"/>
        <v>74809</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24000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3000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66584</v>
      </c>
      <c r="F328" s="1579"/>
      <c r="G328" s="1579"/>
      <c r="H328" s="1579"/>
      <c r="I328" s="1579"/>
      <c r="J328" s="1579"/>
      <c r="K328" s="1713">
        <f>SUM(C328:J328)</f>
        <v>66584</v>
      </c>
      <c r="L328" s="1579">
        <v>70000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145868</v>
      </c>
      <c r="F330" s="1674">
        <f t="shared" si="25"/>
        <v>0</v>
      </c>
      <c r="G330" s="1674">
        <f t="shared" si="25"/>
        <v>0</v>
      </c>
      <c r="H330" s="1674">
        <f t="shared" si="25"/>
        <v>0</v>
      </c>
      <c r="I330" s="1674">
        <f t="shared" si="25"/>
        <v>0</v>
      </c>
      <c r="J330" s="1674">
        <f t="shared" si="25"/>
        <v>0</v>
      </c>
      <c r="K330" s="1674">
        <f>SUM(K319:K329)</f>
        <v>145868</v>
      </c>
      <c r="L330" s="1674">
        <f>SUM(L319:L329)</f>
        <v>192000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145868</v>
      </c>
      <c r="F342" s="1674">
        <f>SUM(F330)</f>
        <v>0</v>
      </c>
      <c r="G342" s="1674">
        <f>SUM(G330)</f>
        <v>0</v>
      </c>
      <c r="H342" s="1674">
        <f>SUM(H330,H334,H340)</f>
        <v>0</v>
      </c>
      <c r="I342" s="1674">
        <f>SUM(I330)</f>
        <v>0</v>
      </c>
      <c r="J342" s="1674">
        <f>SUM(J330)</f>
        <v>0</v>
      </c>
      <c r="K342" s="1674">
        <f>SUM(K330,K334,K340)</f>
        <v>145868</v>
      </c>
      <c r="L342" s="1681">
        <f>SUM(L330,L334,L340,L341)</f>
        <v>192000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-102253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1819</v>
      </c>
      <c r="F349" s="1573"/>
      <c r="G349" s="1573">
        <v>33300</v>
      </c>
      <c r="H349" s="1573"/>
      <c r="I349" s="1574">
        <v>33300</v>
      </c>
      <c r="J349" s="1574"/>
      <c r="K349" s="1672">
        <f>SUM(C349:J349)</f>
        <v>68419</v>
      </c>
      <c r="L349" s="1573">
        <v>540000</v>
      </c>
    </row>
    <row r="350" spans="1:14" ht="12.75" customHeight="1" thickBot="1" x14ac:dyDescent="0.25">
      <c r="A350" s="1380" t="s">
        <v>714</v>
      </c>
      <c r="B350" s="1381" t="s">
        <v>35</v>
      </c>
      <c r="C350" s="1674">
        <f>SUM(C348:C349)</f>
        <v>0</v>
      </c>
      <c r="D350" s="1674">
        <f t="shared" ref="D350:L350" si="26">SUM(D348:D349)</f>
        <v>0</v>
      </c>
      <c r="E350" s="1674">
        <f t="shared" si="26"/>
        <v>1819</v>
      </c>
      <c r="F350" s="1674">
        <f t="shared" si="26"/>
        <v>0</v>
      </c>
      <c r="G350" s="1674">
        <f t="shared" si="26"/>
        <v>33300</v>
      </c>
      <c r="H350" s="1674">
        <f t="shared" si="26"/>
        <v>0</v>
      </c>
      <c r="I350" s="1674">
        <f t="shared" si="26"/>
        <v>33300</v>
      </c>
      <c r="J350" s="1674">
        <f t="shared" si="26"/>
        <v>0</v>
      </c>
      <c r="K350" s="1674">
        <f t="shared" si="26"/>
        <v>68419</v>
      </c>
      <c r="L350" s="1674">
        <f t="shared" si="26"/>
        <v>540000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1819</v>
      </c>
      <c r="F352" s="1674">
        <f t="shared" si="27"/>
        <v>0</v>
      </c>
      <c r="G352" s="1674">
        <f t="shared" si="27"/>
        <v>33300</v>
      </c>
      <c r="H352" s="1674">
        <f t="shared" si="27"/>
        <v>0</v>
      </c>
      <c r="I352" s="1674">
        <f t="shared" si="27"/>
        <v>33300</v>
      </c>
      <c r="J352" s="1674">
        <f t="shared" si="27"/>
        <v>0</v>
      </c>
      <c r="K352" s="1674">
        <f t="shared" si="27"/>
        <v>68419</v>
      </c>
      <c r="L352" s="1674">
        <f t="shared" si="27"/>
        <v>540000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1819</v>
      </c>
      <c r="F367" s="1674">
        <f t="shared" si="28"/>
        <v>0</v>
      </c>
      <c r="G367" s="1674">
        <f t="shared" si="28"/>
        <v>33300</v>
      </c>
      <c r="H367" s="1674">
        <f t="shared" si="28"/>
        <v>0</v>
      </c>
      <c r="I367" s="1674">
        <f t="shared" si="28"/>
        <v>33300</v>
      </c>
      <c r="J367" s="1674">
        <f t="shared" si="28"/>
        <v>0</v>
      </c>
      <c r="K367" s="1674">
        <f t="shared" si="28"/>
        <v>68419</v>
      </c>
      <c r="L367" s="1674">
        <f t="shared" si="28"/>
        <v>540000</v>
      </c>
    </row>
    <row r="368" spans="1:14" ht="13.5" thickTop="1" x14ac:dyDescent="0.2">
      <c r="A368" s="2261" t="s">
        <v>989</v>
      </c>
      <c r="B368" s="2262"/>
      <c r="C368" s="1694"/>
      <c r="D368" s="1694"/>
      <c r="E368" s="1677"/>
      <c r="F368" s="1677"/>
      <c r="G368" s="1677"/>
      <c r="H368" s="1677"/>
      <c r="I368" s="1677"/>
      <c r="J368" s="1676"/>
      <c r="K368" s="1672">
        <f>'Revenues 9-14'!K268-'Expenditures 15-22'!K367</f>
        <v>537930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www.w3.org/XML/1998/namespace"/>
    <ds:schemaRef ds:uri="http://purl.org/dc/elements/1.1/"/>
    <ds:schemaRef ds:uri="http://schemas.microsoft.com/office/infopath/2007/PartnerControls"/>
    <ds:schemaRef ds:uri="6ce3111e-7420-4802-b50a-75d4e9a0b980"/>
    <ds:schemaRef ds:uri="http://purl.org/dc/terms/"/>
    <ds:schemaRef ds:uri="http://schemas.microsoft.com/office/2006/documentManagement/types"/>
    <ds:schemaRef ds:uri="http://schemas.openxmlformats.org/package/2006/metadata/core-properties"/>
    <ds:schemaRef ds:uri="4d435f69-8686-490b-bd6d-b153bf22ab50"/>
    <ds:schemaRef ds:uri="d21dc803-237d-4c68-8692-8d731fd29118"/>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2020-11-19T15:51:55Z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