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88C82A2-6F75-44E0-9BDB-09AC5247BAD4}" xr6:coauthVersionLast="36" xr6:coauthVersionMax="36" xr10:uidLastSave="{00000000-0000-0000-0000-000000000000}"/>
  <bookViews>
    <workbookView xWindow="2580" yWindow="315" windowWidth="24690" windowHeight="1510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F42"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B7153" i="106"/>
  <c r="D7153" i="106" s="1"/>
  <c r="E60" i="184"/>
  <c r="N60" i="184" s="1"/>
  <c r="B7135" i="106"/>
  <c r="D7135" i="106" s="1"/>
  <c r="E58" i="184"/>
  <c r="D31" i="108"/>
  <c r="E16" i="184"/>
  <c r="H16" i="184" s="1"/>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L16" i="11"/>
  <c r="B2061" i="106" s="1"/>
  <c r="D2061" i="106" s="1"/>
  <c r="N23" i="3"/>
  <c r="B284" i="106" s="1"/>
  <c r="D284" i="106" s="1"/>
  <c r="K342" i="29"/>
  <c r="F13" i="34" s="1"/>
  <c r="N58" i="184"/>
  <c r="N68" i="184" s="1"/>
  <c r="E68" i="184"/>
  <c r="F41" i="108"/>
  <c r="G43" i="108" s="1"/>
  <c r="L114" i="29"/>
  <c r="G170" i="5"/>
  <c r="B5778" i="106" s="1"/>
  <c r="D5778"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<sst xmlns="http://schemas.openxmlformats.org/spreadsheetml/2006/main" count="5144" uniqueCount="2077">
  <si>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</si>
  <si>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</si>
  <si>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</si>
  <si>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</si>
  <si>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</si>
  <si>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</si>
  <si>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</si>
  <si>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</si>
  <si>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</si>
  <si>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</si>
  <si>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</si>
  <si>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</si>
  <si>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</si>
  <si>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</si>
  <si>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</si>
  <si>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</si>
  <si>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</si>
  <si>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</si>
  <si>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</si>
  <si>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</si>
  <si>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</si>
  <si>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</si>
  <si>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</si>
  <si>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</si>
  <si>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</si>
  <si>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</si>
  <si>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</si>
  <si>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</si>
  <si>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</si>
  <si>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</si>
  <si>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</si>
  <si>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</si>
  <si>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</si>
  <si>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</si>
  <si>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</si>
  <si>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</si>
  <si>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</si>
  <si>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</si>
  <si>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</si>
  <si>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</si>
  <si>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</si>
  <si>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</si>
  <si>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</si>
  <si>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</si>
  <si>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</si>
  <si>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</si>
  <si>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</si>
  <si>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</si>
  <si>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</si>
  <si>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</si>
  <si>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</si>
  <si>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</si>
  <si>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</si>
  <si>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</si>
  <si>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</si>
  <si>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</si>
  <si>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</si>
  <si>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</si>
  <si>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</si>
  <si>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</si>
  <si>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</si>
  <si>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</si>
  <si>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</si>
  <si>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</si>
  <si>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</si>
  <si>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</si>
  <si>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</si>
  <si>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</si>
  <si>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</si>
  <si>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</si>
  <si>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</si>
  <si>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</si>
  <si>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</si>
  <si>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</si>
  <si>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</si>
  <si>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</si>
  <si>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</si>
  <si>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</si>
  <si>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</si>
  <si>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</si>
  <si>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</si>
  <si>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</si>
  <si>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</si>
  <si>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</si>
  <si>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</si>
  <si>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</si>
  <si>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</si>
  <si>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</si>
  <si>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</si>
  <si>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</si>
  <si>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</si>
  <si>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</si>
  <si>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</si>
  <si>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</si>
  <si>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</si>
  <si>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</si>
  <si>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</si>
  <si>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</si>
  <si>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</si>
  <si>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</si>
  <si>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</si>
  <si>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</si>
  <si>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</si>
  <si>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</si>
  <si>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</si>
  <si>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</si>
  <si>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</si>
  <si>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</si>
  <si>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</si>
  <si>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</si>
  <si>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</si>
  <si>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</si>
  <si>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</si>
  <si>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</si>
  <si>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</si>
  <si>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</si>
  <si>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</si>
  <si>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</si>
  <si>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</si>
  <si>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</si>
  <si>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</si>
  <si>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</si>
  <si>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</si>
  <si>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</si>
  <si>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</si>
  <si>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</si>
  <si>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</si>
  <si>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</si>
  <si>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</si>
  <si>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</si>
  <si>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</si>
  <si>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</si>
  <si>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</si>
  <si>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</si>
  <si>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</si>
  <si>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</si>
  <si>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</si>
  <si>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</si>
  <si>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</si>
  <si>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</si>
  <si>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</si>
  <si>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</si>
  <si>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</si>
  <si>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</si>
  <si>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</si>
  <si>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</si>
  <si>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</si>
  <si>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</si>
  <si>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</si>
  <si>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</si>
  <si>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</si>
  <si>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</si>
  <si>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</si>
  <si>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</si>
  <si>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</si>
  <si>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</si>
  <si>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</si>
  <si>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</si>
  <si>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</si>
  <si>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</si>
  <si>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</si>
  <si>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</si>
  <si>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</si>
  <si>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</si>
  <si>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</si>
  <si>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</si>
  <si>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</si>
  <si>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</si>
  <si>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</si>
  <si>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</si>
  <si>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</si>
  <si>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</si>
  <si>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</si>
  <si>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</si>
  <si>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</si>
  <si>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</si>
  <si>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</si>
  <si>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</si>
  <si>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</si>
  <si>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</si>
  <si>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</si>
  <si>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</si>
  <si>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</si>
  <si>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</si>
  <si>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</si>
  <si>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</si>
  <si>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</si>
  <si>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</si>
  <si>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</si>
  <si>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</si>
  <si>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</si>
  <si>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</si>
  <si>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</si>
  <si>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</si>
  <si>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</si>
  <si>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</si>
  <si>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</si>
  <si>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</si>
  <si>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</si>
  <si>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</si>
  <si>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</si>
  <si>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</si>
  <si>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</si>
  <si>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</si>
  <si>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</si>
  <si>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</si>
  <si>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</si>
  <si>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</si>
  <si>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</si>
  <si>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</si>
  <si>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</si>
  <si>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</si>
  <si>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</si>
  <si>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</si>
  <si>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</si>
  <si>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</si>
  <si>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</si>
  <si>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</si>
  <si>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</si>
  <si>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</si>
  <si>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</si>
  <si>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</si>
  <si>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</si>
  <si>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</si>
  <si>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</si>
  <si>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</si>
  <si>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</si>
  <si>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</si>
  <si>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</si>
  <si>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</si>
  <si>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</si>
  <si>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</si>
  <si>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</si>
  <si>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</si>
  <si>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</si>
  <si>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</si>
  <si>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</si>
  <si>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</si>
  <si>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</si>
  <si>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</si>
  <si>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</si>
  <si>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</si>
  <si>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</si>
  <si>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</si>
  <si>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</si>
  <si>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</si>
  <si>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</si>
  <si>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</si>
  <si>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</si>
  <si>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</si>
  <si>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</si>
  <si>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</si>
  <si>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</si>
  <si>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</si>
  <si>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</si>
  <si>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</si>
  <si>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</si>
  <si>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</si>
  <si>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</si>
  <si>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</si>
  <si>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</si>
  <si>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</si>
  <si>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</si>
  <si>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</si>
  <si>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</si>
  <si>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</si>
  <si>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</si>
  <si>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</si>
  <si>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</si>
  <si>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</si>
  <si>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</si>
  <si>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</si>
  <si>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</si>
  <si>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</si>
  <si>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</si>
  <si>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</si>
  <si>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</si>
  <si>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</si>
  <si>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</si>
  <si>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</si>
  <si>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</si>
  <si>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</si>
  <si>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</si>
  <si>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</si>
  <si>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</si>
  <si>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</si>
  <si>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</si>
  <si>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</si>
  <si>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</si>
  <si>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</si>
  <si>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</si>
  <si>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</si>
  <si>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</si>
  <si>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</si>
  <si>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</si>
  <si>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</si>
  <si>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</si>
  <si>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</si>
  <si>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</si>
  <si>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</si>
  <si>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</si>
  <si>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</si>
  <si>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</si>
  <si>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</si>
  <si>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</si>
  <si>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</si>
  <si>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</si>
  <si>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</si>
  <si>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</si>
  <si>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</si>
  <si>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</si>
  <si>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</si>
  <si>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</si>
  <si>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</si>
  <si>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</si>
  <si>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</si>
  <si>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</si>
  <si>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</si>
  <si>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</si>
  <si>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</si>
  <si>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</si>
  <si>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</si>
  <si>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</si>
  <si>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</si>
  <si>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</si>
  <si>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</si>
  <si>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</si>
  <si>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</si>
  <si>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</si>
  <si>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</si>
  <si>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</si>
  <si>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</si>
  <si>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</si>
  <si>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</si>
  <si>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</si>
  <si>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</si>
  <si>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</si>
  <si>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</si>
  <si>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</si>
  <si>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</si>
  <si>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</si>
  <si>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</si>
  <si>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</si>
  <si>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</si>
  <si>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</si>
  <si>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</si>
  <si>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</si>
  <si>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</si>
  <si>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</si>
  <si>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</si>
  <si>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</si>
  <si>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</si>
  <si>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</si>
  <si>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</si>
  <si>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</si>
  <si>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</si>
  <si>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</si>
  <si>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</si>
  <si>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</si>
  <si>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</si>
  <si>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</si>
  <si>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</si>
  <si>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</si>
  <si>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</si>
  <si>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</si>
  <si>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</si>
  <si>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</si>
  <si>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</si>
  <si>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</si>
  <si>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</si>
  <si>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</si>
  <si>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</si>
  <si>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</si>
  <si>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</si>
  <si>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</si>
  <si>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</si>
  <si>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</si>
  <si>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</si>
  <si>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</si>
  <si>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</si>
  <si>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</si>
  <si>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</si>
  <si>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</si>
  <si>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</si>
  <si>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</si>
  <si>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</si>
  <si>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</si>
  <si>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</si>
  <si>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</si>
  <si>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</si>
  <si>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</si>
  <si>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</si>
  <si>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</si>
  <si>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</si>
  <si>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</si>
  <si>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</si>
  <si>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</si>
  <si>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</si>
  <si>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</si>
  <si>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</si>
  <si>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</si>
  <si>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</si>
  <si>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</si>
  <si>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</si>
  <si>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</si>
  <si>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</si>
  <si>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</si>
  <si>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</si>
  <si>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</si>
  <si>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</si>
  <si>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</si>
  <si>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</si>
  <si>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</si>
  <si>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</si>
  <si>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</si>
  <si>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</si>
  <si>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</si>
  <si>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</si>
  <si>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</si>
  <si>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</si>
  <si>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</si>
  <si>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</si>
  <si>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</si>
  <si>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</si>
  <si>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</si>
  <si>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</si>
  <si>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</si>
  <si>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</si>
  <si>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</si>
  <si>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</si>
  <si>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</si>
  <si>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</si>
  <si>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</si>
  <si>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</si>
  <si>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</si>
  <si>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</si>
  <si>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</si>
  <si>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</si>
  <si>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</si>
  <si>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</si>
  <si>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</si>
  <si>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</si>
  <si>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</si>
  <si>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</si>
  <si>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</si>
  <si>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</si>
  <si>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</si>
  <si>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</si>
  <si>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</si>
  <si>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</si>
  <si>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</si>
  <si>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</si>
  <si>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</si>
  <si>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</si>
  <si>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</si>
  <si>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</si>
  <si>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</si>
  <si>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</si>
  <si>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</si>
  <si>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</si>
  <si>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</si>
  <si>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</si>
  <si>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</si>
  <si>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</si>
  <si>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</si>
  <si>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</si>
  <si>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</si>
  <si>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</si>
  <si>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</si>
  <si>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</si>
  <si>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</si>
  <si>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</si>
  <si>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</si>
  <si>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</si>
  <si>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</si>
  <si>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</si>
  <si>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</si>
  <si>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</si>
  <si>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</si>
  <si>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</si>
  <si>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</si>
  <si>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</si>
  <si>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</si>
  <si>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</si>
  <si>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</si>
  <si>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</si>
  <si>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</si>
  <si>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</si>
  <si>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</si>
  <si>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</si>
  <si>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</si>
  <si>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</si>
  <si>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</si>
  <si>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</si>
  <si>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</si>
  <si>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</si>
  <si>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</si>
  <si>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</si>
  <si>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</si>
  <si>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</si>
  <si>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</si>
  <si>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</si>
  <si>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</si>
  <si>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</si>
  <si>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</si>
  <si>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</si>
  <si>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</si>
  <si>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</si>
  <si>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</si>
  <si>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</si>
  <si>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</si>
  <si>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</si>
  <si>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</si>
  <si>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</si>
  <si>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</si>
  <si>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</si>
  <si>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</si>
  <si>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</si>
  <si>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</si>
  <si>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</si>
  <si>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</si>
  <si>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</si>
  <si>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</si>
  <si>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</si>
  <si>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</si>
  <si>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</si>
  <si>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</si>
  <si>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</si>
  <si>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</si>
  <si>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</si>
  <si>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</si>
  <si>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</si>
  <si>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</si>
  <si>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</si>
  <si>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</si>
  <si>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</si>
  <si>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</si>
  <si>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</si>
  <si>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</si>
  <si>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</si>
  <si>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</si>
  <si>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</si>
  <si>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</si>
  <si>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</si>
  <si>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</si>
  <si>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</si>
  <si>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</si>
  <si>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</si>
  <si>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</si>
  <si>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</si>
  <si>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</si>
  <si>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</si>
  <si>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</si>
  <si>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</si>
  <si>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</si>
  <si>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</si>
  <si>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</si>
  <si>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</si>
  <si>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</si>
  <si>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</si>
  <si>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</si>
  <si>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</si>
  <si>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</si>
  <si>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</si>
  <si>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</si>
  <si>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</si>
  <si>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</si>
  <si>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</si>
  <si>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</si>
  <si>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</si>
  <si>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</si>
  <si>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</si>
  <si>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</si>
  <si>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</si>
  <si>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</si>
  <si>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</si>
  <si>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</si>
  <si>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</si>
  <si>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</si>
  <si>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</si>
  <si>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</si>
  <si>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</si>
  <si>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</si>
  <si>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</si>
  <si>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</si>
  <si>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</si>
  <si>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</si>
  <si>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</si>
  <si>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</si>
  <si>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</si>
  <si>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</si>
  <si>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</si>
  <si>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</si>
  <si>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</si>
  <si>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</si>
  <si>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</si>
  <si>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</si>
  <si>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</si>
  <si>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</si>
  <si>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</si>
  <si>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</si>
  <si>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</si>
  <si>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</si>
  <si>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</si>
  <si>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</si>
  <si>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</si>
  <si>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</si>
  <si>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</si>
  <si>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</si>
  <si>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</si>
  <si>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</si>
  <si>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</si>
  <si>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</si>
  <si>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</si>
  <si>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</si>
  <si>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</si>
  <si>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</si>
  <si>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</si>
  <si>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</si>
  <si>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</si>
  <si>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</si>
  <si>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</si>
  <si>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</si>
  <si>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</si>
  <si>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</si>
  <si>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</si>
  <si>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</si>
  <si>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</si>
  <si>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</si>
  <si>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</si>
  <si>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</si>
  <si>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</si>
  <si>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</si>
  <si>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</si>
  <si>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</si>
  <si>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</si>
  <si>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</si>
  <si>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</si>
  <si>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</si>
  <si>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</si>
  <si>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</si>
  <si>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</si>
  <si>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</si>
  <si>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</si>
  <si>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</si>
  <si>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</si>
  <si>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</si>
  <si>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</si>
  <si>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</si>
  <si>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</si>
  <si>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</si>
  <si>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</si>
  <si>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</si>
  <si>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</si>
  <si>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</si>
  <si>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</si>
  <si>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</si>
  <si>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</si>
  <si>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</si>
  <si>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</si>
  <si>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</si>
  <si>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</si>
  <si>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</si>
  <si>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</si>
  <si>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</si>
  <si>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</si>
  <si>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</si>
  <si>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</si>
  <si>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</si>
  <si>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</si>
  <si>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</si>
  <si>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</si>
  <si>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</si>
  <si>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</si>
  <si>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</si>
  <si>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</si>
  <si>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</si>
  <si>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</si>
  <si>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</si>
  <si>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</si>
  <si>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</si>
  <si>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</si>
  <si>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</si>
  <si>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</si>
  <si>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</si>
  <si>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</si>
  <si>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</si>
  <si>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</si>
  <si>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</si>
  <si>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</si>
  <si>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</si>
  <si>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</si>
  <si>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</si>
  <si>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</si>
  <si>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</si>
  <si>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</si>
  <si>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</si>
  <si>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</si>
  <si>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</si>
  <si>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</si>
  <si>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</si>
  <si>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</si>
  <si>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</si>
  <si>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</si>
  <si>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</si>
  <si>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</si>
  <si>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</si>
  <si>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</si>
  <si>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</si>
  <si>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</si>
  <si>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</si>
  <si>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</si>
  <si>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</si>
  <si>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</si>
  <si>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</si>
  <si>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</si>
  <si>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</si>
  <si>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</si>
  <si>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</si>
  <si>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</si>
  <si>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</si>
  <si>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</si>
  <si>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</si>
  <si>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</si>
  <si>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</si>
  <si>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</si>
  <si>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</si>
  <si>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</si>
  <si>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</si>
  <si>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</si>
  <si>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</si>
  <si>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</si>
  <si>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</si>
  <si>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</si>
  <si>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</si>
  <si>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</si>
  <si>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</si>
  <si>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</si>
  <si>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</si>
  <si>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</si>
  <si>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</si>
  <si>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</si>
  <si>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</si>
  <si>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</si>
  <si>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</si>
  <si>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</si>
  <si>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</si>
  <si>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</si>
  <si>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</si>
  <si>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</si>
  <si>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</si>
  <si>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</si>
  <si>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</si>
  <si>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</si>
  <si>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</si>
  <si>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</si>
  <si>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</si>
  <si>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</si>
  <si>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</si>
  <si>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</si>
  <si>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</si>
  <si>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</si>
  <si>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</si>
  <si>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</si>
  <si>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</si>
  <si>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</si>
  <si>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</si>
  <si>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</si>
  <si>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</si>
  <si>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</si>
  <si>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</si>
  <si>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</si>
  <si>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</si>
  <si>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</si>
  <si>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</si>
  <si>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</si>
  <si>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</si>
  <si>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</si>
  <si>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</si>
  <si>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</si>
  <si>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</si>
  <si>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</si>
  <si>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</si>
  <si>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</si>
  <si>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</si>
  <si>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</si>
  <si>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</si>
  <si>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</si>
  <si>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</si>
  <si>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</si>
  <si>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</si>
  <si>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</si>
  <si>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</si>
  <si>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</si>
  <si>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</si>
  <si>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</si>
  <si>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</si>
  <si>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</si>
  <si>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</si>
  <si>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</si>
  <si>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</si>
  <si>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</si>
  <si>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</si>
  <si>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</si>
  <si>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</si>
  <si>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</si>
  <si>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</si>
  <si>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</si>
  <si>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</si>
  <si>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</si>
  <si>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</si>
  <si>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</si>
  <si>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</si>
  <si>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</si>
  <si>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</si>
  <si>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</si>
  <si>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</si>
  <si>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</si>
  <si>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</si>
  <si>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</si>
  <si>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</si>
  <si>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</si>
  <si>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</si>
  <si>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</si>
  <si>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</si>
  <si>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</si>
  <si>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</si>
  <si>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</si>
  <si>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</si>
  <si>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</si>
  <si>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</si>
  <si>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</si>
  <si>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</si>
  <si>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</si>
  <si>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</si>
  <si>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</si>
  <si>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</si>
  <si>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</si>
  <si>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</si>
  <si>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</si>
  <si>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</si>
  <si>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</si>
  <si>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</si>
  <si>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</si>
  <si>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</si>
  <si>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</si>
  <si>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</si>
  <si>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</si>
  <si>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</si>
  <si>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</si>
  <si>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</si>
  <si>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</si>
  <si>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</si>
  <si>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</si>
  <si>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</si>
  <si>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</si>
  <si>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</si>
  <si>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</si>
  <si>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</si>
  <si>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</si>
  <si>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</si>
  <si>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</si>
  <si>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</si>
  <si>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</si>
  <si>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</si>
  <si>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</si>
  <si>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</si>
  <si>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</si>
  <si>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</si>
  <si>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</si>
  <si>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</si>
  <si>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</si>
  <si>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</si>
  <si>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</si>
  <si>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</si>
  <si>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</si>
  <si>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</si>
  <si>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</si>
  <si>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</si>
  <si>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</si>
  <si>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</si>
  <si>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</si>
  <si>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</si>
  <si>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</si>
  <si>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</si>
  <si>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</si>
  <si>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</si>
  <si>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</si>
  <si>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</si>
  <si>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</si>
  <si>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</si>
  <si>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</si>
  <si>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</si>
  <si>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</si>
  <si>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</si>
  <si>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</si>
  <si>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</si>
  <si>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</si>
  <si>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</si>
  <si>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</si>
  <si>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</si>
  <si>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</si>
  <si>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</si>
  <si>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</si>
  <si>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</si>
  <si>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</si>
  <si>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</si>
  <si>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</si>
  <si>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</si>
  <si>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</si>
  <si>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</si>
  <si>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</si>
  <si>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</si>
  <si>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</si>
  <si>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</si>
  <si>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</si>
  <si>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</si>
  <si>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</si>
  <si>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</si>
  <si>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</si>
  <si>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</si>
  <si>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</si>
  <si>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</si>
  <si>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</si>
  <si>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</si>
  <si>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</si>
  <si>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</si>
  <si>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</si>
  <si>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</si>
  <si>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</si>
  <si>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</si>
  <si>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</si>
  <si>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</si>
  <si>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</si>
  <si>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</si>
  <si>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</si>
  <si>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</si>
  <si>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</si>
  <si>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</si>
  <si>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</si>
  <si>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</si>
  <si>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</si>
  <si>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</si>
  <si>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</si>
  <si>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</si>
  <si>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</si>
  <si>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</si>
  <si>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</si>
  <si>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</si>
  <si>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</si>
  <si>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</si>
  <si>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</si>
  <si>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</si>
  <si>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</si>
  <si>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</si>
  <si>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</si>
  <si>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</si>
  <si>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</si>
  <si>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</si>
  <si>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</si>
  <si>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</si>
  <si>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</si>
  <si>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</si>
  <si>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</si>
  <si>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</si>
  <si>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</si>
  <si>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</si>
  <si>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</si>
  <si>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</si>
  <si>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</si>
  <si>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</si>
  <si>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</si>
  <si>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</si>
  <si>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</si>
  <si>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</si>
  <si>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</si>
  <si>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</si>
  <si>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</si>
  <si>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</si>
  <si>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</si>
  <si>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</si>
  <si>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</si>
  <si>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</si>
  <si>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</si>
  <si>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</si>
  <si>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</si>
  <si>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</si>
  <si>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</si>
  <si>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</si>
  <si>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</si>
  <si>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</si>
  <si>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</si>
  <si>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</si>
  <si>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</si>
  <si>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</si>
  <si>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</si>
  <si>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</si>
  <si>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</si>
  <si>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</si>
  <si>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</si>
  <si>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</si>
  <si>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</si>
  <si>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</si>
  <si>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</si>
  <si>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</si>
  <si>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</si>
  <si>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</si>
  <si>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</si>
  <si>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</si>
  <si>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</si>
  <si>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</si>
  <si>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</si>
  <si>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</si>
  <si>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</si>
  <si>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</si>
  <si>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</si>
  <si>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</si>
  <si>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</si>
  <si>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</si>
  <si>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</si>
  <si>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</si>
  <si>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</si>
  <si>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</si>
  <si>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</si>
  <si>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</si>
  <si>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</si>
  <si>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</si>
  <si>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</si>
  <si>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</si>
  <si>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</si>
  <si>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</si>
  <si>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</si>
  <si>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</si>
  <si>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</si>
  <si>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</si>
  <si>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</si>
  <si>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</si>
  <si>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</si>
  <si>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</si>
  <si>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</si>
  <si>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</si>
  <si>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</si>
  <si>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</si>
  <si>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</si>
  <si>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</si>
  <si>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</si>
  <si>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</si>
  <si>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</si>
  <si>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</si>
  <si>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</si>
  <si>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</si>
  <si>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</si>
  <si>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</si>
  <si>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</si>
  <si>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</si>
  <si>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</si>
  <si>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</si>
  <si>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</si>
  <si>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</si>
  <si>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</si>
  <si>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</si>
  <si>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</si>
  <si>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</si>
  <si>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</si>
  <si>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</si>
  <si>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</si>
  <si>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</si>
  <si>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</si>
  <si>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</si>
  <si>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</si>
  <si>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</si>
  <si>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</si>
  <si>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</si>
  <si>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</si>
  <si>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</si>
  <si>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</si>
  <si>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</si>
  <si>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</si>
  <si>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</si>
  <si>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</si>
  <si>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</si>
  <si>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</si>
  <si>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</si>
  <si>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</si>
  <si>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</si>
  <si>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</si>
  <si>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</si>
  <si>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</si>
  <si>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</si>
  <si>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</si>
  <si>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</si>
  <si>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</si>
  <si>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</si>
  <si>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</si>
  <si>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</si>
  <si>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</si>
  <si>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</si>
  <si>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</si>
  <si>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</si>
  <si>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</si>
  <si>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</si>
  <si>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</si>
  <si>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</si>
  <si>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</si>
  <si>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</si>
  <si>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</si>
  <si>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</si>
  <si>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</si>
  <si>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</si>
  <si>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</si>
  <si>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</si>
  <si>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</si>
  <si>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</si>
  <si>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</si>
  <si>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</si>
  <si>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</si>
  <si>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</si>
  <si>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</si>
  <si>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</si>
  <si>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</si>
  <si>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</si>
  <si>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</si>
  <si>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</si>
  <si>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</si>
  <si>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</si>
  <si>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</si>
  <si>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</si>
  <si>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</si>
  <si>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</si>
  <si>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</si>
  <si>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</si>
  <si>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</si>
  <si>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</si>
  <si>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</si>
  <si>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</si>
  <si>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</si>
  <si>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</si>
  <si>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</si>
  <si>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</si>
  <si>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</si>
  <si>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</si>
  <si>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</si>
  <si>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</si>
  <si>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</si>
  <si>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</si>
  <si>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</si>
  <si>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</si>
  <si>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</si>
  <si>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</si>
  <si>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</si>
  <si>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</si>
  <si>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</si>
  <si>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</si>
  <si>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</si>
  <si>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</si>
  <si>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</si>
  <si>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</si>
  <si>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</si>
  <si>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</si>
  <si>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</si>
  <si>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</si>
  <si>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</si>
  <si>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</si>
  <si>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</si>
  <si>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</si>
  <si>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</si>
  <si>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</si>
  <si>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</si>
  <si>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</si>
  <si>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</si>
  <si>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</si>
  <si>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</si>
  <si>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</si>
  <si>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</si>
  <si>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</si>
  <si>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</si>
  <si>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</si>
  <si>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</si>
  <si>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</si>
  <si>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</si>
  <si>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</si>
  <si>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</si>
  <si>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</si>
  <si>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</si>
  <si>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</si>
  <si>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</si>
  <si>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</si>
  <si>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</si>
  <si>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</si>
  <si>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</si>
  <si>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</si>
  <si>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</si>
  <si>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</si>
  <si>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</si>
  <si>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</si>
  <si>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</si>
  <si>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</si>
  <si>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</si>
  <si>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</si>
  <si>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</si>
  <si>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</si>
  <si>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</si>
  <si>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</si>
  <si>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</si>
  <si>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</si>
  <si>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</si>
  <si>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</si>
  <si>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</si>
  <si>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</si>
  <si>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</si>
  <si>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</si>
  <si>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</si>
  <si>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</si>
  <si>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</si>
  <si>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</si>
  <si>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</si>
  <si>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</si>
  <si>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</si>
  <si>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</si>
  <si>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</si>
  <si>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</si>
  <si>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</si>
  <si>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</si>
  <si>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</si>
  <si>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</si>
  <si>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</si>
  <si>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</si>
  <si>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</si>
  <si>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</si>
  <si>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</si>
  <si>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</si>
  <si>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</si>
  <si>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</si>
  <si>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</si>
  <si>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</si>
  <si>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</si>
  <si>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</si>
  <si>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</si>
  <si>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</si>
  <si>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</si>
  <si>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</si>
  <si>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</si>
  <si>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</si>
  <si>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</si>
  <si>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</si>
  <si>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</si>
  <si>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</si>
  <si>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</si>
  <si>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</si>
  <si>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</si>
  <si>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</si>
  <si>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</si>
  <si>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</si>
  <si>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</si>
  <si>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</si>
  <si>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</si>
  <si>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</si>
  <si>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</si>
  <si>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</si>
  <si>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</si>
  <si>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</si>
  <si>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</si>
  <si>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</si>
  <si>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</si>
  <si>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</si>
  <si>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</si>
  <si>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</si>
  <si>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</si>
  <si>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</si>
  <si>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</si>
  <si>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</si>
  <si>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</si>
  <si>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</si>
  <si>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</si>
  <si>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</si>
  <si>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</si>
  <si>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</si>
  <si>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</si>
  <si>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</si>
  <si>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</si>
  <si>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</si>
  <si>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</si>
  <si>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</si>
  <si>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</si>
  <si>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</si>
  <si>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</si>
  <si>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</si>
  <si>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</si>
  <si>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</si>
  <si>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</si>
  <si>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</si>
  <si>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</si>
  <si>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</si>
  <si>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</si>
  <si>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</si>
  <si>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</si>
  <si>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</si>
  <si>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</si>
  <si>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</si>
  <si>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</si>
  <si>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</si>
  <si>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</si>
  <si>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</si>
  <si>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</si>
  <si>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</si>
  <si>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</si>
  <si>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</si>
  <si>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</si>
  <si>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</si>
  <si>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</si>
  <si>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</si>
  <si>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</si>
  <si>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</si>
  <si>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</si>
  <si>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</si>
  <si>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</si>
  <si>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</si>
  <si>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</si>
  <si>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</si>
  <si>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</si>
  <si>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</si>
  <si>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</si>
  <si>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</si>
  <si>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</si>
  <si>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</si>
  <si>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</si>
  <si>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</si>
  <si>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</si>
  <si>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</si>
  <si>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</si>
  <si>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</si>
  <si>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</si>
  <si>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</si>
  <si>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</si>
  <si>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</si>
  <si>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</si>
  <si>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</si>
  <si>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</si>
  <si>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</si>
  <si>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</si>
  <si>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</si>
  <si>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</si>
  <si>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</si>
  <si>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</si>
  <si>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</si>
  <si>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</si>
  <si>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</si>
  <si>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</si>
  <si>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</si>
  <si>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</si>
  <si>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</si>
  <si>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</si>
  <si>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</si>
  <si>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</si>
  <si>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</si>
  <si>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</si>
  <si>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</si>
  <si>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</si>
  <si>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</si>
  <si>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</si>
  <si>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</si>
  <si>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</si>
  <si>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</si>
  <si>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</si>
  <si>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</si>
  <si>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</si>
  <si>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</si>
  <si>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</si>
  <si>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</si>
  <si>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</si>
  <si>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</si>
  <si>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</si>
  <si>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</si>
  <si>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</si>
  <si>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</si>
  <si>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</si>
  <si>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</si>
  <si>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</si>
  <si>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</si>
  <si>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</si>
  <si>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</si>
  <si>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</si>
  <si>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</si>
  <si>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</si>
  <si>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</si>
  <si>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</si>
  <si>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</si>
  <si>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</si>
  <si>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</si>
  <si>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</si>
  <si>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</si>
  <si>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</si>
  <si>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</si>
  <si>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</si>
  <si>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</si>
  <si>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</si>
  <si>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</si>
  <si>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</si>
  <si>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</si>
  <si>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</si>
  <si>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</si>
  <si>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</si>
  <si>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</si>
  <si>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</si>
  <si>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</si>
  <si>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</si>
  <si>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</si>
  <si>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</si>
  <si>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</si>
  <si>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</si>
  <si>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</si>
  <si>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</si>
  <si>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</si>
  <si>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</si>
  <si>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</si>
  <si>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</si>
  <si>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</si>
  <si>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</si>
  <si>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</si>
  <si>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</si>
  <si>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</si>
  <si>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</si>
  <si>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</si>
  <si>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</si>
  <si>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</si>
  <si>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</si>
  <si>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</si>
  <si>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</si>
  <si>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</si>
  <si>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</si>
  <si>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</si>
  <si>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</si>
  <si>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</si>
  <si>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</si>
  <si>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</si>
  <si>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</si>
  <si>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</si>
  <si>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</si>
  <si>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</si>
  <si>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</si>
  <si>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</si>
  <si>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</si>
  <si>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</si>
  <si>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</si>
  <si>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</si>
  <si>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</si>
  <si>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</si>
  <si>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</si>
  <si>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</si>
  <si>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</si>
  <si>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</si>
  <si>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</si>
  <si>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</si>
  <si>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</si>
  <si>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</si>
  <si>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</si>
  <si>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</si>
  <si>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</si>
  <si>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</si>
  <si>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</si>
  <si>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</si>
  <si>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</si>
  <si>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</si>
  <si>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</si>
  <si>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</si>
  <si>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</si>
  <si>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</si>
  <si>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</si>
  <si>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</si>
  <si>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</si>
  <si>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</si>
  <si>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</si>
  <si>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</si>
  <si>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</si>
  <si>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</si>
  <si>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</si>
  <si>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</si>
  <si>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</si>
  <si>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</si>
  <si>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</si>
  <si>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</si>
  <si>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</si>
  <si>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</si>
  <si>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</si>
  <si>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</si>
  <si>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</si>
  <si>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</si>
  <si>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</si>
  <si>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</si>
  <si>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</si>
  <si>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</si>
  <si>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</si>
  <si>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</si>
  <si>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</si>
  <si>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</si>
  <si>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</si>
  <si>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</si>
  <si>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</si>
  <si>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</si>
  <si>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</si>
  <si>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</si>
  <si>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</si>
  <si>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</si>
  <si>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</si>
  <si>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</si>
  <si>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</si>
  <si>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</si>
  <si>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</si>
  <si>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</si>
  <si>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</si>
  <si>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</si>
  <si>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</si>
  <si>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</si>
  <si>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</si>
  <si>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</si>
  <si>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</si>
  <si>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</si>
  <si>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</si>
  <si>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</si>
  <si>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</si>
  <si>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</si>
  <si>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</si>
  <si>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</si>
  <si>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</si>
  <si>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</si>
  <si>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</si>
  <si>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</si>
  <si>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</si>
  <si>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</si>
  <si>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</si>
  <si>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</si>
  <si>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</si>
  <si>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</si>
  <si>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</si>
  <si>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</si>
  <si>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</si>
  <si>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</si>
  <si>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</si>
  <si>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</si>
  <si>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</si>
  <si>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</si>
  <si>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</si>
  <si>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</si>
  <si>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</si>
  <si>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</si>
  <si>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</si>
  <si>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</si>
  <si>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</si>
  <si>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</si>
  <si>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</si>
  <si>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</si>
  <si>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</si>
  <si>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</si>
  <si>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</si>
  <si>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</si>
  <si>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</si>
  <si>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</si>
  <si>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</si>
  <si>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</si>
  <si>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</si>
  <si>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</si>
  <si>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</si>
  <si>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</si>
  <si>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</si>
  <si>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</si>
  <si>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</si>
  <si>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</si>
  <si>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</si>
  <si>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</si>
  <si>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</si>
  <si>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</si>
  <si>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</si>
  <si>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</si>
  <si>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</si>
  <si>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</si>
  <si>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</si>
  <si>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</si>
  <si>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</si>
  <si>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</si>
  <si>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</si>
  <si>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</si>
  <si>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</si>
  <si>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</si>
  <si>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</si>
  <si>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</si>
  <si>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</si>
  <si>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</si>
  <si>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</si>
  <si>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</si>
  <si>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</si>
  <si>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</si>
  <si>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</si>
  <si>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</si>
  <si>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</si>
  <si>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</si>
  <si>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</si>
  <si>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</si>
  <si>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</si>
  <si>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</si>
  <si>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</si>
  <si>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</si>
  <si>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</si>
  <si>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</si>
  <si>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</si>
  <si>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</si>
  <si>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</si>
  <si>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</si>
  <si>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</si>
  <si>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</si>
  <si>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</si>
  <si>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</si>
  <si>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</si>
  <si>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</si>
  <si>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</si>
  <si>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</si>
  <si>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</si>
  <si>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</si>
  <si>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</si>
  <si>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</si>
  <si>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</si>
  <si>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</si>
  <si>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</si>
  <si>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</si>
  <si>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</si>
  <si>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</si>
  <si>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</si>
  <si>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</si>
  <si>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</si>
  <si>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</si>
  <si>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</si>
  <si>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</si>
  <si>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</si>
  <si>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</si>
  <si>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</si>
  <si>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</si>
  <si>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</si>
  <si>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</si>
  <si>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</si>
  <si>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</si>
  <si>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</si>
  <si>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</si>
  <si>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</si>
  <si>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</si>
  <si>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</si>
  <si>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</si>
  <si>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</si>
  <si>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</si>
  <si>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</si>
  <si>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</si>
  <si>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</si>
  <si>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</si>
  <si>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</si>
  <si>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</si>
  <si>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</si>
  <si>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</si>
  <si>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</si>
  <si>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</si>
  <si>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</si>
  <si>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</si>
  <si>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</si>
  <si>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</si>
  <si>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</si>
  <si>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</si>
  <si>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</si>
  <si>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</si>
  <si>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</si>
  <si>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</si>
  <si>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</si>
  <si>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</si>
  <si>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</si>
  <si>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</si>
  <si>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</si>
  <si>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</si>
  <si>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</si>
  <si>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</si>
  <si>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</si>
  <si>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</si>
  <si>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</si>
  <si>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</si>
  <si>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</si>
  <si>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</si>
  <si>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</si>
  <si>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</si>
  <si>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</si>
  <si>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</si>
  <si>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</si>
  <si>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</si>
  <si>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</si>
  <si>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</si>
  <si>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</si>
  <si>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</si>
  <si>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</si>
  <si>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</si>
  <si>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</si>
  <si>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</si>
  <si>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</si>
  <si>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</si>
  <si>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</si>
  <si>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</si>
  <si>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</si>
  <si>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</si>
  <si>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</si>
  <si>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</si>
  <si>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</si>
  <si>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</si>
  <si>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</si>
  <si>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</si>
  <si>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</si>
  <si>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</si>
  <si>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</si>
  <si>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</si>
  <si>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</si>
  <si>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</si>
  <si>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</si>
  <si>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</si>
  <si>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</si>
  <si>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</si>
  <si>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</si>
  <si>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</si>
  <si>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</si>
  <si>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</si>
  <si>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</si>
  <si>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</si>
  <si>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</si>
  <si>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</si>
  <si>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</si>
  <si>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</si>
  <si>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</si>
  <si>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</si>
  <si>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</si>
  <si>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</si>
  <si>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</si>
  <si>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</si>
  <si>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</si>
  <si>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</si>
  <si>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</si>
  <si>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</si>
  <si>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</si>
  <si>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</si>
  <si>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</si>
  <si>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</si>
  <si>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</si>
  <si>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</si>
  <si>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</si>
  <si>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</si>
  <si>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</si>
  <si>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</si>
  <si>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</si>
  <si>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</si>
  <si>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</si>
  <si>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</si>
  <si>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</si>
  <si>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</si>
  <si>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</si>
  <si>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</si>
  <si>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</si>
  <si>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</si>
  <si>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</si>
  <si>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</si>
  <si>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</si>
  <si>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</si>
  <si>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</si>
  <si>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</si>
  <si>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</si>
  <si>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</si>
  <si>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</si>
  <si>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</si>
  <si>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</si>
  <si>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</si>
  <si>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</si>
  <si>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</si>
  <si>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</si>
  <si>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</si>
  <si>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</si>
  <si>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</si>
  <si>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</si>
  <si>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</si>
  <si>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</si>
  <si>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</si>
  <si>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</si>
  <si>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</si>
  <si>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</si>
  <si>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</si>
  <si>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</si>
  <si>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</si>
  <si>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</si>
  <si>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</si>
  <si>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</si>
  <si>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</si>
  <si>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</si>
  <si>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</si>
  <si>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</si>
  <si>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</si>
  <si>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</si>
  <si>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</si>
  <si>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</si>
  <si>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</si>
  <si>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</si>
  <si>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</si>
  <si>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</si>
  <si>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</si>
  <si>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</si>
  <si>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</si>
  <si>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</si>
  <si>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</si>
  <si>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</si>
  <si>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</si>
  <si>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</si>
  <si>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</si>
  <si>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</si>
  <si>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</si>
  <si>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</si>
  <si>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</si>
  <si>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</si>
  <si>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</si>
  <si>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</si>
  <si>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</si>
  <si>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</si>
  <si>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</si>
  <si>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</si>
  <si>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</si>
  <si>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</si>
  <si>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</si>
  <si>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</si>
  <si>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</si>
  <si>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</si>
  <si>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</si>
  <si>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</si>
  <si>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</si>
  <si>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</si>
  <si>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</si>
  <si>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</si>
  <si>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</si>
  <si>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</si>
  <si>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</si>
  <si>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</si>
  <si>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</si>
  <si>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</si>
  <si>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</si>
  <si>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</si>
  <si>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</si>
  <si>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</si>
  <si>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</si>
  <si>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</si>
  <si>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</si>
  <si>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</si>
  <si>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</si>
  <si>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</si>
  <si>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</si>
  <si>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</si>
  <si>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</si>
  <si>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</si>
  <si>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</si>
  <si>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</si>
  <si>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</si>
  <si>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</si>
  <si>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</si>
  <si>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</si>
  <si>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</si>
  <si>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</si>
  <si>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</si>
  <si>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</si>
  <si>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</si>
  <si>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</si>
  <si>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</si>
  <si>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</si>
  <si>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</si>
  <si>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</si>
  <si>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</si>
  <si>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</si>
  <si>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</si>
  <si>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</si>
  <si>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</si>
  <si>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</si>
  <si>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</si>
  <si>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</si>
  <si>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</si>
  <si>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</si>
  <si>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</si>
  <si>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</si>
  <si>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</si>
  <si>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</si>
  <si>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</si>
  <si>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</si>
  <si>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</si>
  <si>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</si>
  <si>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</si>
  <si>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</si>
  <si>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</si>
  <si>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</si>
  <si>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</si>
  <si>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</si>
  <si>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</si>
  <si>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</si>
  <si>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</si>
  <si>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</si>
  <si>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</si>
  <si>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</si>
  <si>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</si>
  <si>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</si>
  <si>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</si>
  <si>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</si>
  <si>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</si>
  <si>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</si>
  <si>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</si>
  <si>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</si>
  <si>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</si>
  <si>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</si>
  <si>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</si>
  <si>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</si>
  <si>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</si>
  <si>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</si>
  <si>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</si>
  <si>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</si>
  <si>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</si>
  <si>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</si>
  <si>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</si>
  <si>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</si>
  <si>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</si>
  <si>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</si>
  <si>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</si>
  <si>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</si>
  <si>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</si>
  <si>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</si>
  <si>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</si>
  <si>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</si>
  <si>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</si>
  <si>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</si>
  <si>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</si>
  <si>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</si>
  <si>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</si>
  <si>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</si>
  <si>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</si>
  <si>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</si>
  <si>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</si>
  <si>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</si>
  <si>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</si>
  <si>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</si>
  <si>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</si>
  <si>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</si>
  <si>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</si>
  <si>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</si>
  <si>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</si>
  <si>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</si>
  <si>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</si>
  <si>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</si>
  <si>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</si>
  <si>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</si>
  <si>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</si>
  <si>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</si>
  <si>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</si>
  <si>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</si>
  <si>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</si>
  <si>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</si>
  <si>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</si>
  <si>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</si>
  <si>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</si>
  <si>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</si>
  <si>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</si>
  <si>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</si>
  <si>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</si>
  <si>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</si>
  <si>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</si>
  <si>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</si>
  <si>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</si>
  <si>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</si>
  <si>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</si>
  <si>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</si>
  <si>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</si>
  <si>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</si>
  <si>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</si>
  <si>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</si>
  <si>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</si>
  <si>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</si>
  <si>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</si>
  <si>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</si>
  <si>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</si>
  <si>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</si>
  <si>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</si>
  <si>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</si>
  <si>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</si>
  <si>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</si>
  <si>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</si>
  <si>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</si>
  <si>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</si>
  <si>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</si>
  <si>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</si>
  <si>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</si>
  <si>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</si>
  <si>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</si>
  <si>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</si>
  <si>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</si>
  <si>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</si>
  <si>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</si>
  <si>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</si>
  <si>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</si>
  <si>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</si>
  <si>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</si>
  <si>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</si>
  <si>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</si>
  <si>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</si>
  <si>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</si>
  <si>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</si>
  <si>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</si>
  <si>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</si>
  <si>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</si>
  <si>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</si>
  <si>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</si>
  <si>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</si>
  <si>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</si>
  <si>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</si>
  <si>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</si>
  <si>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</si>
  <si>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</si>
  <si>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</si>
  <si>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</si>
  <si>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</si>
  <si>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</si>
  <si>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</si>
  <si>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</si>
  <si>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</si>
  <si>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</si>
  <si>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</si>
  <si>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</si>
  <si>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</si>
  <si>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</si>
  <si>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</si>
  <si>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</si>
  <si>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</si>
  <si>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</si>
  <si>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</si>
  <si>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</si>
  <si>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</si>
  <si>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</si>
  <si>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</si>
  <si>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</si>
  <si>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</si>
  <si>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</si>
  <si>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</si>
  <si>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</si>
  <si>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</si>
  <si>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</si>
  <si>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</si>
  <si>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</si>
  <si>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</si>
  <si>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</si>
  <si>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</si>
  <si>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</si>
  <si>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</si>
  <si>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</si>
  <si>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</si>
  <si>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</si>
  <si>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</si>
  <si>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542 ABBOTSFORD RD.</t>
  </si>
  <si>
    <t>GEORGE ROACH &amp; ASSOCIATES, P.C.</t>
  </si>
  <si>
    <t>JOSEPH TROYER</t>
  </si>
  <si>
    <t>44 N. WALKUP AVE.</t>
  </si>
  <si>
    <t>CRYSTAL LAKE</t>
  </si>
  <si>
    <t>IL</t>
  </si>
  <si>
    <t>815-459-0700</t>
  </si>
  <si>
    <t>815-356-9573</t>
  </si>
  <si>
    <t>JOE@GRA-CPA.COM</t>
  </si>
  <si>
    <t>CATHERINE DONEGAN</t>
  </si>
  <si>
    <t>KDONEGAN@KENILWORTH38.ORG</t>
  </si>
  <si>
    <t>847-853-3801</t>
  </si>
  <si>
    <t>2011 REFUNDING BONDS</t>
  </si>
  <si>
    <t>2017 REFUNDING BONDS</t>
  </si>
  <si>
    <t>2017A WORKING CASH BONDS</t>
  </si>
  <si>
    <t>NSSED SPECIAL EDUCATION COOPERATIVE</t>
  </si>
  <si>
    <t>EBC EDUCATIONAL BENEFIT COOPERATIVE</t>
  </si>
  <si>
    <t>Revenues 9-14, cell c72, sales to pupils-other,  milk sales ($21,841)</t>
  </si>
  <si>
    <t>Revenues 9-14, cell 168, other restricted revenue from state sources,  state library grant ($750)</t>
  </si>
  <si>
    <t>Expenditures 15-22, cell c171, debt services other,  debt service fees paid ($1,284)</t>
  </si>
  <si>
    <t>NO CONTRACTS</t>
  </si>
  <si>
    <t>Revenues 9-14, cell c107, other local revenues,  computer reimbursement ($1,320), E-Rate ($1,420), CLIC claims($1,532), IPAD repairs ($100),jury duty ($103),miscellaneous other revenues ($1,204)</t>
  </si>
  <si>
    <t>KENILWORTH</t>
  </si>
  <si>
    <t xml:space="preserve">  Kenilworth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</si>
</sst>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66675</xdr:rowOff>
        </xdr:from>
        <xdr:to>
          <xdr:col>1</xdr:col>
          <xdr:colOff>933450</xdr:colOff>
          <xdr:row>10</xdr:row>
          <xdr:rowOff>104775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3.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5016038002</v>
      </c>
      <c r="B13" s="2101"/>
      <c r="C13" s="2101"/>
      <c r="D13" s="2101"/>
      <c r="E13" s="2101"/>
      <c r="F13" s="2101"/>
      <c r="G13" s="2101"/>
      <c r="H13" s="2102"/>
      <c r="I13" s="31"/>
      <c r="J13" s="30"/>
      <c r="K13" s="28"/>
      <c r="L13" s="30"/>
      <c r="M13" s="30"/>
      <c r="N13" s="30"/>
      <c r="O13" s="30"/>
      <c r="P13" s="30"/>
      <c r="Q13" s="30"/>
      <c r="R13" s="30"/>
      <c r="S13" s="30"/>
      <c r="T13" s="2106" t="s">
        <v>2054</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2055</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2076</v>
      </c>
      <c r="B17" s="2074"/>
      <c r="C17" s="2074"/>
      <c r="D17" s="2074"/>
      <c r="E17" s="2074"/>
      <c r="F17" s="2074"/>
      <c r="G17" s="2074"/>
      <c r="H17" s="2099"/>
      <c r="T17" s="2117" t="s">
        <v>2056</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60014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2075</v>
      </c>
      <c r="B21" s="2038"/>
      <c r="C21" s="2038"/>
      <c r="D21" s="2038"/>
      <c r="E21" s="2038"/>
      <c r="F21" s="2038"/>
      <c r="G21" s="2038"/>
      <c r="H21" s="2039"/>
      <c r="I21" s="2093" t="s">
        <v>673</v>
      </c>
      <c r="J21" s="2088"/>
      <c r="K21" s="2088"/>
      <c r="L21" s="2088"/>
      <c r="M21" s="2088"/>
      <c r="N21" s="2088"/>
      <c r="O21" s="2088"/>
      <c r="P21" s="2088"/>
      <c r="Q21" s="2088"/>
      <c r="R21" s="2088"/>
      <c r="S21" s="2094"/>
      <c r="T21" s="2128" t="s">
        <v>2059</v>
      </c>
      <c r="U21" s="2129"/>
      <c r="V21" s="2129"/>
      <c r="W21" s="2129"/>
      <c r="X21" s="2134" t="s">
        <v>2060</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v>66005323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60043</v>
      </c>
      <c r="B25" s="2038"/>
      <c r="C25" s="2038"/>
      <c r="D25" s="2038"/>
      <c r="E25" s="2038"/>
      <c r="F25" s="2038"/>
      <c r="G25" s="2038"/>
      <c r="H25" s="2039"/>
      <c r="I25" s="110"/>
      <c r="J25" s="2062"/>
      <c r="K25" s="2062"/>
      <c r="L25" s="2062"/>
      <c r="M25" s="2062"/>
      <c r="N25" s="2062"/>
      <c r="O25" s="2062"/>
      <c r="P25" s="2062"/>
      <c r="Q25" s="2062"/>
      <c r="R25" s="2062"/>
      <c r="S25" s="2063"/>
      <c r="T25" s="2124" t="s">
        <v>2061</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2064</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2" sqref="C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10226665</v>
      </c>
      <c r="C4" s="1722">
        <v>5455611</v>
      </c>
      <c r="D4" s="1723">
        <f>B4-C4</f>
        <v>4771054</v>
      </c>
      <c r="E4" s="1722">
        <v>10911283</v>
      </c>
      <c r="F4" s="1723">
        <f>E4-C4</f>
        <v>5455672</v>
      </c>
    </row>
    <row r="5" spans="1:8" ht="13.7" customHeight="1" x14ac:dyDescent="0.2">
      <c r="A5" s="579" t="s">
        <v>865</v>
      </c>
      <c r="B5" s="1724">
        <f>'Revenues 9-14'!D5</f>
        <v>1608601</v>
      </c>
      <c r="C5" s="1664">
        <v>858139</v>
      </c>
      <c r="D5" s="1725">
        <f t="shared" ref="D5:D18" si="0">B5-C5</f>
        <v>750462</v>
      </c>
      <c r="E5" s="1664">
        <v>1298428</v>
      </c>
      <c r="F5" s="1725">
        <f>E5-C5</f>
        <v>440289</v>
      </c>
    </row>
    <row r="6" spans="1:8" ht="13.7" customHeight="1" x14ac:dyDescent="0.2">
      <c r="A6" s="579" t="s">
        <v>408</v>
      </c>
      <c r="B6" s="1724">
        <f>'Revenues 9-14'!E5</f>
        <v>1014628</v>
      </c>
      <c r="C6" s="1664">
        <v>541411</v>
      </c>
      <c r="D6" s="1725">
        <f t="shared" si="0"/>
        <v>473217</v>
      </c>
      <c r="E6" s="1664">
        <f>769276+244650</f>
        <v>1013926</v>
      </c>
      <c r="F6" s="1725">
        <f t="shared" ref="F6:F18" si="1">E6-C6</f>
        <v>472515</v>
      </c>
    </row>
    <row r="7" spans="1:8" ht="13.7" customHeight="1" x14ac:dyDescent="0.2">
      <c r="A7" s="579" t="s">
        <v>154</v>
      </c>
      <c r="B7" s="1724">
        <f>'Revenues 9-14'!F5</f>
        <v>52633</v>
      </c>
      <c r="C7" s="1664">
        <v>28077</v>
      </c>
      <c r="D7" s="1725">
        <f t="shared" si="0"/>
        <v>24556</v>
      </c>
      <c r="E7" s="1664">
        <v>54039</v>
      </c>
      <c r="F7" s="1725">
        <f t="shared" si="1"/>
        <v>25962</v>
      </c>
    </row>
    <row r="8" spans="1:8" ht="13.7" customHeight="1" x14ac:dyDescent="0.2">
      <c r="A8" s="579" t="s">
        <v>1169</v>
      </c>
      <c r="B8" s="1724">
        <f>'Revenues 9-14'!G5</f>
        <v>156480</v>
      </c>
      <c r="C8" s="1664">
        <v>83477</v>
      </c>
      <c r="D8" s="1725">
        <f t="shared" si="0"/>
        <v>73003</v>
      </c>
      <c r="E8" s="1664">
        <v>160649</v>
      </c>
      <c r="F8" s="1725">
        <f t="shared" si="1"/>
        <v>77172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52633</v>
      </c>
      <c r="C11" s="1664">
        <v>28077</v>
      </c>
      <c r="D11" s="1725">
        <f t="shared" si="0"/>
        <v>24556</v>
      </c>
      <c r="E11" s="1664">
        <v>0</v>
      </c>
      <c r="F11" s="1725">
        <f t="shared" si="1"/>
        <v>-28077</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13111640</v>
      </c>
      <c r="C19" s="1726">
        <f>SUM(C4:C18)</f>
        <v>6994792</v>
      </c>
      <c r="D19" s="1726">
        <f>SUM(D4:D18)</f>
        <v>6116848</v>
      </c>
      <c r="E19" s="1726">
        <f>SUM(E4:E18)</f>
        <v>13438325</v>
      </c>
      <c r="F19" s="1726">
        <f>SUM(F4:F18)</f>
        <v>6443533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40862</v>
      </c>
      <c r="C31" s="1734">
        <v>1515000</v>
      </c>
      <c r="D31" s="1735">
        <v>3</v>
      </c>
      <c r="E31" s="1734">
        <v>190000</v>
      </c>
      <c r="F31" s="1734"/>
      <c r="G31" s="1734"/>
      <c r="H31" s="1734">
        <v>190000</v>
      </c>
      <c r="I31" s="1736">
        <f>((E31+F31)-H31)+G31</f>
        <v>0</v>
      </c>
      <c r="J31" s="1734"/>
      <c r="K31" s="596"/>
    </row>
    <row r="32" spans="1:11" ht="12" customHeight="1" x14ac:dyDescent="0.2">
      <c r="A32" s="594" t="s">
        <v>2066</v>
      </c>
      <c r="B32" s="595">
        <v>42852</v>
      </c>
      <c r="C32" s="1734">
        <v>5970000</v>
      </c>
      <c r="D32" s="1735">
        <v>3</v>
      </c>
      <c r="E32" s="1734">
        <v>5360000</v>
      </c>
      <c r="F32" s="1734"/>
      <c r="G32" s="1734"/>
      <c r="H32" s="1734">
        <v>620000</v>
      </c>
      <c r="I32" s="1736">
        <f>((E32+F32)-H32)+G32</f>
        <v>4740000</v>
      </c>
      <c r="J32" s="1734">
        <v>3748716</v>
      </c>
      <c r="K32" s="596"/>
    </row>
    <row r="33" spans="1:11" ht="12" customHeight="1" x14ac:dyDescent="0.2">
      <c r="A33" s="594" t="s">
        <v>2067</v>
      </c>
      <c r="B33" s="595">
        <v>43097</v>
      </c>
      <c r="C33" s="1734">
        <v>3200000</v>
      </c>
      <c r="D33" s="1735">
        <v>1</v>
      </c>
      <c r="E33" s="1734">
        <v>3200000</v>
      </c>
      <c r="F33" s="1734"/>
      <c r="G33" s="1734"/>
      <c r="H33" s="1734"/>
      <c r="I33" s="1736">
        <f t="shared" ref="I33:I48" si="1">((E33+F33)-H33)+G33</f>
        <v>3200000</v>
      </c>
      <c r="J33" s="1734">
        <v>3200000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10685000</v>
      </c>
      <c r="D49" s="1742"/>
      <c r="E49" s="1736">
        <f t="shared" ref="E49:J49" si="2">SUM(E31:E48)</f>
        <v>8750000</v>
      </c>
      <c r="F49" s="1736">
        <f t="shared" si="2"/>
        <v>0</v>
      </c>
      <c r="G49" s="1736">
        <f t="shared" si="2"/>
        <v>0</v>
      </c>
      <c r="H49" s="1736">
        <f t="shared" si="2"/>
        <v>810000</v>
      </c>
      <c r="I49" s="1736">
        <f t="shared" si="2"/>
        <v>7940000</v>
      </c>
      <c r="J49" s="1736">
        <f t="shared" si="2"/>
        <v>6948716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26342</v>
      </c>
      <c r="D5" s="1770"/>
      <c r="E5" s="1770"/>
      <c r="F5" s="1765">
        <f>(C5+D5)-E5</f>
        <v>26342</v>
      </c>
      <c r="G5" s="676"/>
      <c r="H5" s="680"/>
      <c r="I5" s="680"/>
      <c r="J5" s="680"/>
      <c r="K5" s="637"/>
      <c r="L5" s="1442">
        <f>F5-K5</f>
        <v>26342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16240001</v>
      </c>
      <c r="D8" s="1771"/>
      <c r="E8" s="1771"/>
      <c r="F8" s="1765">
        <f>(C8+D8)-E8</f>
        <v>16240001</v>
      </c>
      <c r="G8" s="681">
        <v>50</v>
      </c>
      <c r="H8" s="619">
        <v>7047298</v>
      </c>
      <c r="I8" s="619">
        <v>386025</v>
      </c>
      <c r="J8" s="619"/>
      <c r="K8" s="1442">
        <f>(H8+I8)-J8</f>
        <v>7433323</v>
      </c>
      <c r="L8" s="1442">
        <f>F8-K8</f>
        <v>8806678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454921</v>
      </c>
      <c r="D10" s="1772"/>
      <c r="E10" s="1772"/>
      <c r="F10" s="1773">
        <f>(C10+D10)-E10</f>
        <v>454921</v>
      </c>
      <c r="G10" s="681">
        <v>20</v>
      </c>
      <c r="H10" s="683">
        <v>260816</v>
      </c>
      <c r="I10" s="683">
        <v>17695</v>
      </c>
      <c r="J10" s="683"/>
      <c r="K10" s="1442">
        <f>(H10+I10)-J10</f>
        <v>278511</v>
      </c>
      <c r="L10" s="1442">
        <f>F10-K10</f>
        <v>176410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1815094</v>
      </c>
      <c r="D13" s="1771">
        <v>95101</v>
      </c>
      <c r="E13" s="1771"/>
      <c r="F13" s="1765">
        <f>(C13+D13)-E13</f>
        <v>1910195</v>
      </c>
      <c r="G13" s="681">
        <v>5</v>
      </c>
      <c r="H13" s="619">
        <v>1424902</v>
      </c>
      <c r="I13" s="619">
        <v>74859</v>
      </c>
      <c r="J13" s="619"/>
      <c r="K13" s="1442">
        <f>(H13+I13)-J13</f>
        <v>1499761</v>
      </c>
      <c r="L13" s="1442">
        <f>F13-K13</f>
        <v>410434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18536358</v>
      </c>
      <c r="D16" s="1765">
        <f>SUM(D3,D5:D6,D8:D10,D12:D15)</f>
        <v>95101</v>
      </c>
      <c r="E16" s="1765">
        <f>SUM(E3,E5:E6,E8:E10,E12:E15)</f>
        <v>0</v>
      </c>
      <c r="F16" s="1765">
        <f>SUM(F3,F5:F6,F8:F10,F12:F15)</f>
        <v>18631459</v>
      </c>
      <c r="G16" s="681"/>
      <c r="H16" s="1435">
        <f>SUM(H3,H6,H8:H10,H12:H14,)</f>
        <v>8733016</v>
      </c>
      <c r="I16" s="1435">
        <f>SUM(I3,I6,I8:I10,I12:I14,)</f>
        <v>478579</v>
      </c>
      <c r="J16" s="1435">
        <f>SUM(J3,J6,J8:J10,J12:J14,)</f>
        <v>0</v>
      </c>
      <c r="K16" s="1435">
        <f>(H16+I16)-J16</f>
        <v>9211595</v>
      </c>
      <c r="L16" s="1435">
        <f>F16-K16</f>
        <v>9419864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210542</v>
      </c>
      <c r="G17" s="676">
        <v>10</v>
      </c>
      <c r="H17" s="621"/>
      <c r="I17" s="1442">
        <f>F17/G17</f>
        <v>21054.2</v>
      </c>
      <c r="J17" s="621"/>
      <c r="K17" s="638"/>
      <c r="L17" s="638"/>
    </row>
    <row r="18" spans="1:12" ht="14.25" thickTop="1" thickBot="1" x14ac:dyDescent="0.25">
      <c r="A18" s="1440" t="s">
        <v>680</v>
      </c>
      <c r="B18" s="1441"/>
      <c r="C18" s="623"/>
      <c r="D18" s="623"/>
      <c r="E18" s="623"/>
      <c r="F18" s="686"/>
      <c r="G18" s="687"/>
      <c r="H18" s="624"/>
      <c r="I18" s="1435">
        <f>SUM(I16,I17)</f>
        <v>499633.2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38" sqref="F3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11613884</v>
      </c>
      <c r="G8" s="701"/>
    </row>
    <row r="9" spans="1:9" x14ac:dyDescent="0.2">
      <c r="A9" s="705" t="s">
        <v>457</v>
      </c>
      <c r="B9" s="706" t="s">
        <v>1848</v>
      </c>
      <c r="C9" s="707"/>
      <c r="D9" s="705" t="s">
        <v>498</v>
      </c>
      <c r="E9" s="704"/>
      <c r="F9" s="1775">
        <f>'Expenditures 15-22'!K151</f>
        <v>804525</v>
      </c>
      <c r="G9" s="708"/>
    </row>
    <row r="10" spans="1:9" x14ac:dyDescent="0.2">
      <c r="A10" s="705" t="s">
        <v>496</v>
      </c>
      <c r="B10" s="706" t="s">
        <v>1849</v>
      </c>
      <c r="C10" s="707"/>
      <c r="D10" s="705" t="s">
        <v>498</v>
      </c>
      <c r="E10" s="704"/>
      <c r="F10" s="1775">
        <f>'Expenditures 15-22'!K174</f>
        <v>1045689</v>
      </c>
      <c r="G10" s="708"/>
    </row>
    <row r="11" spans="1:9" x14ac:dyDescent="0.2">
      <c r="A11" s="705" t="s">
        <v>458</v>
      </c>
      <c r="B11" s="706" t="s">
        <v>1850</v>
      </c>
      <c r="C11" s="707"/>
      <c r="D11" s="705" t="s">
        <v>498</v>
      </c>
      <c r="E11" s="704"/>
      <c r="F11" s="1775">
        <f>'Expenditures 15-22'!K210</f>
        <v>50100</v>
      </c>
      <c r="G11" s="708"/>
    </row>
    <row r="12" spans="1:9" x14ac:dyDescent="0.2">
      <c r="A12" s="705" t="s">
        <v>459</v>
      </c>
      <c r="B12" s="706" t="s">
        <v>1851</v>
      </c>
      <c r="C12" s="707"/>
      <c r="D12" s="705" t="s">
        <v>498</v>
      </c>
      <c r="E12" s="704"/>
      <c r="F12" s="1775">
        <f>'Expenditures 15-22'!K295</f>
        <v>255592</v>
      </c>
      <c r="G12" s="708"/>
    </row>
    <row r="13" spans="1:9" x14ac:dyDescent="0.2">
      <c r="A13" s="705" t="s">
        <v>106</v>
      </c>
      <c r="B13" s="706" t="s">
        <v>1852</v>
      </c>
      <c r="C13" s="707"/>
      <c r="D13" s="705" t="s">
        <v>498</v>
      </c>
      <c r="E13" s="704"/>
      <c r="F13" s="1775">
        <f>'Expenditures 15-22'!K342</f>
        <v>304</v>
      </c>
      <c r="G13" s="709"/>
    </row>
    <row r="14" spans="1:9" ht="12" customHeight="1" thickBot="1" x14ac:dyDescent="0.25">
      <c r="A14" s="1443"/>
      <c r="B14" s="1444"/>
      <c r="C14" s="1445"/>
      <c r="D14" s="1446" t="s">
        <v>498</v>
      </c>
      <c r="E14" s="1447" t="s">
        <v>952</v>
      </c>
      <c r="F14" s="1776">
        <f>SUM(F8:F13)</f>
        <v>13770094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1308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26537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360013</v>
      </c>
      <c r="G53" s="701"/>
    </row>
    <row r="54" spans="1:7" x14ac:dyDescent="0.2">
      <c r="A54" s="705" t="s">
        <v>456</v>
      </c>
      <c r="B54" s="705" t="s">
        <v>1459</v>
      </c>
      <c r="C54" s="724" t="s">
        <v>975</v>
      </c>
      <c r="D54" s="720" t="s">
        <v>1086</v>
      </c>
      <c r="E54" s="704"/>
      <c r="F54" s="1782">
        <f>'Expenditures 15-22'!G114</f>
        <v>37151</v>
      </c>
      <c r="G54" s="701"/>
    </row>
    <row r="55" spans="1:7" x14ac:dyDescent="0.2">
      <c r="A55" s="705" t="s">
        <v>456</v>
      </c>
      <c r="B55" s="705" t="s">
        <v>1460</v>
      </c>
      <c r="C55" s="724" t="s">
        <v>975</v>
      </c>
      <c r="D55" s="720" t="s">
        <v>288</v>
      </c>
      <c r="E55" s="704"/>
      <c r="F55" s="1782">
        <f>'Expenditures 15-22'!I114</f>
        <v>207148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57950</v>
      </c>
      <c r="G58" s="701"/>
    </row>
    <row r="59" spans="1:7" x14ac:dyDescent="0.2">
      <c r="A59" s="728" t="s">
        <v>457</v>
      </c>
      <c r="B59" s="692" t="s">
        <v>1855</v>
      </c>
      <c r="C59" s="729" t="s">
        <v>975</v>
      </c>
      <c r="D59" s="692" t="s">
        <v>288</v>
      </c>
      <c r="F59" s="1785">
        <f>'Expenditures 15-22'!I151</f>
        <v>3394</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810000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378</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1503879</v>
      </c>
      <c r="G77" s="701"/>
    </row>
    <row r="78" spans="1:9" s="728" customFormat="1" ht="12" customHeight="1" thickTop="1" thickBot="1" x14ac:dyDescent="0.25">
      <c r="A78" s="1450"/>
      <c r="B78" s="1448"/>
      <c r="C78" s="1445"/>
      <c r="D78" s="1449" t="s">
        <v>2012</v>
      </c>
      <c r="E78" s="1447"/>
      <c r="F78" s="1788">
        <f>(F14-F77)</f>
        <v>12266215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469.1</v>
      </c>
      <c r="G79" s="733"/>
      <c r="H79" s="705"/>
      <c r="I79" s="705"/>
    </row>
    <row r="80" spans="1:9" s="728" customFormat="1" ht="12" customHeight="1" thickBot="1" x14ac:dyDescent="0.25">
      <c r="A80" s="1452"/>
      <c r="B80" s="1448"/>
      <c r="C80" s="1445"/>
      <c r="D80" s="1449" t="s">
        <v>2013</v>
      </c>
      <c r="E80" s="1447" t="s">
        <v>952</v>
      </c>
      <c r="F80" s="1790">
        <f>IF(F79&gt;0,F78/F79," Complete Line 79")</f>
        <v>26148.401193775313</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21841</v>
      </c>
      <c r="G95" s="745"/>
    </row>
    <row r="96" spans="1:7" x14ac:dyDescent="0.2">
      <c r="A96" s="741" t="s">
        <v>139</v>
      </c>
      <c r="B96" s="741" t="s">
        <v>174</v>
      </c>
      <c r="C96" s="743">
        <v>1700</v>
      </c>
      <c r="D96" s="751" t="str">
        <f>'Revenues 9-14'!A82</f>
        <v>Total District/School Activity Income</v>
      </c>
      <c r="E96" s="739"/>
      <c r="F96" s="1793">
        <f>SUM('Revenues 9-14'!C82,'Revenues 9-14'!D82)</f>
        <v>41300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152211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49996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30745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163445</v>
      </c>
      <c r="G172" s="760"/>
    </row>
    <row r="173" spans="1:7" x14ac:dyDescent="0.2">
      <c r="A173" s="1529" t="s">
        <v>659</v>
      </c>
      <c r="B173" s="1530" t="s">
        <v>1885</v>
      </c>
      <c r="C173" s="1531">
        <v>3300</v>
      </c>
      <c r="D173" s="1532" t="s">
        <v>1888</v>
      </c>
      <c r="E173" s="739"/>
      <c r="F173" s="1794">
        <v>7</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461295</v>
      </c>
    </row>
    <row r="176" spans="1:7" ht="12" customHeight="1" x14ac:dyDescent="0.2">
      <c r="A176" s="1443"/>
      <c r="B176" s="1453"/>
      <c r="C176" s="1454"/>
      <c r="D176" s="1455" t="s">
        <v>2014</v>
      </c>
      <c r="E176" s="1456"/>
      <c r="F176" s="1793">
        <f>'PCTC-OEPP 27-28'!F78-F175</f>
        <v>11804920</v>
      </c>
    </row>
    <row r="177" spans="1:9" ht="12" customHeight="1" x14ac:dyDescent="0.2">
      <c r="A177" s="1443"/>
      <c r="B177" s="1453"/>
      <c r="C177" s="1454"/>
      <c r="D177" s="1455" t="s">
        <v>1794</v>
      </c>
      <c r="E177" s="1456"/>
      <c r="F177" s="1793">
        <f>'Cap Outlay Deprec 26'!I18</f>
        <v>499633.2</v>
      </c>
    </row>
    <row r="178" spans="1:9" ht="12" customHeight="1" x14ac:dyDescent="0.2">
      <c r="A178" s="1443"/>
      <c r="B178" s="1453"/>
      <c r="C178" s="1454"/>
      <c r="D178" s="1455" t="s">
        <v>2015</v>
      </c>
      <c r="E178" s="1456"/>
      <c r="F178" s="1793">
        <f>F176+F177</f>
        <v>12304553.199999999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469.1</v>
      </c>
      <c r="G179" s="763"/>
      <c r="I179" s="701"/>
    </row>
    <row r="180" spans="1:9" ht="12" customHeight="1" thickBot="1" x14ac:dyDescent="0.25">
      <c r="A180" s="1443"/>
      <c r="B180" s="1457"/>
      <c r="C180" s="1454"/>
      <c r="D180" s="1455" t="s">
        <v>2017</v>
      </c>
      <c r="E180" s="1456" t="s">
        <v>1528</v>
      </c>
      <c r="F180" s="1798">
        <f>F178/F179</f>
        <v>26230.128330846299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D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2035" t="s">
        <v>2073</v>
      </c>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7583142</v>
      </c>
      <c r="F19" s="1802"/>
      <c r="G19" s="1804">
        <f>'Expenditures 15-22'!K33-SUM('Expenditures 15-22'!G33,'Expenditures 15-22'!I33)+'Expenditures 15-22'!D229</f>
        <v>7583142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449971</v>
      </c>
      <c r="F21" s="1805"/>
      <c r="G21" s="1808">
        <f>'Expenditures 15-22'!K42-SUM('Expenditures 15-22'!G42,'Expenditures 15-22'!I42)+'Expenditures 15-22'!K120-SUM('Expenditures 15-22'!G120,'Expenditures 15-22'!I120)+'Expenditures 15-22'!K180-SUM('Expenditures 15-22'!G180,'Expenditures 15-22'!I180)+'Expenditures 15-22'!D238</f>
        <v>449971</v>
      </c>
      <c r="H21" s="817"/>
      <c r="I21" s="157"/>
    </row>
    <row r="22" spans="1:9" s="542" customFormat="1" ht="12" customHeight="1" x14ac:dyDescent="0.2">
      <c r="A22" s="824" t="s">
        <v>560</v>
      </c>
      <c r="B22" s="825"/>
      <c r="C22" s="823">
        <v>2200</v>
      </c>
      <c r="D22" s="1805"/>
      <c r="E22" s="1807">
        <f>'Expenditures 15-22'!K47-SUM('Expenditures 15-22'!G47,'Expenditures 15-22'!I47)+'Expenditures 15-22'!D243</f>
        <v>1204659</v>
      </c>
      <c r="F22" s="1805"/>
      <c r="G22" s="1808">
        <f>'Expenditures 15-22'!K47-SUM('Expenditures 15-22'!G47,'Expenditures 15-22'!I47)+'Expenditures 15-22'!D243</f>
        <v>1204659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784527</v>
      </c>
      <c r="F23" s="1805"/>
      <c r="G23" s="1807">
        <f>'Expenditures 15-22'!K53-SUM('Expenditures 15-22'!G53,'Expenditures 15-22'!I53)+'Expenditures 15-22'!D257+'Expenditures 15-22'!K330-SUM('Expenditures 15-22'!G330,'Expenditures 15-22'!I330)</f>
        <v>784527</v>
      </c>
      <c r="H23" s="817"/>
      <c r="I23" s="157"/>
    </row>
    <row r="24" spans="1:9" s="542" customFormat="1" ht="12" customHeight="1" x14ac:dyDescent="0.2">
      <c r="A24" s="824" t="s">
        <v>562</v>
      </c>
      <c r="B24" s="825"/>
      <c r="C24" s="823">
        <v>2400</v>
      </c>
      <c r="D24" s="1805"/>
      <c r="E24" s="1807">
        <f>'Expenditures 15-22'!K57-SUM('Expenditures 15-22'!G57,'Expenditures 15-22'!I57)+'Expenditures 15-22'!D261</f>
        <v>848785</v>
      </c>
      <c r="F24" s="1805"/>
      <c r="G24" s="1808">
        <f>'Expenditures 15-22'!K57-SUM('Expenditures 15-22'!G57,'Expenditures 15-22'!I57)+'Expenditures 15-22'!D261</f>
        <v>848785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115642</v>
      </c>
      <c r="E26" s="1807">
        <f>'Expenditures 15-22'!K122-SUM('Expenditures 15-22'!G122,'Expenditures 15-22'!I122)+E7</f>
        <v>0</v>
      </c>
      <c r="F26" s="1807">
        <f>'Expenditures 15-22'!K59-SUM('Expenditures 15-22'!G59,'Expenditures 15-22'!I59)+'Expenditures 15-22'!D263-E7</f>
        <v>115642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182726</v>
      </c>
      <c r="E27" s="1807">
        <f>E8</f>
        <v>0</v>
      </c>
      <c r="F27" s="1807">
        <f>'Expenditures 15-22'!K60-SUM('Expenditures 15-22'!G60,'Expenditures 15-22'!I60)+'Expenditures 15-22'!D264-E8</f>
        <v>182726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738804</v>
      </c>
      <c r="F28" s="1809">
        <f>'Expenditures 15-22'!K61-SUM('Expenditures 15-22'!G61,'Expenditures 15-22'!I61)+'Expenditures 15-22'!K124-SUM('Expenditures 15-22'!G124,'Expenditures 15-22'!I124)+'Expenditures 15-22'!D266-E9</f>
        <v>738804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50100</v>
      </c>
      <c r="F29" s="1805"/>
      <c r="G29" s="1808">
        <f>'Expenditures 15-22'!K62-SUM('Expenditures 15-22'!G62,'Expenditures 15-22'!I62)+'Expenditures 15-22'!K125-SUM('Expenditures 15-22'!G125,'Expenditures 15-22'!I125)+'Expenditures 15-22'!K182-SUM('Expenditures 15-22'!G182,'Expenditures 15-22'!I182)+'Expenditures 15-22'!D267</f>
        <v>50100</v>
      </c>
      <c r="H29" s="815"/>
    </row>
    <row r="30" spans="1:9" ht="12" customHeight="1" x14ac:dyDescent="0.2">
      <c r="A30" s="824" t="s">
        <v>100</v>
      </c>
      <c r="B30" s="827"/>
      <c r="C30" s="823">
        <v>2560</v>
      </c>
      <c r="D30" s="1805"/>
      <c r="E30" s="1807">
        <f>'Expenditures 15-22'!K63-SUM('Expenditures 15-22'!G63,'Expenditures 15-22'!I63)+'Expenditures 15-22'!D268-E10</f>
        <v>42961</v>
      </c>
      <c r="F30" s="1805"/>
      <c r="G30" s="1807">
        <f>'Expenditures 15-22'!K63-SUM('Expenditures 15-22'!G63,'Expenditures 15-22'!I63)+'Expenditures 15-22'!D268-E10</f>
        <v>42961</v>
      </c>
    </row>
    <row r="31" spans="1:9" ht="12" customHeight="1" x14ac:dyDescent="0.2">
      <c r="A31" s="824" t="s">
        <v>101</v>
      </c>
      <c r="B31" s="827"/>
      <c r="C31" s="823">
        <v>2570</v>
      </c>
      <c r="D31" s="1807">
        <f>'Expenditures 15-22'!K64-SUM('Expenditures 15-22'!G64,'Expenditures 15-22'!I64)+'Expenditures 15-22'!D269-E12</f>
        <v>20909</v>
      </c>
      <c r="E31" s="1807">
        <f>E12</f>
        <v>0</v>
      </c>
      <c r="F31" s="1807">
        <f>'Expenditures 15-22'!K64-SUM('Expenditures 15-22'!G64,'Expenditures 15-22'!I64)+'Expenditures 15-22'!D269-E12</f>
        <v>20909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10389</v>
      </c>
      <c r="F34" s="1805"/>
      <c r="G34" s="1807">
        <f>'Expenditures 15-22'!K68-SUM('Expenditures 15-22'!G68,'Expenditures 15-22'!I68)+'Expenditures 15-22'!D273</f>
        <v>10389</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319277</v>
      </c>
      <c r="E41" s="1809">
        <f>SUM(E19:E40)</f>
        <v>11713338</v>
      </c>
      <c r="F41" s="1809">
        <f>SUM(F19:F39)</f>
        <v>1058081</v>
      </c>
      <c r="G41" s="1809">
        <f>SUM(G19:G40)</f>
        <v>10974534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319277</v>
      </c>
      <c r="F43" s="1458" t="s">
        <v>470</v>
      </c>
      <c r="G43" s="1810">
        <f>F41</f>
        <v>1058081</v>
      </c>
    </row>
    <row r="44" spans="1:7" ht="12" customHeight="1" x14ac:dyDescent="0.2">
      <c r="A44" s="817"/>
      <c r="B44" s="157"/>
      <c r="C44" s="831"/>
      <c r="D44" s="1458" t="s">
        <v>471</v>
      </c>
      <c r="E44" s="1810">
        <f>E41</f>
        <v>11713338</v>
      </c>
      <c r="F44" s="1458" t="s">
        <v>471</v>
      </c>
      <c r="G44" s="1810">
        <f>G41</f>
        <v>10974534</v>
      </c>
    </row>
    <row r="45" spans="1:7" ht="12" customHeight="1" x14ac:dyDescent="0.2">
      <c r="A45" s="817"/>
      <c r="B45" s="157"/>
      <c r="C45" s="157"/>
      <c r="D45" s="1459" t="s">
        <v>999</v>
      </c>
      <c r="E45" s="1811">
        <f>(E43/E44)</f>
        <v>2.7257558861530334E-2</v>
      </c>
      <c r="F45" s="1459" t="s">
        <v>999</v>
      </c>
      <c r="G45" s="1811">
        <f>(G43/G44)</f>
        <v>9.6412385254808997E-2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F15" sqref="F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Kenilworth SD</v>
      </c>
      <c r="D6" s="2415"/>
      <c r="E6" s="2415"/>
      <c r="F6" s="1482"/>
      <c r="G6" s="1507"/>
      <c r="L6" s="1507"/>
      <c r="M6" s="1855"/>
      <c r="N6" s="1855"/>
      <c r="O6" s="1855"/>
    </row>
    <row r="7" spans="1:15" ht="11.25" customHeight="1" thickBot="1" x14ac:dyDescent="0.3">
      <c r="A7" s="1480"/>
      <c r="B7" s="1481"/>
      <c r="C7" s="2416">
        <f>COVER!A13</f>
        <v>5016038002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t="s">
        <v>2051</v>
      </c>
      <c r="F13" s="1497" t="s">
        <v>2068</v>
      </c>
      <c r="G13" s="1507"/>
      <c r="H13" s="1507">
        <f t="shared" si="0"/>
        <v>5</v>
      </c>
      <c r="I13" s="1507">
        <f t="shared" si="1"/>
        <v>5</v>
      </c>
      <c r="J13" s="1507">
        <f t="shared" si="2"/>
        <v>5</v>
      </c>
      <c r="L13" s="1507"/>
      <c r="M13" s="1855"/>
      <c r="N13" s="1855"/>
      <c r="O13" s="1855"/>
    </row>
    <row r="14" spans="1:15" ht="12" customHeight="1" x14ac:dyDescent="0.2">
      <c r="A14" s="1493" t="s">
        <v>1370</v>
      </c>
      <c r="B14" s="1494"/>
      <c r="C14" s="1495" t="s">
        <v>2051</v>
      </c>
      <c r="D14" s="1495" t="s">
        <v>2051</v>
      </c>
      <c r="E14" s="1498" t="s">
        <v>2051</v>
      </c>
      <c r="F14" s="1497" t="s">
        <v>2069</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7" sqref="I17"/>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Kenilworth SD</v>
      </c>
      <c r="K6" s="2437"/>
      <c r="L6" s="2451"/>
      <c r="M6" s="838"/>
      <c r="N6" s="1998"/>
    </row>
    <row r="7" spans="1:14" x14ac:dyDescent="0.2">
      <c r="A7" s="2452" t="s">
        <v>864</v>
      </c>
      <c r="B7" s="2453"/>
      <c r="C7" s="2453"/>
      <c r="D7" s="2453"/>
      <c r="E7" s="2454"/>
      <c r="F7" s="839"/>
      <c r="G7" s="838"/>
      <c r="H7" s="838"/>
      <c r="I7" s="1924" t="s">
        <v>369</v>
      </c>
      <c r="J7" s="2439">
        <f>COVER!A13</f>
        <v>5016038002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268701</v>
      </c>
      <c r="F12" s="1942"/>
      <c r="G12" s="1968">
        <f>G68</f>
        <v>0</v>
      </c>
      <c r="H12" s="1944">
        <f t="shared" ref="H12:H18" si="0">SUM(E12:G12)</f>
        <v>268701</v>
      </c>
      <c r="I12" s="1943">
        <v>392776</v>
      </c>
      <c r="J12" s="1942"/>
      <c r="K12" s="1943"/>
      <c r="L12" s="1944">
        <f t="shared" ref="L12:L18" si="1">SUM(I12:K12)</f>
        <v>392776</v>
      </c>
      <c r="M12" s="838"/>
      <c r="N12" s="1998"/>
    </row>
    <row r="13" spans="1:14" x14ac:dyDescent="0.2">
      <c r="A13" s="2003">
        <v>2</v>
      </c>
      <c r="B13" s="1940" t="s">
        <v>42</v>
      </c>
      <c r="C13" s="842"/>
      <c r="D13" s="1941">
        <v>2330</v>
      </c>
      <c r="E13" s="1944">
        <f>'Expenditures 15-22'!K51</f>
        <v>340240</v>
      </c>
      <c r="F13" s="1942"/>
      <c r="G13" s="1968">
        <f>H68</f>
        <v>0</v>
      </c>
      <c r="H13" s="1944">
        <f t="shared" si="0"/>
        <v>340240</v>
      </c>
      <c r="I13" s="1943">
        <v>240651</v>
      </c>
      <c r="J13" s="1942"/>
      <c r="K13" s="1943"/>
      <c r="L13" s="1944">
        <f t="shared" si="1"/>
        <v>240651</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114180</v>
      </c>
      <c r="F15" s="1944">
        <f>'Expenditures 15-22'!K122</f>
        <v>0</v>
      </c>
      <c r="G15" s="1968">
        <f>J68</f>
        <v>0</v>
      </c>
      <c r="H15" s="1944">
        <f t="shared" si="0"/>
        <v>114180</v>
      </c>
      <c r="I15" s="1943">
        <v>120944</v>
      </c>
      <c r="J15" s="1943"/>
      <c r="K15" s="1943"/>
      <c r="L15" s="1944">
        <f t="shared" si="1"/>
        <v>120944</v>
      </c>
      <c r="M15" s="838"/>
      <c r="N15" s="1998"/>
    </row>
    <row r="16" spans="1:14" x14ac:dyDescent="0.2">
      <c r="A16" s="2003">
        <v>5</v>
      </c>
      <c r="B16" s="1940" t="s">
        <v>101</v>
      </c>
      <c r="C16" s="842"/>
      <c r="D16" s="1941">
        <v>2570</v>
      </c>
      <c r="E16" s="1944">
        <f>'Expenditures 15-22'!K64</f>
        <v>20909</v>
      </c>
      <c r="F16" s="1942"/>
      <c r="G16" s="1968">
        <f>K68</f>
        <v>0</v>
      </c>
      <c r="H16" s="1944">
        <f t="shared" si="0"/>
        <v>20909</v>
      </c>
      <c r="I16" s="1943">
        <v>27000</v>
      </c>
      <c r="J16" s="1942"/>
      <c r="K16" s="1943"/>
      <c r="L16" s="1944">
        <f t="shared" si="1"/>
        <v>27000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744030</v>
      </c>
      <c r="F19" s="1950">
        <f t="shared" si="2"/>
        <v>0</v>
      </c>
      <c r="G19" s="1950">
        <f t="shared" ref="G19" si="3">SUM(G12:G17)-G18</f>
        <v>0</v>
      </c>
      <c r="H19" s="1950">
        <f t="shared" si="2"/>
        <v>744030</v>
      </c>
      <c r="I19" s="1950">
        <f t="shared" si="2"/>
        <v>781371</v>
      </c>
      <c r="J19" s="1950">
        <f t="shared" si="2"/>
        <v>0</v>
      </c>
      <c r="K19" s="1950">
        <f t="shared" si="2"/>
        <v>0</v>
      </c>
      <c r="L19" s="1950">
        <f t="shared" si="2"/>
        <v>781371</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5.0187492439820972E-2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Kenilworth SD</v>
      </c>
      <c r="M52" s="2437"/>
      <c r="N52" s="2438"/>
    </row>
    <row r="53" spans="1:14" x14ac:dyDescent="0.2">
      <c r="A53" s="1982"/>
      <c r="B53" s="1983"/>
      <c r="C53" s="1983"/>
      <c r="D53" s="1983"/>
      <c r="E53" s="1983"/>
      <c r="F53" s="1983"/>
      <c r="G53" s="1983"/>
      <c r="H53" s="1983"/>
      <c r="I53" s="1983"/>
      <c r="J53" s="1983"/>
      <c r="K53" s="1924" t="s">
        <v>369</v>
      </c>
      <c r="L53" s="2439">
        <f>J7</f>
        <v>5016038002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304</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304</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v>2</v>
      </c>
      <c r="B6" s="307" t="s">
        <v>2074</v>
      </c>
    </row>
    <row r="7" spans="1:2" x14ac:dyDescent="0.2">
      <c r="A7" s="847">
        <v>3</v>
      </c>
      <c r="B7" s="307" t="s">
        <v>2071</v>
      </c>
    </row>
    <row r="8" spans="1:2" x14ac:dyDescent="0.2">
      <c r="A8" s="847">
        <v>4</v>
      </c>
      <c r="B8" s="307" t="s">
        <v>2072</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Kenilworth SD</v>
      </c>
    </row>
    <row r="65" spans="2:2" x14ac:dyDescent="0.2">
      <c r="B65" s="849">
        <f>COVER!A13</f>
        <v>5016038002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Layout"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Document" dvAspect="DVASPECT_ICON" shapeId="43010" r:id="rId4"/>
      </mc:Fallback>
    </mc:AlternateContent>
    <mc:AlternateContent xmlns:mc="http://schemas.openxmlformats.org/markup-compatibility/2006">
      <mc:Choice Requires="x14">
        <oleObject progId="Acrobat Document" dvAspect="DVASPECT_ICON" shapeId="43014" r:id="rId6">
          <objectPr defaultSize="0" r:id="rId7">
            <anchor moveWithCells="1">
              <from>
                <xdr:col>1</xdr:col>
                <xdr:colOff>19050</xdr:colOff>
                <xdr:row>6</xdr:row>
                <xdr:rowOff>66675</xdr:rowOff>
              </from>
              <to>
                <xdr:col>1</xdr:col>
                <xdr:colOff>933450</xdr:colOff>
                <xdr:row>10</xdr:row>
                <xdr:rowOff>104775</xdr:rowOff>
              </to>
            </anchor>
          </objectPr>
        </oleObject>
      </mc:Choice>
      <mc:Fallback>
        <oleObject progId="Acrobat Document" dvAspect="DVASPECT_ICON" shapeId="430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11378947</v>
      </c>
      <c r="C8" s="1813">
        <f>'Acct Summary 7-8'!D8</f>
        <v>1608601</v>
      </c>
      <c r="D8" s="1813">
        <f>'Acct Summary 7-8'!F8</f>
        <v>102629</v>
      </c>
      <c r="E8" s="1813">
        <f>'Acct Summary 7-8'!I8</f>
        <v>12449</v>
      </c>
      <c r="F8" s="1813">
        <f>SUM(B8:E8)</f>
        <v>13102626</v>
      </c>
    </row>
    <row r="9" spans="1:8" s="858" customFormat="1" ht="14.25" customHeight="1" thickBot="1" x14ac:dyDescent="0.25">
      <c r="A9" s="857" t="s">
        <v>1353</v>
      </c>
      <c r="B9" s="1814">
        <f>'Acct Summary 7-8'!C17</f>
        <v>11613884</v>
      </c>
      <c r="C9" s="1814">
        <f>'Acct Summary 7-8'!D17</f>
        <v>804525</v>
      </c>
      <c r="D9" s="1814">
        <f>'Acct Summary 7-8'!F17</f>
        <v>50100</v>
      </c>
      <c r="E9" s="1813"/>
      <c r="F9" s="1813">
        <f>SUM(B9:E9)</f>
        <v>12468509</v>
      </c>
    </row>
    <row r="10" spans="1:8" s="858" customFormat="1" ht="14.25" thickTop="1" thickBot="1" x14ac:dyDescent="0.25">
      <c r="A10" s="859" t="s">
        <v>1354</v>
      </c>
      <c r="B10" s="1815">
        <f>(B8-B9)</f>
        <v>-234937</v>
      </c>
      <c r="C10" s="1815">
        <f>(C8-C9)</f>
        <v>804076</v>
      </c>
      <c r="D10" s="1815">
        <f>(D8-D9)</f>
        <v>52529</v>
      </c>
      <c r="E10" s="1814">
        <f>(E8-E9)</f>
        <v>12449</v>
      </c>
      <c r="F10" s="1816">
        <f>SUM(F8-F9)</f>
        <v>634117</v>
      </c>
    </row>
    <row r="11" spans="1:8" s="858" customFormat="1" ht="14.25" thickTop="1" thickBot="1" x14ac:dyDescent="0.25">
      <c r="A11" s="860" t="s">
        <v>1903</v>
      </c>
      <c r="B11" s="1817">
        <f>'Acct Summary 7-8'!C81</f>
        <v>8563330</v>
      </c>
      <c r="C11" s="1817">
        <f>'Acct Summary 7-8'!D81</f>
        <v>7734060</v>
      </c>
      <c r="D11" s="1817">
        <f>'Acct Summary 7-8'!F81</f>
        <v>119658</v>
      </c>
      <c r="E11" s="1817">
        <f>'Acct Summary 7-8'!I81</f>
        <v>2984293</v>
      </c>
      <c r="F11" s="1818">
        <f>SUM(B11:E11)</f>
        <v>19401341</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5016038002</v>
      </c>
      <c r="E2" s="1542">
        <v>2020</v>
      </c>
      <c r="F2" s="1542">
        <v>1</v>
      </c>
      <c r="G2" s="1899">
        <v>101000300</v>
      </c>
    </row>
    <row r="3" spans="1:7" ht="15" x14ac:dyDescent="0.25">
      <c r="A3" t="s">
        <v>950</v>
      </c>
      <c r="B3" s="135" t="str">
        <f>COVER!A15</f>
        <v>COOK</v>
      </c>
      <c r="E3" s="1830" t="s">
        <v>1971</v>
      </c>
      <c r="F3" s="1830" t="s">
        <v>1970</v>
      </c>
      <c r="G3" s="1899">
        <v>101000400</v>
      </c>
    </row>
    <row r="4" spans="1:7" ht="15" x14ac:dyDescent="0.25">
      <c r="A4" t="s">
        <v>1000</v>
      </c>
      <c r="B4" s="135" t="str">
        <f>COVER!A17</f>
        <v xml:space="preserve">  Kenilworth SD</v>
      </c>
      <c r="E4" s="1828">
        <v>44119</v>
      </c>
      <c r="F4" s="1829">
        <v>44151</v>
      </c>
      <c r="G4" s="1899">
        <v>101000600</v>
      </c>
    </row>
    <row r="5" spans="1:7" ht="15" x14ac:dyDescent="0.25">
      <c r="A5" t="s">
        <v>699</v>
      </c>
      <c r="B5" s="135" t="str">
        <f>COVER!A38</f>
        <v>CATHERINE DONEGAN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66005323</v>
      </c>
      <c r="G15" s="1899">
        <v>402100400</v>
      </c>
    </row>
    <row r="16" spans="1:7" ht="15" x14ac:dyDescent="0.25">
      <c r="A16" t="s">
        <v>419</v>
      </c>
      <c r="B16" s="135" t="str">
        <f>COVER!T13</f>
        <v>GEORGE ROACH &amp; ASSOCIATES, P.C.</v>
      </c>
      <c r="G16" s="1899">
        <v>402100600</v>
      </c>
    </row>
    <row r="17" spans="1:7" ht="15" x14ac:dyDescent="0.25">
      <c r="A17" t="s">
        <v>878</v>
      </c>
      <c r="B17" s="135" t="str">
        <f>COVER!T15</f>
        <v>JOSEPH TROYER</v>
      </c>
      <c r="G17" s="1899">
        <v>402100800</v>
      </c>
    </row>
    <row r="18" spans="1:7" ht="15" x14ac:dyDescent="0.25">
      <c r="A18" t="s">
        <v>1140</v>
      </c>
      <c r="B18" s="135" t="str">
        <f>COVER!T17</f>
        <v>44 N. WALKUP AVE.</v>
      </c>
      <c r="G18" s="1899">
        <v>102200300</v>
      </c>
    </row>
    <row r="19" spans="1:7" ht="15" x14ac:dyDescent="0.25">
      <c r="A19" t="s">
        <v>880</v>
      </c>
      <c r="B19" s="135" t="str">
        <f>COVER!T25</f>
        <v>JOE@GRA-CPA.COM</v>
      </c>
      <c r="G19" s="1899">
        <v>102200400</v>
      </c>
    </row>
    <row r="20" spans="1:7" ht="15" x14ac:dyDescent="0.25">
      <c r="A20" t="s">
        <v>881</v>
      </c>
      <c r="B20" s="135" t="str">
        <f>COVER!T19</f>
        <v>CRYSTAL LAKE</v>
      </c>
      <c r="G20" s="1899">
        <v>102200600</v>
      </c>
    </row>
    <row r="21" spans="1:7" ht="15" x14ac:dyDescent="0.25">
      <c r="A21" t="s">
        <v>476</v>
      </c>
      <c r="B21" s="135" t="str">
        <f>COVER!X19</f>
        <v>IL</v>
      </c>
      <c r="G21" s="1899">
        <v>102200800</v>
      </c>
    </row>
    <row r="22" spans="1:7" ht="15" x14ac:dyDescent="0.25">
      <c r="A22" t="s">
        <v>882</v>
      </c>
      <c r="B22" s="135">
        <f>COVER!Z19</f>
        <v>60014</v>
      </c>
      <c r="G22" s="1899">
        <v>102300300</v>
      </c>
    </row>
    <row r="23" spans="1:7" ht="15" x14ac:dyDescent="0.25">
      <c r="A23" t="s">
        <v>1142</v>
      </c>
      <c r="B23" s="135" t="str">
        <f>COVER!T21</f>
        <v>815-459-0700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33512</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9417434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854104</v>
      </c>
      <c r="C91" s="2" t="s">
        <v>569</v>
      </c>
      <c r="D91" s="2" t="str">
        <f t="shared" si="0"/>
        <v>Error?</v>
      </c>
      <c r="G91" s="1899">
        <v>102640400</v>
      </c>
    </row>
    <row r="92" spans="1:7" ht="15" x14ac:dyDescent="0.25">
      <c r="A92" s="5">
        <v>31</v>
      </c>
      <c r="B92" s="1832">
        <f>'Assets-Liab 5-6'!C39</f>
        <v>8563330</v>
      </c>
      <c r="D92" s="2" t="str">
        <f t="shared" si="0"/>
        <v>Error?</v>
      </c>
      <c r="G92" s="1899">
        <v>102640600</v>
      </c>
    </row>
    <row r="93" spans="1:7" ht="15" x14ac:dyDescent="0.25">
      <c r="A93" s="5">
        <v>32</v>
      </c>
      <c r="B93" s="1832">
        <f>'Assets-Liab 5-6'!C41</f>
        <v>9417434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7734060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7734060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991284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991284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119658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119658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453784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14733</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453784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3199694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3199694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26342</v>
      </c>
      <c r="D273" s="2" t="str">
        <f t="shared" si="3"/>
        <v>Error?</v>
      </c>
    </row>
    <row r="274" spans="1:4" x14ac:dyDescent="0.2">
      <c r="A274" s="5">
        <v>213</v>
      </c>
      <c r="B274" s="1832">
        <f>'Assets-Liab 5-6'!M17</f>
        <v>16240001</v>
      </c>
      <c r="D274" s="2" t="str">
        <f t="shared" si="3"/>
        <v>Error?</v>
      </c>
    </row>
    <row r="275" spans="1:4" x14ac:dyDescent="0.2">
      <c r="A275" s="5">
        <v>214</v>
      </c>
      <c r="B275" s="1832">
        <f>'Assets-Liab 5-6'!M18</f>
        <v>454921</v>
      </c>
      <c r="D275" s="2" t="str">
        <f t="shared" si="3"/>
        <v>Error?</v>
      </c>
    </row>
    <row r="276" spans="1:4" x14ac:dyDescent="0.2">
      <c r="A276" s="5">
        <v>215</v>
      </c>
      <c r="B276" s="1832">
        <f>'Assets-Liab 5-6'!M19</f>
        <v>1910195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18631459</v>
      </c>
      <c r="C279" s="2" t="s">
        <v>569</v>
      </c>
      <c r="D279" s="2" t="str">
        <f t="shared" si="3"/>
        <v>Error?</v>
      </c>
    </row>
    <row r="280" spans="1:4" x14ac:dyDescent="0.2">
      <c r="A280" s="5">
        <v>219</v>
      </c>
      <c r="B280" s="1832">
        <f>'Assets-Liab 5-6'!M40</f>
        <v>18631459</v>
      </c>
      <c r="D280" s="2" t="str">
        <f t="shared" si="3"/>
        <v>Error?</v>
      </c>
    </row>
    <row r="281" spans="1:4" x14ac:dyDescent="0.2">
      <c r="A281" s="5">
        <v>220</v>
      </c>
      <c r="B281" s="1832">
        <f>'Assets-Liab 5-6'!M41</f>
        <v>18631459</v>
      </c>
      <c r="C281" s="2" t="s">
        <v>569</v>
      </c>
      <c r="D281" s="2" t="str">
        <f t="shared" si="3"/>
        <v>Error?</v>
      </c>
    </row>
    <row r="282" spans="1:4" x14ac:dyDescent="0.2">
      <c r="A282" s="5">
        <v>221</v>
      </c>
      <c r="B282" s="1832">
        <f>'Assets-Liab 5-6'!N21</f>
        <v>991284</v>
      </c>
      <c r="D282" s="2" t="str">
        <f t="shared" si="3"/>
        <v>Error?</v>
      </c>
    </row>
    <row r="283" spans="1:4" x14ac:dyDescent="0.2">
      <c r="A283" s="5">
        <v>222</v>
      </c>
      <c r="B283" s="1832">
        <f>'Assets-Liab 5-6'!N22</f>
        <v>6948716</v>
      </c>
      <c r="D283" s="2" t="str">
        <f t="shared" si="3"/>
        <v>Error?</v>
      </c>
    </row>
    <row r="284" spans="1:4" x14ac:dyDescent="0.2">
      <c r="A284" s="5">
        <v>223</v>
      </c>
      <c r="B284" s="1832">
        <f>'Assets-Liab 5-6'!N23</f>
        <v>7940000</v>
      </c>
      <c r="C284" s="2" t="s">
        <v>569</v>
      </c>
      <c r="D284" s="2" t="str">
        <f t="shared" si="3"/>
        <v>Error?</v>
      </c>
    </row>
    <row r="285" spans="1:4" x14ac:dyDescent="0.2">
      <c r="A285" s="5">
        <v>224</v>
      </c>
      <c r="B285" s="1832">
        <f>'Assets-Liab 5-6'!N36</f>
        <v>7940000</v>
      </c>
      <c r="D285" s="2" t="str">
        <f t="shared" si="3"/>
        <v>Error?</v>
      </c>
    </row>
    <row r="286" spans="1:4" x14ac:dyDescent="0.2">
      <c r="A286" s="10">
        <v>225</v>
      </c>
      <c r="B286" s="1832"/>
      <c r="D286" s="2" t="str">
        <f t="shared" si="3"/>
        <v>OK</v>
      </c>
    </row>
    <row r="287" spans="1:4" x14ac:dyDescent="0.2">
      <c r="A287" s="5">
        <v>226</v>
      </c>
      <c r="B287" s="1832">
        <f>'Assets-Liab 5-6'!N37</f>
        <v>7940000</v>
      </c>
      <c r="C287" s="2" t="s">
        <v>569</v>
      </c>
      <c r="D287" s="2" t="str">
        <f t="shared" si="3"/>
        <v>Error?</v>
      </c>
    </row>
    <row r="288" spans="1:4" x14ac:dyDescent="0.2">
      <c r="A288" s="5">
        <v>227</v>
      </c>
      <c r="B288" s="1832">
        <f>'Assets-Liab 5-6'!N41</f>
        <v>7940000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4616520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58000</v>
      </c>
      <c r="D718" s="2" t="str">
        <f t="shared" si="10"/>
        <v>Error?</v>
      </c>
    </row>
    <row r="719" spans="1:4" x14ac:dyDescent="0.2">
      <c r="A719" s="5">
        <v>658</v>
      </c>
      <c r="B719" s="1832">
        <f>'Expenditures 15-22'!C15</f>
        <v>26145</v>
      </c>
      <c r="D719" s="2" t="str">
        <f t="shared" si="10"/>
        <v>Error?</v>
      </c>
    </row>
    <row r="720" spans="1:4" x14ac:dyDescent="0.2">
      <c r="A720" s="5">
        <v>659</v>
      </c>
      <c r="B720" s="1832">
        <f>'Expenditures 15-22'!C33</f>
        <v>5904716</v>
      </c>
      <c r="C720" s="2" t="s">
        <v>569</v>
      </c>
      <c r="D720" s="2" t="str">
        <f t="shared" si="10"/>
        <v>Error?</v>
      </c>
    </row>
    <row r="721" spans="1:4" x14ac:dyDescent="0.2">
      <c r="A721" s="5">
        <v>660</v>
      </c>
      <c r="B721" s="1832">
        <f>'Expenditures 15-22'!C36</f>
        <v>162145</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61937</v>
      </c>
      <c r="D723" s="2" t="str">
        <f t="shared" si="10"/>
        <v>Error?</v>
      </c>
    </row>
    <row r="724" spans="1:4" x14ac:dyDescent="0.2">
      <c r="A724" s="5">
        <v>663</v>
      </c>
      <c r="B724" s="1832">
        <f>'Expenditures 15-22'!C39</f>
        <v>68059</v>
      </c>
      <c r="D724" s="2" t="str">
        <f t="shared" si="10"/>
        <v>Error?</v>
      </c>
    </row>
    <row r="725" spans="1:4" x14ac:dyDescent="0.2">
      <c r="A725" s="5">
        <v>664</v>
      </c>
      <c r="B725" s="1832">
        <f>'Expenditures 15-22'!C40</f>
        <v>74913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367054</v>
      </c>
      <c r="C727" s="2" t="s">
        <v>569</v>
      </c>
      <c r="D727" s="2" t="str">
        <f t="shared" si="10"/>
        <v>Error?</v>
      </c>
    </row>
    <row r="728" spans="1:4" x14ac:dyDescent="0.2">
      <c r="A728" s="5">
        <v>667</v>
      </c>
      <c r="B728" s="1832">
        <f>'Expenditures 15-22'!C44</f>
        <v>53506</v>
      </c>
      <c r="D728" s="2" t="str">
        <f t="shared" si="10"/>
        <v>Error?</v>
      </c>
    </row>
    <row r="729" spans="1:4" x14ac:dyDescent="0.2">
      <c r="A729" s="5">
        <v>668</v>
      </c>
      <c r="B729" s="1832">
        <f>'Expenditures 15-22'!C45</f>
        <v>493421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546927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223736</v>
      </c>
      <c r="D733" s="2" t="str">
        <f t="shared" si="10"/>
        <v>Error?</v>
      </c>
    </row>
    <row r="734" spans="1:4" x14ac:dyDescent="0.2">
      <c r="A734" s="5">
        <v>673</v>
      </c>
      <c r="B734" s="1832">
        <f>'Expenditures 15-22'!C53</f>
        <v>464738</v>
      </c>
      <c r="C734" s="2" t="s">
        <v>569</v>
      </c>
      <c r="D734" s="2" t="str">
        <f t="shared" si="10"/>
        <v>Error?</v>
      </c>
    </row>
    <row r="735" spans="1:4" x14ac:dyDescent="0.2">
      <c r="A735" s="5">
        <v>674</v>
      </c>
      <c r="B735" s="1832">
        <f>'Expenditures 15-22'!C55</f>
        <v>585929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585929</v>
      </c>
      <c r="C737" s="2" t="s">
        <v>569</v>
      </c>
      <c r="D737" s="2" t="str">
        <f t="shared" si="10"/>
        <v>Error?</v>
      </c>
    </row>
    <row r="738" spans="1:4" x14ac:dyDescent="0.2">
      <c r="A738" s="5">
        <v>677</v>
      </c>
      <c r="B738" s="1832">
        <f>'Expenditures 15-22'!C59</f>
        <v>92115</v>
      </c>
      <c r="D738" s="2" t="str">
        <f t="shared" si="10"/>
        <v>Error?</v>
      </c>
    </row>
    <row r="739" spans="1:4" x14ac:dyDescent="0.2">
      <c r="A739" s="5">
        <v>678</v>
      </c>
      <c r="B739" s="1832">
        <f>'Expenditures 15-22'!C60</f>
        <v>109059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201174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2165822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8070538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890418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479</v>
      </c>
      <c r="D776" s="2" t="str">
        <f t="shared" si="11"/>
        <v>Error?</v>
      </c>
    </row>
    <row r="777" spans="1:4" x14ac:dyDescent="0.2">
      <c r="A777" s="5">
        <v>716</v>
      </c>
      <c r="B777" s="1832">
        <f>'Expenditures 15-22'!D15</f>
        <v>392</v>
      </c>
      <c r="D777" s="2" t="str">
        <f t="shared" si="11"/>
        <v>Error?</v>
      </c>
    </row>
    <row r="778" spans="1:4" x14ac:dyDescent="0.2">
      <c r="A778" s="5">
        <v>717</v>
      </c>
      <c r="B778" s="1832">
        <f>'Expenditures 15-22'!D33</f>
        <v>1199753</v>
      </c>
      <c r="C778" s="2" t="s">
        <v>569</v>
      </c>
      <c r="D778" s="2" t="str">
        <f t="shared" si="11"/>
        <v>Error?</v>
      </c>
    </row>
    <row r="779" spans="1:4" x14ac:dyDescent="0.2">
      <c r="A779" s="5">
        <v>718</v>
      </c>
      <c r="B779" s="1832">
        <f>'Expenditures 15-22'!D36</f>
        <v>30084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1093</v>
      </c>
      <c r="D781" s="2" t="str">
        <f t="shared" si="11"/>
        <v>Error?</v>
      </c>
    </row>
    <row r="782" spans="1:4" x14ac:dyDescent="0.2">
      <c r="A782" s="5">
        <v>721</v>
      </c>
      <c r="B782" s="1832">
        <f>'Expenditures 15-22'!D39</f>
        <v>11145</v>
      </c>
      <c r="D782" s="2" t="str">
        <f t="shared" si="11"/>
        <v>Error?</v>
      </c>
    </row>
    <row r="783" spans="1:4" x14ac:dyDescent="0.2">
      <c r="A783" s="5">
        <v>722</v>
      </c>
      <c r="B783" s="1832">
        <f>'Expenditures 15-22'!D40</f>
        <v>11248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53570</v>
      </c>
      <c r="C785" s="2" t="s">
        <v>569</v>
      </c>
      <c r="D785" s="2" t="str">
        <f t="shared" si="11"/>
        <v>Error?</v>
      </c>
    </row>
    <row r="786" spans="1:4" x14ac:dyDescent="0.2">
      <c r="A786" s="5">
        <v>725</v>
      </c>
      <c r="B786" s="1832">
        <f>'Expenditures 15-22'!D44</f>
        <v>803</v>
      </c>
      <c r="D786" s="2" t="str">
        <f t="shared" si="11"/>
        <v>Error?</v>
      </c>
    </row>
    <row r="787" spans="1:4" x14ac:dyDescent="0.2">
      <c r="A787" s="5">
        <v>726</v>
      </c>
      <c r="B787" s="1832">
        <f>'Expenditures 15-22'!D45</f>
        <v>89343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90146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37829</v>
      </c>
      <c r="D791" s="2" t="str">
        <f t="shared" si="11"/>
        <v>Error?</v>
      </c>
    </row>
    <row r="792" spans="1:4" x14ac:dyDescent="0.2">
      <c r="A792" s="5">
        <v>731</v>
      </c>
      <c r="B792" s="1832">
        <f>'Expenditures 15-22'!D53</f>
        <v>61431</v>
      </c>
      <c r="C792" s="2" t="s">
        <v>569</v>
      </c>
      <c r="D792" s="2" t="str">
        <f t="shared" si="11"/>
        <v>Error?</v>
      </c>
    </row>
    <row r="793" spans="1:4" x14ac:dyDescent="0.2">
      <c r="A793" s="5">
        <v>732</v>
      </c>
      <c r="B793" s="1832">
        <f>'Expenditures 15-22'!D55</f>
        <v>180805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180805</v>
      </c>
      <c r="C795" s="2" t="s">
        <v>569</v>
      </c>
      <c r="D795" s="2" t="str">
        <f t="shared" si="11"/>
        <v>Error?</v>
      </c>
    </row>
    <row r="796" spans="1:4" x14ac:dyDescent="0.2">
      <c r="A796" s="5">
        <v>735</v>
      </c>
      <c r="B796" s="1832">
        <f>'Expenditures 15-22'!D59</f>
        <v>22065</v>
      </c>
      <c r="D796" s="2" t="str">
        <f t="shared" si="11"/>
        <v>Error?</v>
      </c>
    </row>
    <row r="797" spans="1:4" x14ac:dyDescent="0.2">
      <c r="A797" s="5">
        <v>736</v>
      </c>
      <c r="B797" s="1832">
        <f>'Expenditures 15-22'!D60</f>
        <v>34972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57037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442989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1642742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26896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4603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34030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17760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17760</v>
      </c>
      <c r="C843" s="2" t="s">
        <v>569</v>
      </c>
      <c r="D843" s="2" t="str">
        <f t="shared" si="12"/>
        <v>Error?</v>
      </c>
    </row>
    <row r="844" spans="1:4" x14ac:dyDescent="0.2">
      <c r="A844" s="5">
        <v>783</v>
      </c>
      <c r="B844" s="1832">
        <f>'Expenditures 15-22'!E44</f>
        <v>169138</v>
      </c>
      <c r="D844" s="2" t="str">
        <f t="shared" si="12"/>
        <v>Error?</v>
      </c>
    </row>
    <row r="845" spans="1:4" x14ac:dyDescent="0.2">
      <c r="A845" s="5">
        <v>784</v>
      </c>
      <c r="B845" s="1832">
        <f>'Expenditures 15-22'!E45</f>
        <v>283321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452459</v>
      </c>
      <c r="C847" s="2" t="s">
        <v>569</v>
      </c>
      <c r="D847" s="2" t="str">
        <f t="shared" si="12"/>
        <v>Error?</v>
      </c>
    </row>
    <row r="848" spans="1:4" x14ac:dyDescent="0.2">
      <c r="A848" s="5">
        <v>787</v>
      </c>
      <c r="B848" s="1832">
        <f>'Expenditures 15-22'!E49</f>
        <v>164378</v>
      </c>
      <c r="D848" s="2" t="str">
        <f t="shared" si="12"/>
        <v>Error?</v>
      </c>
    </row>
    <row r="849" spans="1:4" x14ac:dyDescent="0.2">
      <c r="A849" s="5">
        <v>788</v>
      </c>
      <c r="B849" s="1832">
        <f>'Expenditures 15-22'!E50</f>
        <v>3187</v>
      </c>
      <c r="D849" s="2" t="str">
        <f t="shared" si="12"/>
        <v>Error?</v>
      </c>
    </row>
    <row r="850" spans="1:4" x14ac:dyDescent="0.2">
      <c r="A850" s="5">
        <v>789</v>
      </c>
      <c r="B850" s="1832">
        <f>'Expenditures 15-22'!E53</f>
        <v>243201</v>
      </c>
      <c r="C850" s="2" t="s">
        <v>569</v>
      </c>
      <c r="D850" s="2" t="str">
        <f t="shared" si="12"/>
        <v>Error?</v>
      </c>
    </row>
    <row r="851" spans="1:4" x14ac:dyDescent="0.2">
      <c r="A851" s="5">
        <v>790</v>
      </c>
      <c r="B851" s="1832">
        <f>'Expenditures 15-22'!E55</f>
        <v>34479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34479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7074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20909</v>
      </c>
      <c r="D859" s="2" t="str">
        <f t="shared" si="12"/>
        <v>Error?</v>
      </c>
    </row>
    <row r="860" spans="1:4" x14ac:dyDescent="0.2">
      <c r="A860" s="10">
        <v>799</v>
      </c>
      <c r="B860" s="1832"/>
      <c r="D860" s="2" t="str">
        <f t="shared" si="12"/>
        <v>OK</v>
      </c>
    </row>
    <row r="861" spans="1:4" x14ac:dyDescent="0.2">
      <c r="A861" s="5">
        <v>800</v>
      </c>
      <c r="B861" s="1832">
        <f>'Expenditures 15-22'!E65</f>
        <v>27983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10389</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10389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786271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820301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282285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305548</v>
      </c>
      <c r="C894" s="2" t="s">
        <v>569</v>
      </c>
      <c r="D894" s="2" t="str">
        <f t="shared" si="12"/>
        <v>Error?</v>
      </c>
    </row>
    <row r="895" spans="1:4" x14ac:dyDescent="0.2">
      <c r="A895" s="5">
        <v>834</v>
      </c>
      <c r="B895" s="1832">
        <f>'Expenditures 15-22'!F36</f>
        <v>26</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5482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916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6424</v>
      </c>
      <c r="C901" s="2" t="s">
        <v>569</v>
      </c>
      <c r="D901" s="2" t="str">
        <f t="shared" si="13"/>
        <v>Error?</v>
      </c>
    </row>
    <row r="902" spans="1:4" x14ac:dyDescent="0.2">
      <c r="A902" s="5">
        <v>841</v>
      </c>
      <c r="B902" s="1832">
        <f>'Expenditures 15-22'!F44</f>
        <v>1199</v>
      </c>
      <c r="D902" s="2" t="str">
        <f t="shared" si="13"/>
        <v>Error?</v>
      </c>
    </row>
    <row r="903" spans="1:4" x14ac:dyDescent="0.2">
      <c r="A903" s="5">
        <v>842</v>
      </c>
      <c r="B903" s="1832">
        <f>'Expenditures 15-22'!F45</f>
        <v>87066</v>
      </c>
      <c r="D903" s="2" t="str">
        <f t="shared" si="13"/>
        <v>Error?</v>
      </c>
    </row>
    <row r="904" spans="1:4" x14ac:dyDescent="0.2">
      <c r="A904" s="5">
        <v>843</v>
      </c>
      <c r="B904" s="1832">
        <f>'Expenditures 15-22'!F46</f>
        <v>4967</v>
      </c>
      <c r="D904" s="2" t="str">
        <f t="shared" si="13"/>
        <v>Error?</v>
      </c>
    </row>
    <row r="905" spans="1:4" x14ac:dyDescent="0.2">
      <c r="A905" s="5">
        <v>844</v>
      </c>
      <c r="B905" s="1832">
        <f>'Expenditures 15-22'!F47</f>
        <v>93232</v>
      </c>
      <c r="C905" s="2" t="s">
        <v>569</v>
      </c>
      <c r="D905" s="2" t="str">
        <f t="shared" si="13"/>
        <v>Error?</v>
      </c>
    </row>
    <row r="906" spans="1:4" x14ac:dyDescent="0.2">
      <c r="A906" s="5">
        <v>845</v>
      </c>
      <c r="B906" s="1832">
        <f>'Expenditures 15-22'!F49</f>
        <v>2440</v>
      </c>
      <c r="D906" s="2" t="str">
        <f t="shared" si="13"/>
        <v>Error?</v>
      </c>
    </row>
    <row r="907" spans="1:4" x14ac:dyDescent="0.2">
      <c r="A907" s="5">
        <v>846</v>
      </c>
      <c r="B907" s="1832">
        <f>'Expenditures 15-22'!F50</f>
        <v>1451</v>
      </c>
      <c r="D907" s="2" t="str">
        <f t="shared" si="13"/>
        <v>Error?</v>
      </c>
    </row>
    <row r="908" spans="1:4" x14ac:dyDescent="0.2">
      <c r="A908" s="5">
        <v>847</v>
      </c>
      <c r="B908" s="1832">
        <f>'Expenditures 15-22'!F53</f>
        <v>3891</v>
      </c>
      <c r="C908" s="2" t="s">
        <v>569</v>
      </c>
      <c r="D908" s="2" t="str">
        <f t="shared" si="13"/>
        <v>Error?</v>
      </c>
    </row>
    <row r="909" spans="1:4" x14ac:dyDescent="0.2">
      <c r="A909" s="5">
        <v>848</v>
      </c>
      <c r="B909" s="1832">
        <f>'Expenditures 15-22'!F55</f>
        <v>9319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9319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12118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42961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55079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167945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473493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17822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17822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19329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19329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19329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37151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2498</v>
      </c>
      <c r="D1023" s="2" t="str">
        <f t="shared" ref="D1023:D1086" si="15">IF(ISBLANK(B1023),"OK",IF(A1023-B1023=0,"OK","Error?"))</f>
        <v>Error?</v>
      </c>
    </row>
    <row r="1024" spans="1:4" x14ac:dyDescent="0.2">
      <c r="A1024" s="5">
        <v>963</v>
      </c>
      <c r="B1024" s="1832">
        <f>'Expenditures 15-22'!H53</f>
        <v>2498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2498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360013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362511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5976875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63082</v>
      </c>
      <c r="C1106" s="2" t="s">
        <v>569</v>
      </c>
      <c r="D1106" s="2" t="str">
        <f t="shared" si="16"/>
        <v>Error?</v>
      </c>
    </row>
    <row r="1107" spans="1:4" x14ac:dyDescent="0.2">
      <c r="A1107" s="5">
        <v>1046</v>
      </c>
      <c r="B1107" s="1832">
        <f>'Expenditures 15-22'!K15</f>
        <v>26537</v>
      </c>
      <c r="C1107" s="2" t="s">
        <v>569</v>
      </c>
      <c r="D1107" s="2" t="str">
        <f t="shared" si="16"/>
        <v>Error?</v>
      </c>
    </row>
    <row r="1108" spans="1:4" x14ac:dyDescent="0.2">
      <c r="A1108" s="5">
        <v>1047</v>
      </c>
      <c r="B1108" s="1832">
        <f>'Expenditures 15-22'!K33</f>
        <v>7604803</v>
      </c>
      <c r="C1108" s="2" t="s">
        <v>569</v>
      </c>
      <c r="D1108" s="2" t="str">
        <f t="shared" si="16"/>
        <v>Error?</v>
      </c>
    </row>
    <row r="1109" spans="1:4" x14ac:dyDescent="0.2">
      <c r="A1109" s="5">
        <v>1048</v>
      </c>
      <c r="B1109" s="1832">
        <f>'Expenditures 15-22'!K36</f>
        <v>192255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86272</v>
      </c>
      <c r="C1111" s="2" t="s">
        <v>569</v>
      </c>
      <c r="D1111" s="2" t="str">
        <f t="shared" si="16"/>
        <v>Error?</v>
      </c>
    </row>
    <row r="1112" spans="1:4" x14ac:dyDescent="0.2">
      <c r="A1112" s="5">
        <v>1051</v>
      </c>
      <c r="B1112" s="1832">
        <f>'Expenditures 15-22'!K39</f>
        <v>79204</v>
      </c>
      <c r="C1112" s="2" t="s">
        <v>569</v>
      </c>
      <c r="D1112" s="2" t="str">
        <f t="shared" si="16"/>
        <v>Error?</v>
      </c>
    </row>
    <row r="1113" spans="1:4" x14ac:dyDescent="0.2">
      <c r="A1113" s="5">
        <v>1052</v>
      </c>
      <c r="B1113" s="1832">
        <f>'Expenditures 15-22'!K40</f>
        <v>87077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444808</v>
      </c>
      <c r="C1115" s="2" t="s">
        <v>569</v>
      </c>
      <c r="D1115" s="2" t="str">
        <f t="shared" si="16"/>
        <v>Error?</v>
      </c>
    </row>
    <row r="1116" spans="1:4" x14ac:dyDescent="0.2">
      <c r="A1116" s="5">
        <v>1055</v>
      </c>
      <c r="B1116" s="1832">
        <f>'Expenditures 15-22'!K44</f>
        <v>224646</v>
      </c>
      <c r="C1116" s="2" t="s">
        <v>569</v>
      </c>
      <c r="D1116" s="2" t="str">
        <f t="shared" si="16"/>
        <v>Error?</v>
      </c>
    </row>
    <row r="1117" spans="1:4" x14ac:dyDescent="0.2">
      <c r="A1117" s="5">
        <v>1056</v>
      </c>
      <c r="B1117" s="1832">
        <f>'Expenditures 15-22'!K45</f>
        <v>1036694</v>
      </c>
      <c r="C1117" s="2" t="s">
        <v>569</v>
      </c>
      <c r="D1117" s="2" t="str">
        <f t="shared" si="16"/>
        <v>Error?</v>
      </c>
    </row>
    <row r="1118" spans="1:4" x14ac:dyDescent="0.2">
      <c r="A1118" s="5">
        <v>1057</v>
      </c>
      <c r="B1118" s="1832">
        <f>'Expenditures 15-22'!K46</f>
        <v>4967</v>
      </c>
      <c r="C1118" s="2" t="s">
        <v>569</v>
      </c>
      <c r="D1118" s="2" t="str">
        <f t="shared" si="16"/>
        <v>Error?</v>
      </c>
    </row>
    <row r="1119" spans="1:4" x14ac:dyDescent="0.2">
      <c r="A1119" s="5">
        <v>1058</v>
      </c>
      <c r="B1119" s="1832">
        <f>'Expenditures 15-22'!K47</f>
        <v>1266307</v>
      </c>
      <c r="C1119" s="2" t="s">
        <v>569</v>
      </c>
      <c r="D1119" s="2" t="str">
        <f t="shared" si="16"/>
        <v>Error?</v>
      </c>
    </row>
    <row r="1120" spans="1:4" x14ac:dyDescent="0.2">
      <c r="A1120" s="5">
        <v>1059</v>
      </c>
      <c r="B1120" s="1832">
        <f>'Expenditures 15-22'!K49</f>
        <v>166818</v>
      </c>
      <c r="C1120" s="2" t="s">
        <v>569</v>
      </c>
      <c r="D1120" s="2" t="str">
        <f t="shared" si="16"/>
        <v>Error?</v>
      </c>
    </row>
    <row r="1121" spans="1:4" x14ac:dyDescent="0.2">
      <c r="A1121" s="5">
        <v>1060</v>
      </c>
      <c r="B1121" s="1832">
        <f>'Expenditures 15-22'!K50</f>
        <v>268701</v>
      </c>
      <c r="C1121" s="2" t="s">
        <v>569</v>
      </c>
      <c r="D1121" s="2" t="str">
        <f t="shared" si="16"/>
        <v>Error?</v>
      </c>
    </row>
    <row r="1122" spans="1:4" x14ac:dyDescent="0.2">
      <c r="A1122" s="5">
        <v>1061</v>
      </c>
      <c r="B1122" s="1832">
        <f>'Expenditures 15-22'!K53</f>
        <v>775759</v>
      </c>
      <c r="C1122" s="2" t="s">
        <v>569</v>
      </c>
      <c r="D1122" s="2" t="str">
        <f t="shared" si="16"/>
        <v>Error?</v>
      </c>
    </row>
    <row r="1123" spans="1:4" x14ac:dyDescent="0.2">
      <c r="A1123" s="5">
        <v>1062</v>
      </c>
      <c r="B1123" s="1832">
        <f>'Expenditures 15-22'!K55</f>
        <v>810532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810532</v>
      </c>
      <c r="C1125" s="2" t="s">
        <v>569</v>
      </c>
      <c r="D1125" s="2" t="str">
        <f t="shared" si="16"/>
        <v>Error?</v>
      </c>
    </row>
    <row r="1126" spans="1:4" x14ac:dyDescent="0.2">
      <c r="A1126" s="5">
        <v>1065</v>
      </c>
      <c r="B1126" s="1832">
        <f>'Expenditures 15-22'!K59</f>
        <v>114180</v>
      </c>
      <c r="C1126" s="2" t="s">
        <v>569</v>
      </c>
      <c r="D1126" s="2" t="str">
        <f t="shared" si="16"/>
        <v>Error?</v>
      </c>
    </row>
    <row r="1127" spans="1:4" x14ac:dyDescent="0.2">
      <c r="A1127" s="5">
        <v>1066</v>
      </c>
      <c r="B1127" s="1832">
        <f>'Expenditures 15-22'!K60</f>
        <v>163223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42961</v>
      </c>
      <c r="C1130" s="2" t="s">
        <v>569</v>
      </c>
      <c r="D1130" s="2" t="str">
        <f t="shared" si="16"/>
        <v>Error?</v>
      </c>
    </row>
    <row r="1131" spans="1:4" x14ac:dyDescent="0.2">
      <c r="A1131" s="5">
        <v>1070</v>
      </c>
      <c r="B1131" s="1832">
        <f>'Expenditures 15-22'!K64</f>
        <v>20909</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341273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10389</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10389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3649068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360013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11613884</v>
      </c>
      <c r="C1152" s="2" t="s">
        <v>569</v>
      </c>
      <c r="D1152" s="2" t="str">
        <f t="shared" si="17"/>
        <v>Error?</v>
      </c>
    </row>
    <row r="1153" spans="1:4" x14ac:dyDescent="0.2">
      <c r="A1153" s="5">
        <v>1092</v>
      </c>
      <c r="B1153" s="1832">
        <f>'Expenditures 15-22'!K115</f>
        <v>-234937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144324</v>
      </c>
      <c r="D1221" s="2" t="str">
        <f t="shared" si="18"/>
        <v>Error?</v>
      </c>
    </row>
    <row r="1222" spans="1:4" x14ac:dyDescent="0.2">
      <c r="A1222" s="10">
        <v>1161</v>
      </c>
      <c r="B1222" s="1832"/>
      <c r="D1222" s="2" t="str">
        <f t="shared" si="18"/>
        <v>OK</v>
      </c>
    </row>
    <row r="1223" spans="1:4" x14ac:dyDescent="0.2">
      <c r="A1223" s="5">
        <v>1162</v>
      </c>
      <c r="B1223" s="1832">
        <f>'Expenditures 15-22'!C127</f>
        <v>144324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144324</v>
      </c>
      <c r="C1225" s="2" t="s">
        <v>569</v>
      </c>
      <c r="D1225" s="2" t="str">
        <f t="shared" si="18"/>
        <v>Error?</v>
      </c>
    </row>
    <row r="1226" spans="1:4" x14ac:dyDescent="0.2">
      <c r="A1226" s="5">
        <v>1165</v>
      </c>
      <c r="B1226" s="1832">
        <f>'Expenditures 15-22'!C151</f>
        <v>144324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52108</v>
      </c>
      <c r="D1229" s="2" t="str">
        <f t="shared" si="18"/>
        <v>Error?</v>
      </c>
    </row>
    <row r="1230" spans="1:4" x14ac:dyDescent="0.2">
      <c r="A1230" s="10">
        <v>1169</v>
      </c>
      <c r="B1230" s="1832"/>
      <c r="D1230" s="2" t="str">
        <f t="shared" si="18"/>
        <v>OK</v>
      </c>
    </row>
    <row r="1231" spans="1:4" x14ac:dyDescent="0.2">
      <c r="A1231" s="5">
        <v>1170</v>
      </c>
      <c r="B1231" s="1832">
        <f>'Expenditures 15-22'!D127</f>
        <v>52108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52108</v>
      </c>
      <c r="C1233" s="2" t="s">
        <v>569</v>
      </c>
      <c r="D1233" s="2" t="str">
        <f t="shared" si="18"/>
        <v>Error?</v>
      </c>
    </row>
    <row r="1234" spans="1:4" x14ac:dyDescent="0.2">
      <c r="A1234" s="5">
        <v>1173</v>
      </c>
      <c r="B1234" s="1832">
        <f>'Expenditures 15-22'!D151</f>
        <v>52108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26134</v>
      </c>
      <c r="D1236" s="2" t="str">
        <f t="shared" si="18"/>
        <v>Error?</v>
      </c>
    </row>
    <row r="1237" spans="1:4" x14ac:dyDescent="0.2">
      <c r="A1237" s="5">
        <v>1176</v>
      </c>
      <c r="B1237" s="1832">
        <f>'Expenditures 15-22'!E124</f>
        <v>310699</v>
      </c>
      <c r="D1237" s="2" t="str">
        <f t="shared" si="18"/>
        <v>Error?</v>
      </c>
    </row>
    <row r="1238" spans="1:4" x14ac:dyDescent="0.2">
      <c r="A1238" s="10">
        <v>1177</v>
      </c>
      <c r="B1238" s="1832"/>
      <c r="D1238" s="2" t="str">
        <f t="shared" si="18"/>
        <v>OK</v>
      </c>
    </row>
    <row r="1239" spans="1:4" x14ac:dyDescent="0.2">
      <c r="A1239" s="5">
        <v>1178</v>
      </c>
      <c r="B1239" s="1832">
        <f>'Expenditures 15-22'!E127</f>
        <v>336833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336833</v>
      </c>
      <c r="C1241" s="2" t="s">
        <v>569</v>
      </c>
      <c r="D1241" s="2" t="str">
        <f t="shared" si="18"/>
        <v>Error?</v>
      </c>
    </row>
    <row r="1242" spans="1:4" x14ac:dyDescent="0.2">
      <c r="A1242" s="5">
        <v>1181</v>
      </c>
      <c r="B1242" s="1832">
        <f>'Expenditures 15-22'!E151</f>
        <v>336833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209916</v>
      </c>
      <c r="D1245" s="2" t="str">
        <f t="shared" si="18"/>
        <v>Error?</v>
      </c>
    </row>
    <row r="1246" spans="1:4" x14ac:dyDescent="0.2">
      <c r="A1246" s="10">
        <v>1185</v>
      </c>
      <c r="B1246" s="1832"/>
      <c r="D1246" s="2" t="str">
        <f t="shared" si="18"/>
        <v>OK</v>
      </c>
    </row>
    <row r="1247" spans="1:4" x14ac:dyDescent="0.2">
      <c r="A1247" s="5">
        <v>1186</v>
      </c>
      <c r="B1247" s="1832">
        <f>'Expenditures 15-22'!F127</f>
        <v>209916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209916</v>
      </c>
      <c r="C1249" s="2" t="s">
        <v>569</v>
      </c>
      <c r="D1249" s="2" t="str">
        <f t="shared" si="18"/>
        <v>Error?</v>
      </c>
    </row>
    <row r="1250" spans="1:4" x14ac:dyDescent="0.2">
      <c r="A1250" s="5">
        <v>1189</v>
      </c>
      <c r="B1250" s="1832">
        <f>'Expenditures 15-22'!F151</f>
        <v>209916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57950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57950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57950</v>
      </c>
      <c r="C1258" s="2" t="s">
        <v>569</v>
      </c>
      <c r="D1258" s="2" t="str">
        <f t="shared" si="18"/>
        <v>Error?</v>
      </c>
    </row>
    <row r="1259" spans="1:4" x14ac:dyDescent="0.2">
      <c r="A1259" s="5">
        <v>1198</v>
      </c>
      <c r="B1259" s="1832">
        <f>'Expenditures 15-22'!G151</f>
        <v>57950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87478</v>
      </c>
      <c r="C1275" s="2" t="s">
        <v>569</v>
      </c>
      <c r="D1275" s="2" t="str">
        <f t="shared" si="18"/>
        <v>Error?</v>
      </c>
    </row>
    <row r="1276" spans="1:4" x14ac:dyDescent="0.2">
      <c r="A1276" s="5">
        <v>1215</v>
      </c>
      <c r="B1276" s="1832">
        <f>'Expenditures 15-22'!K124</f>
        <v>717047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804525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804525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804525</v>
      </c>
      <c r="C1288" s="2" t="s">
        <v>569</v>
      </c>
      <c r="D1288" s="2" t="str">
        <f t="shared" si="19"/>
        <v>Error?</v>
      </c>
    </row>
    <row r="1289" spans="1:4" x14ac:dyDescent="0.2">
      <c r="A1289" s="5">
        <v>1228</v>
      </c>
      <c r="B1289" s="1832">
        <f>'Expenditures 15-22'!K152</f>
        <v>804076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234405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810000</v>
      </c>
      <c r="D1315" s="2" t="str">
        <f t="shared" si="19"/>
        <v>Error?</v>
      </c>
    </row>
    <row r="1316" spans="1:4" x14ac:dyDescent="0.2">
      <c r="A1316" s="5">
        <v>1255</v>
      </c>
      <c r="B1316" s="1832">
        <f>'Expenditures 15-22'!H171</f>
        <v>1284</v>
      </c>
      <c r="D1316" s="2" t="str">
        <f t="shared" si="19"/>
        <v>Error?</v>
      </c>
    </row>
    <row r="1317" spans="1:4" x14ac:dyDescent="0.2">
      <c r="A1317" s="5">
        <v>1256</v>
      </c>
      <c r="B1317" s="1832">
        <f>'Expenditures 15-22'!H172</f>
        <v>1045689</v>
      </c>
      <c r="C1317" s="2" t="s">
        <v>569</v>
      </c>
      <c r="D1317" s="2" t="str">
        <f t="shared" si="19"/>
        <v>Error?</v>
      </c>
    </row>
    <row r="1318" spans="1:4" x14ac:dyDescent="0.2">
      <c r="A1318" s="5">
        <v>1257</v>
      </c>
      <c r="B1318" s="1832">
        <f>'Expenditures 15-22'!H174</f>
        <v>1045689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234405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810000</v>
      </c>
      <c r="C1329" s="2" t="s">
        <v>569</v>
      </c>
      <c r="D1329" s="2" t="str">
        <f t="shared" si="19"/>
        <v>Error?</v>
      </c>
    </row>
    <row r="1330" spans="1:4" x14ac:dyDescent="0.2">
      <c r="A1330" s="5">
        <v>1269</v>
      </c>
      <c r="B1330" s="1832">
        <f>'Expenditures 15-22'!K171</f>
        <v>1284</v>
      </c>
      <c r="C1330" s="2" t="s">
        <v>569</v>
      </c>
      <c r="D1330" s="2" t="str">
        <f t="shared" si="19"/>
        <v>Error?</v>
      </c>
    </row>
    <row r="1331" spans="1:4" x14ac:dyDescent="0.2">
      <c r="A1331" s="5">
        <v>1270</v>
      </c>
      <c r="B1331" s="1832">
        <f>'Expenditures 15-22'!K172</f>
        <v>1045689</v>
      </c>
      <c r="C1331" s="2" t="s">
        <v>569</v>
      </c>
      <c r="D1331" s="2" t="str">
        <f t="shared" si="19"/>
        <v>Error?</v>
      </c>
    </row>
    <row r="1332" spans="1:4" x14ac:dyDescent="0.2">
      <c r="A1332" s="5">
        <v>1271</v>
      </c>
      <c r="B1332" s="1832">
        <f>'Expenditures 15-22'!K174</f>
        <v>1045689</v>
      </c>
      <c r="C1332" s="2" t="s">
        <v>569</v>
      </c>
      <c r="D1332" s="2" t="str">
        <f t="shared" si="19"/>
        <v>Error?</v>
      </c>
    </row>
    <row r="1333" spans="1:4" x14ac:dyDescent="0.2">
      <c r="A1333" s="5">
        <v>1272</v>
      </c>
      <c r="B1333" s="1832">
        <f>'Expenditures 15-22'!K175</f>
        <v>-31061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50100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50100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50100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50100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50100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50100</v>
      </c>
      <c r="C1388" s="2" t="s">
        <v>569</v>
      </c>
      <c r="D1388" s="2" t="str">
        <f t="shared" si="20"/>
        <v>Error?</v>
      </c>
    </row>
    <row r="1389" spans="1:4" x14ac:dyDescent="0.2">
      <c r="A1389" s="5">
        <v>1328</v>
      </c>
      <c r="B1389" s="1832">
        <f>'Expenditures 15-22'!K211</f>
        <v>52529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3728</v>
      </c>
      <c r="D1408" s="2" t="str">
        <f t="shared" si="21"/>
        <v>Error?</v>
      </c>
    </row>
    <row r="1409" spans="1:4" x14ac:dyDescent="0.2">
      <c r="A1409" s="5">
        <v>1348</v>
      </c>
      <c r="B1409" s="1832">
        <f>'Expenditures 15-22'!D224</f>
        <v>378</v>
      </c>
      <c r="D1409" s="2" t="str">
        <f t="shared" si="21"/>
        <v>Error?</v>
      </c>
    </row>
    <row r="1410" spans="1:4" x14ac:dyDescent="0.2">
      <c r="A1410" s="5">
        <v>1349</v>
      </c>
      <c r="B1410" s="1832">
        <f>'Expenditures 15-22'!D229</f>
        <v>139095</v>
      </c>
      <c r="C1410" s="2" t="s">
        <v>569</v>
      </c>
      <c r="D1410" s="2" t="str">
        <f t="shared" si="21"/>
        <v>Error?</v>
      </c>
    </row>
    <row r="1411" spans="1:4" x14ac:dyDescent="0.2">
      <c r="A1411" s="5">
        <v>1350</v>
      </c>
      <c r="B1411" s="1832">
        <f>'Expenditures 15-22'!D232</f>
        <v>2275</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869</v>
      </c>
      <c r="D1413" s="2" t="str">
        <f t="shared" si="21"/>
        <v>Error?</v>
      </c>
    </row>
    <row r="1414" spans="1:4" x14ac:dyDescent="0.2">
      <c r="A1414" s="5">
        <v>1353</v>
      </c>
      <c r="B1414" s="1832">
        <f>'Expenditures 15-22'!D235</f>
        <v>960</v>
      </c>
      <c r="D1414" s="2" t="str">
        <f t="shared" si="21"/>
        <v>Error?</v>
      </c>
    </row>
    <row r="1415" spans="1:4" x14ac:dyDescent="0.2">
      <c r="A1415" s="5">
        <v>1354</v>
      </c>
      <c r="B1415" s="1832">
        <f>'Expenditures 15-22'!D236</f>
        <v>1059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5163</v>
      </c>
      <c r="C1417" s="2" t="s">
        <v>569</v>
      </c>
      <c r="D1417" s="2" t="str">
        <f t="shared" si="21"/>
        <v>Error?</v>
      </c>
    </row>
    <row r="1418" spans="1:4" x14ac:dyDescent="0.2">
      <c r="A1418" s="5">
        <v>1357</v>
      </c>
      <c r="B1418" s="1832">
        <f>'Expenditures 15-22'!D240</f>
        <v>735</v>
      </c>
      <c r="D1418" s="2" t="str">
        <f t="shared" si="21"/>
        <v>Error?</v>
      </c>
    </row>
    <row r="1419" spans="1:4" x14ac:dyDescent="0.2">
      <c r="A1419" s="5">
        <v>1358</v>
      </c>
      <c r="B1419" s="1832">
        <f>'Expenditures 15-22'!D241</f>
        <v>21160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21895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8156</v>
      </c>
      <c r="D1423" s="2" t="str">
        <f t="shared" si="21"/>
        <v>Error?</v>
      </c>
    </row>
    <row r="1424" spans="1:4" x14ac:dyDescent="0.2">
      <c r="A1424" s="5">
        <v>1363</v>
      </c>
      <c r="B1424" s="1832">
        <f>'Expenditures 15-22'!D257</f>
        <v>8464</v>
      </c>
      <c r="C1424" s="2" t="s">
        <v>569</v>
      </c>
      <c r="D1424" s="2" t="str">
        <f t="shared" si="21"/>
        <v>Error?</v>
      </c>
    </row>
    <row r="1425" spans="1:4" x14ac:dyDescent="0.2">
      <c r="A1425" s="5">
        <v>1364</v>
      </c>
      <c r="B1425" s="1832">
        <f>'Expenditures 15-22'!D259</f>
        <v>38253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38253</v>
      </c>
      <c r="C1427" s="2" t="s">
        <v>569</v>
      </c>
      <c r="D1427" s="2" t="str">
        <f t="shared" si="21"/>
        <v>Error?</v>
      </c>
    </row>
    <row r="1428" spans="1:4" x14ac:dyDescent="0.2">
      <c r="A1428" s="5">
        <v>1367</v>
      </c>
      <c r="B1428" s="1832">
        <f>'Expenditures 15-22'!D263</f>
        <v>1462</v>
      </c>
      <c r="D1428" s="2" t="str">
        <f t="shared" si="21"/>
        <v>Error?</v>
      </c>
    </row>
    <row r="1429" spans="1:4" x14ac:dyDescent="0.2">
      <c r="A1429" s="5">
        <v>1368</v>
      </c>
      <c r="B1429" s="1832">
        <f>'Expenditures 15-22'!D264</f>
        <v>19503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21757</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42722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116497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255592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3728</v>
      </c>
      <c r="C1472" s="2" t="s">
        <v>569</v>
      </c>
      <c r="D1472" s="2" t="str">
        <f t="shared" si="22"/>
        <v>Error?</v>
      </c>
    </row>
    <row r="1473" spans="1:4" x14ac:dyDescent="0.2">
      <c r="A1473" s="5">
        <v>1412</v>
      </c>
      <c r="B1473" s="1832">
        <f>'Expenditures 15-22'!K224</f>
        <v>378</v>
      </c>
      <c r="C1473" s="2" t="s">
        <v>569</v>
      </c>
      <c r="D1473" s="2" t="str">
        <f t="shared" si="22"/>
        <v>Error?</v>
      </c>
    </row>
    <row r="1474" spans="1:4" x14ac:dyDescent="0.2">
      <c r="A1474" s="5">
        <v>1413</v>
      </c>
      <c r="B1474" s="1832">
        <f>'Expenditures 15-22'!K229</f>
        <v>139095</v>
      </c>
      <c r="C1474" s="2" t="s">
        <v>569</v>
      </c>
      <c r="D1474" s="2" t="str">
        <f t="shared" si="22"/>
        <v>Error?</v>
      </c>
    </row>
    <row r="1475" spans="1:4" x14ac:dyDescent="0.2">
      <c r="A1475" s="5">
        <v>1414</v>
      </c>
      <c r="B1475" s="1832">
        <f>'Expenditures 15-22'!K232</f>
        <v>2275</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869</v>
      </c>
      <c r="C1477" s="2" t="s">
        <v>569</v>
      </c>
      <c r="D1477" s="2" t="str">
        <f t="shared" si="22"/>
        <v>Error?</v>
      </c>
    </row>
    <row r="1478" spans="1:4" x14ac:dyDescent="0.2">
      <c r="A1478" s="5">
        <v>1417</v>
      </c>
      <c r="B1478" s="1832">
        <f>'Expenditures 15-22'!K235</f>
        <v>960</v>
      </c>
      <c r="C1478" s="2" t="s">
        <v>569</v>
      </c>
      <c r="D1478" s="2" t="str">
        <f t="shared" si="22"/>
        <v>Error?</v>
      </c>
    </row>
    <row r="1479" spans="1:4" x14ac:dyDescent="0.2">
      <c r="A1479" s="5">
        <v>1418</v>
      </c>
      <c r="B1479" s="1832">
        <f>'Expenditures 15-22'!K236</f>
        <v>1059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5163</v>
      </c>
      <c r="C1481" s="2" t="s">
        <v>569</v>
      </c>
      <c r="D1481" s="2" t="str">
        <f t="shared" si="22"/>
        <v>Error?</v>
      </c>
    </row>
    <row r="1482" spans="1:4" x14ac:dyDescent="0.2">
      <c r="A1482" s="5">
        <v>1421</v>
      </c>
      <c r="B1482" s="1832">
        <f>'Expenditures 15-22'!K240</f>
        <v>735</v>
      </c>
      <c r="C1482" s="2" t="s">
        <v>569</v>
      </c>
      <c r="D1482" s="2" t="str">
        <f t="shared" si="22"/>
        <v>Error?</v>
      </c>
    </row>
    <row r="1483" spans="1:4" x14ac:dyDescent="0.2">
      <c r="A1483" s="5">
        <v>1422</v>
      </c>
      <c r="B1483" s="1832">
        <f>'Expenditures 15-22'!K241</f>
        <v>21160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21895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8156</v>
      </c>
      <c r="C1487" s="2" t="s">
        <v>569</v>
      </c>
      <c r="D1487" s="2" t="str">
        <f t="shared" si="22"/>
        <v>Error?</v>
      </c>
    </row>
    <row r="1488" spans="1:4" x14ac:dyDescent="0.2">
      <c r="A1488" s="5">
        <v>1427</v>
      </c>
      <c r="B1488" s="1832">
        <f>'Expenditures 15-22'!K257</f>
        <v>8464</v>
      </c>
      <c r="C1488" s="2" t="s">
        <v>569</v>
      </c>
      <c r="D1488" s="2" t="str">
        <f t="shared" si="22"/>
        <v>Error?</v>
      </c>
    </row>
    <row r="1489" spans="1:4" x14ac:dyDescent="0.2">
      <c r="A1489" s="5">
        <v>1428</v>
      </c>
      <c r="B1489" s="1832">
        <f>'Expenditures 15-22'!K259</f>
        <v>38253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38253</v>
      </c>
      <c r="C1491" s="2" t="s">
        <v>569</v>
      </c>
      <c r="D1491" s="2" t="str">
        <f t="shared" si="22"/>
        <v>Error?</v>
      </c>
    </row>
    <row r="1492" spans="1:4" x14ac:dyDescent="0.2">
      <c r="A1492" s="5">
        <v>1431</v>
      </c>
      <c r="B1492" s="1832">
        <f>'Expenditures 15-22'!K263</f>
        <v>1462</v>
      </c>
      <c r="C1492" s="2" t="s">
        <v>569</v>
      </c>
      <c r="D1492" s="2" t="str">
        <f t="shared" si="22"/>
        <v>Error?</v>
      </c>
    </row>
    <row r="1493" spans="1:4" x14ac:dyDescent="0.2">
      <c r="A1493" s="5">
        <v>1432</v>
      </c>
      <c r="B1493" s="1832">
        <f>'Expenditures 15-22'!K264</f>
        <v>19503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21757</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42722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116497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255592</v>
      </c>
      <c r="C1517" s="2" t="s">
        <v>569</v>
      </c>
      <c r="D1517" s="2" t="str">
        <f t="shared" si="22"/>
        <v>Error?</v>
      </c>
    </row>
    <row r="1518" spans="1:4" x14ac:dyDescent="0.2">
      <c r="A1518" s="5">
        <v>1457</v>
      </c>
      <c r="B1518" s="1832">
        <f>'Expenditures 15-22'!K296</f>
        <v>-24113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8798267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8563330</v>
      </c>
      <c r="C1630" s="2" t="s">
        <v>569</v>
      </c>
      <c r="D1630" s="2" t="str">
        <f t="shared" si="24"/>
        <v>Error?</v>
      </c>
    </row>
    <row r="1631" spans="1:4" x14ac:dyDescent="0.2">
      <c r="A1631" s="5">
        <v>1570</v>
      </c>
      <c r="B1631" s="1832">
        <f>'Acct Summary 7-8'!D79</f>
        <v>6564306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7734060</v>
      </c>
      <c r="C1644" s="2" t="s">
        <v>569</v>
      </c>
      <c r="D1644" s="2" t="str">
        <f t="shared" si="24"/>
        <v>Error?</v>
      </c>
    </row>
    <row r="1645" spans="1:4" x14ac:dyDescent="0.2">
      <c r="A1645" s="5">
        <v>1584</v>
      </c>
      <c r="B1645" s="1832">
        <f>'Acct Summary 7-8'!E79</f>
        <v>1022345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991284</v>
      </c>
      <c r="C1658" s="2" t="s">
        <v>569</v>
      </c>
      <c r="D1658" s="2" t="str">
        <f t="shared" si="24"/>
        <v>Error?</v>
      </c>
    </row>
    <row r="1659" spans="1:4" x14ac:dyDescent="0.2">
      <c r="A1659" s="5">
        <v>1598</v>
      </c>
      <c r="B1659" s="1832">
        <f>'Acct Summary 7-8'!F79</f>
        <v>67129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119658</v>
      </c>
      <c r="C1672" s="2" t="s">
        <v>569</v>
      </c>
      <c r="D1672" s="2" t="str">
        <f t="shared" si="25"/>
        <v>Error?</v>
      </c>
    </row>
    <row r="1673" spans="1:4" x14ac:dyDescent="0.2">
      <c r="A1673" s="5">
        <v>1612</v>
      </c>
      <c r="B1673" s="1832">
        <f>'Acct Summary 7-8'!G79</f>
        <v>463164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439051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3199694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10226665</v>
      </c>
      <c r="C1744" s="2" t="s">
        <v>569</v>
      </c>
      <c r="D1744" s="2" t="str">
        <f t="shared" si="26"/>
        <v>Error?</v>
      </c>
    </row>
    <row r="1745" spans="1:5" x14ac:dyDescent="0.2">
      <c r="A1745" s="5">
        <v>1684</v>
      </c>
      <c r="B1745" s="1832">
        <f>'Tax Sched 23'!B5</f>
        <v>1608601</v>
      </c>
      <c r="C1745" s="2" t="s">
        <v>569</v>
      </c>
      <c r="D1745" s="2" t="str">
        <f t="shared" si="26"/>
        <v>Error?</v>
      </c>
    </row>
    <row r="1746" spans="1:5" x14ac:dyDescent="0.2">
      <c r="A1746" s="5">
        <v>1685</v>
      </c>
      <c r="B1746" s="1832">
        <f>'Tax Sched 23'!B6</f>
        <v>1014628</v>
      </c>
      <c r="C1746" s="2" t="s">
        <v>569</v>
      </c>
      <c r="D1746" s="2" t="str">
        <f t="shared" si="26"/>
        <v>Error?</v>
      </c>
    </row>
    <row r="1747" spans="1:5" x14ac:dyDescent="0.2">
      <c r="A1747" s="5">
        <v>1686</v>
      </c>
      <c r="B1747" s="1832">
        <f>'Tax Sched 23'!B7</f>
        <v>52633</v>
      </c>
      <c r="C1747" s="2" t="s">
        <v>569</v>
      </c>
      <c r="D1747" s="2" t="str">
        <f t="shared" si="26"/>
        <v>Error?</v>
      </c>
    </row>
    <row r="1748" spans="1:5" x14ac:dyDescent="0.2">
      <c r="A1748" s="5">
        <v>1687</v>
      </c>
      <c r="B1748" s="1832">
        <f>'Tax Sched 23'!B8</f>
        <v>156480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52633</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13111640</v>
      </c>
      <c r="C1759" s="2" t="s">
        <v>569</v>
      </c>
      <c r="D1759" s="2" t="str">
        <f t="shared" si="26"/>
        <v>Error?</v>
      </c>
    </row>
    <row r="1760" spans="1:5" x14ac:dyDescent="0.2">
      <c r="A1760" s="5">
        <v>1699</v>
      </c>
      <c r="B1760" s="1832">
        <f>'Tax Sched 23'!D4</f>
        <v>4771054</v>
      </c>
      <c r="C1760" s="2" t="s">
        <v>569</v>
      </c>
      <c r="D1760" s="2" t="str">
        <f t="shared" si="26"/>
        <v>Error?</v>
      </c>
    </row>
    <row r="1761" spans="1:7" x14ac:dyDescent="0.2">
      <c r="A1761" s="5">
        <v>1700</v>
      </c>
      <c r="B1761" s="1832">
        <f>'Tax Sched 23'!D5</f>
        <v>750462</v>
      </c>
      <c r="C1761" s="2" t="s">
        <v>569</v>
      </c>
      <c r="D1761" s="2" t="str">
        <f t="shared" si="26"/>
        <v>Error?</v>
      </c>
    </row>
    <row r="1762" spans="1:7" s="8" customFormat="1" x14ac:dyDescent="0.2">
      <c r="A1762" s="5">
        <v>1701</v>
      </c>
      <c r="B1762" s="1832">
        <f>'Tax Sched 23'!D6</f>
        <v>473217</v>
      </c>
      <c r="C1762" s="2" t="s">
        <v>569</v>
      </c>
      <c r="D1762" s="2" t="str">
        <f t="shared" si="26"/>
        <v>Error?</v>
      </c>
      <c r="E1762" s="9"/>
      <c r="G1762"/>
    </row>
    <row r="1763" spans="1:7" x14ac:dyDescent="0.2">
      <c r="A1763" s="5">
        <v>1702</v>
      </c>
      <c r="B1763" s="1832">
        <f>'Tax Sched 23'!D7</f>
        <v>24556</v>
      </c>
      <c r="C1763" s="2" t="s">
        <v>569</v>
      </c>
      <c r="D1763" s="2" t="str">
        <f t="shared" si="26"/>
        <v>Error?</v>
      </c>
    </row>
    <row r="1764" spans="1:7" x14ac:dyDescent="0.2">
      <c r="A1764" s="5">
        <v>1703</v>
      </c>
      <c r="B1764" s="1832">
        <f>'Tax Sched 23'!D8</f>
        <v>73003</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24556</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6116848</v>
      </c>
      <c r="C1775" s="2" t="s">
        <v>569</v>
      </c>
      <c r="D1775" s="2" t="str">
        <f t="shared" si="26"/>
        <v>Error?</v>
      </c>
    </row>
    <row r="1776" spans="1:7" x14ac:dyDescent="0.2">
      <c r="A1776" s="5">
        <v>1715</v>
      </c>
      <c r="B1776" s="1832">
        <f>'Tax Sched 23'!C4</f>
        <v>5455611</v>
      </c>
      <c r="D1776" s="2" t="str">
        <f t="shared" si="26"/>
        <v>Error?</v>
      </c>
    </row>
    <row r="1777" spans="1:4" x14ac:dyDescent="0.2">
      <c r="A1777" s="5">
        <v>1716</v>
      </c>
      <c r="B1777" s="1832">
        <f>'Tax Sched 23'!C5</f>
        <v>858139</v>
      </c>
      <c r="D1777" s="2" t="str">
        <f t="shared" si="26"/>
        <v>Error?</v>
      </c>
    </row>
    <row r="1778" spans="1:4" x14ac:dyDescent="0.2">
      <c r="A1778" s="5">
        <v>1717</v>
      </c>
      <c r="B1778" s="1832">
        <f>'Tax Sched 23'!C6</f>
        <v>541411</v>
      </c>
      <c r="D1778" s="2" t="str">
        <f t="shared" si="26"/>
        <v>Error?</v>
      </c>
    </row>
    <row r="1779" spans="1:4" x14ac:dyDescent="0.2">
      <c r="A1779" s="5">
        <v>1718</v>
      </c>
      <c r="B1779" s="1832">
        <f>'Tax Sched 23'!C7</f>
        <v>28077</v>
      </c>
      <c r="D1779" s="2" t="str">
        <f t="shared" si="26"/>
        <v>Error?</v>
      </c>
    </row>
    <row r="1780" spans="1:4" x14ac:dyDescent="0.2">
      <c r="A1780" s="5">
        <v>1719</v>
      </c>
      <c r="B1780" s="1832">
        <f>'Tax Sched 23'!C8</f>
        <v>83477</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28077</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6994792</v>
      </c>
      <c r="C1791" s="2" t="s">
        <v>569</v>
      </c>
      <c r="D1791" s="2" t="str">
        <f t="shared" ref="D1791:D1854" si="27">IF(ISBLANK(B1791),"OK",IF(A1791-B1791=0,"OK","Error?"))</f>
        <v>Error?</v>
      </c>
    </row>
    <row r="1792" spans="1:4" x14ac:dyDescent="0.2">
      <c r="A1792" s="5">
        <v>1731</v>
      </c>
      <c r="B1792" s="1832">
        <f>'Tax Sched 23'!F4</f>
        <v>5455672</v>
      </c>
      <c r="C1792" s="2" t="s">
        <v>569</v>
      </c>
      <c r="D1792" s="2" t="str">
        <f t="shared" si="27"/>
        <v>Error?</v>
      </c>
    </row>
    <row r="1793" spans="1:4" x14ac:dyDescent="0.2">
      <c r="A1793" s="5">
        <v>1732</v>
      </c>
      <c r="B1793" s="1832">
        <f>'Tax Sched 23'!F5</f>
        <v>440289</v>
      </c>
      <c r="C1793" s="2" t="s">
        <v>569</v>
      </c>
      <c r="D1793" s="2" t="str">
        <f t="shared" si="27"/>
        <v>Error?</v>
      </c>
    </row>
    <row r="1794" spans="1:4" x14ac:dyDescent="0.2">
      <c r="A1794" s="5">
        <v>1733</v>
      </c>
      <c r="B1794" s="1832">
        <f>'Tax Sched 23'!F6</f>
        <v>472515</v>
      </c>
      <c r="C1794" s="2" t="s">
        <v>569</v>
      </c>
      <c r="D1794" s="2" t="str">
        <f t="shared" si="27"/>
        <v>Error?</v>
      </c>
    </row>
    <row r="1795" spans="1:4" x14ac:dyDescent="0.2">
      <c r="A1795" s="5">
        <v>1734</v>
      </c>
      <c r="B1795" s="1832">
        <f>'Tax Sched 23'!F7</f>
        <v>25962</v>
      </c>
      <c r="C1795" s="2" t="s">
        <v>569</v>
      </c>
      <c r="D1795" s="2" t="str">
        <f t="shared" si="27"/>
        <v>Error?</v>
      </c>
    </row>
    <row r="1796" spans="1:4" x14ac:dyDescent="0.2">
      <c r="A1796" s="5">
        <v>1735</v>
      </c>
      <c r="B1796" s="1832">
        <f>'Tax Sched 23'!F8</f>
        <v>77172</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-28077</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6443533</v>
      </c>
      <c r="C1807" s="2" t="s">
        <v>569</v>
      </c>
      <c r="D1807" s="2" t="str">
        <f t="shared" si="27"/>
        <v>Error?</v>
      </c>
    </row>
    <row r="1808" spans="1:4" x14ac:dyDescent="0.2">
      <c r="A1808" s="5">
        <v>1747</v>
      </c>
      <c r="B1808" s="1832">
        <f>'Tax Sched 23'!E4</f>
        <v>10911283</v>
      </c>
      <c r="D1808" s="2" t="str">
        <f t="shared" si="27"/>
        <v>Error?</v>
      </c>
    </row>
    <row r="1809" spans="1:4" x14ac:dyDescent="0.2">
      <c r="A1809" s="5">
        <v>1748</v>
      </c>
      <c r="B1809" s="1832">
        <f>'Tax Sched 23'!E5</f>
        <v>1298428</v>
      </c>
      <c r="D1809" s="2" t="str">
        <f t="shared" si="27"/>
        <v>Error?</v>
      </c>
    </row>
    <row r="1810" spans="1:4" x14ac:dyDescent="0.2">
      <c r="A1810" s="5">
        <v>1749</v>
      </c>
      <c r="B1810" s="1832">
        <f>'Tax Sched 23'!E6</f>
        <v>1013926</v>
      </c>
      <c r="D1810" s="2" t="str">
        <f t="shared" si="27"/>
        <v>Error?</v>
      </c>
    </row>
    <row r="1811" spans="1:4" x14ac:dyDescent="0.2">
      <c r="A1811" s="5">
        <v>1750</v>
      </c>
      <c r="B1811" s="1832">
        <f>'Tax Sched 23'!E7</f>
        <v>54039</v>
      </c>
      <c r="D1811" s="2" t="str">
        <f t="shared" si="27"/>
        <v>Error?</v>
      </c>
    </row>
    <row r="1812" spans="1:4" x14ac:dyDescent="0.2">
      <c r="A1812" s="5">
        <v>1751</v>
      </c>
      <c r="B1812" s="1832">
        <f>'Tax Sched 23'!E8</f>
        <v>160649</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13438325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8750000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26342</v>
      </c>
      <c r="D2008" s="2" t="str">
        <f t="shared" si="30"/>
        <v>Error?</v>
      </c>
    </row>
    <row r="2009" spans="1:4" x14ac:dyDescent="0.2">
      <c r="A2009" s="5">
        <v>1948</v>
      </c>
      <c r="B2009" s="1832">
        <f>'Cap Outlay Deprec 26'!C8</f>
        <v>16240001</v>
      </c>
      <c r="D2009" s="2" t="str">
        <f t="shared" si="30"/>
        <v>Error?</v>
      </c>
    </row>
    <row r="2010" spans="1:4" x14ac:dyDescent="0.2">
      <c r="A2010" s="5">
        <v>1949</v>
      </c>
      <c r="B2010" s="1832">
        <f>'Cap Outlay Deprec 26'!C10</f>
        <v>454921</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1815094</v>
      </c>
      <c r="D2012" s="2" t="str">
        <f t="shared" si="30"/>
        <v>Error?</v>
      </c>
    </row>
    <row r="2013" spans="1:4" x14ac:dyDescent="0.2">
      <c r="A2013" s="5">
        <v>1952</v>
      </c>
      <c r="B2013" s="1832">
        <f>'Cap Outlay Deprec 26'!C16</f>
        <v>18536358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95101</v>
      </c>
      <c r="D2018" s="2" t="str">
        <f t="shared" si="30"/>
        <v>Error?</v>
      </c>
    </row>
    <row r="2019" spans="1:4" x14ac:dyDescent="0.2">
      <c r="A2019" s="5">
        <v>1958</v>
      </c>
      <c r="B2019" s="1832">
        <f>'Cap Outlay Deprec 26'!D16</f>
        <v>95101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26342</v>
      </c>
      <c r="C2026" s="2" t="s">
        <v>569</v>
      </c>
      <c r="D2026" s="2" t="str">
        <f t="shared" si="30"/>
        <v>Error?</v>
      </c>
    </row>
    <row r="2027" spans="1:4" x14ac:dyDescent="0.2">
      <c r="A2027" s="5">
        <v>1966</v>
      </c>
      <c r="B2027" s="1832">
        <f>'Cap Outlay Deprec 26'!F8</f>
        <v>16240001</v>
      </c>
      <c r="C2027" s="2" t="s">
        <v>569</v>
      </c>
      <c r="D2027" s="2" t="str">
        <f t="shared" si="30"/>
        <v>Error?</v>
      </c>
    </row>
    <row r="2028" spans="1:4" x14ac:dyDescent="0.2">
      <c r="A2028" s="5">
        <v>1967</v>
      </c>
      <c r="B2028" s="1832">
        <f>'Cap Outlay Deprec 26'!F10</f>
        <v>454921</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1910195</v>
      </c>
      <c r="C2030" s="2" t="s">
        <v>569</v>
      </c>
      <c r="D2030" s="2" t="str">
        <f t="shared" si="30"/>
        <v>Error?</v>
      </c>
    </row>
    <row r="2031" spans="1:4" x14ac:dyDescent="0.2">
      <c r="A2031" s="5">
        <v>1970</v>
      </c>
      <c r="B2031" s="1832">
        <f>'Cap Outlay Deprec 26'!F16</f>
        <v>18631459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7047298</v>
      </c>
      <c r="D2033" s="2" t="str">
        <f t="shared" si="30"/>
        <v>Error?</v>
      </c>
    </row>
    <row r="2034" spans="1:4" x14ac:dyDescent="0.2">
      <c r="A2034" s="5">
        <v>1973</v>
      </c>
      <c r="B2034" s="1832">
        <f>'Cap Outlay Deprec 26'!H10</f>
        <v>260816</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1424902</v>
      </c>
      <c r="D2036" s="2" t="str">
        <f t="shared" si="30"/>
        <v>Error?</v>
      </c>
    </row>
    <row r="2037" spans="1:4" x14ac:dyDescent="0.2">
      <c r="A2037" s="5">
        <v>1976</v>
      </c>
      <c r="B2037" s="1832">
        <f>'Cap Outlay Deprec 26'!H16</f>
        <v>8733016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386025</v>
      </c>
      <c r="D2039" s="2" t="str">
        <f t="shared" si="30"/>
        <v>Error?</v>
      </c>
    </row>
    <row r="2040" spans="1:4" x14ac:dyDescent="0.2">
      <c r="A2040" s="5">
        <v>1979</v>
      </c>
      <c r="B2040" s="1832">
        <f>'Cap Outlay Deprec 26'!I10</f>
        <v>17695</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74859</v>
      </c>
      <c r="D2042" s="2" t="str">
        <f t="shared" si="30"/>
        <v>Error?</v>
      </c>
    </row>
    <row r="2043" spans="1:4" x14ac:dyDescent="0.2">
      <c r="A2043" s="5">
        <v>1982</v>
      </c>
      <c r="B2043" s="1832">
        <f>'Cap Outlay Deprec 26'!I16</f>
        <v>478579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7433323</v>
      </c>
      <c r="C2051" s="2" t="s">
        <v>569</v>
      </c>
      <c r="D2051" s="2" t="str">
        <f t="shared" si="31"/>
        <v>Error?</v>
      </c>
    </row>
    <row r="2052" spans="1:4" x14ac:dyDescent="0.2">
      <c r="A2052" s="5">
        <v>1991</v>
      </c>
      <c r="B2052" s="1832">
        <f>'Cap Outlay Deprec 26'!K10</f>
        <v>278511</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1499761</v>
      </c>
      <c r="C2054" s="2" t="s">
        <v>569</v>
      </c>
      <c r="D2054" s="2" t="str">
        <f t="shared" si="31"/>
        <v>Error?</v>
      </c>
    </row>
    <row r="2055" spans="1:4" x14ac:dyDescent="0.2">
      <c r="A2055" s="5">
        <v>1994</v>
      </c>
      <c r="B2055" s="1832">
        <f>'Cap Outlay Deprec 26'!K16</f>
        <v>9211595</v>
      </c>
      <c r="C2055" s="2" t="s">
        <v>569</v>
      </c>
      <c r="D2055" s="2" t="str">
        <f t="shared" si="31"/>
        <v>Error?</v>
      </c>
    </row>
    <row r="2056" spans="1:4" x14ac:dyDescent="0.2">
      <c r="A2056" s="5">
        <v>1995</v>
      </c>
      <c r="B2056" s="1832">
        <f>'Cap Outlay Deprec 26'!L5</f>
        <v>26342</v>
      </c>
      <c r="C2056" s="2" t="s">
        <v>569</v>
      </c>
      <c r="D2056" s="2" t="str">
        <f t="shared" si="31"/>
        <v>Error?</v>
      </c>
    </row>
    <row r="2057" spans="1:4" x14ac:dyDescent="0.2">
      <c r="A2057" s="5">
        <v>1996</v>
      </c>
      <c r="B2057" s="1832">
        <f>'Cap Outlay Deprec 26'!L8</f>
        <v>8806678</v>
      </c>
      <c r="C2057" s="2" t="s">
        <v>569</v>
      </c>
      <c r="D2057" s="2" t="str">
        <f t="shared" si="31"/>
        <v>Error?</v>
      </c>
    </row>
    <row r="2058" spans="1:4" x14ac:dyDescent="0.2">
      <c r="A2058" s="5">
        <v>1997</v>
      </c>
      <c r="B2058" s="1832">
        <f>'Cap Outlay Deprec 26'!L10</f>
        <v>176410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410434</v>
      </c>
      <c r="C2060" s="2" t="s">
        <v>569</v>
      </c>
      <c r="D2060" s="2" t="str">
        <f t="shared" si="31"/>
        <v>Error?</v>
      </c>
    </row>
    <row r="2061" spans="1:4" x14ac:dyDescent="0.2">
      <c r="A2061" s="5">
        <v>2000</v>
      </c>
      <c r="B2061" s="1832">
        <f>'Cap Outlay Deprec 26'!L16</f>
        <v>9419864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360013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360013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3565372</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7734060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119658</v>
      </c>
      <c r="D2475" s="2" t="str">
        <f t="shared" si="37"/>
        <v>Error?</v>
      </c>
    </row>
    <row r="2476" spans="1:4" x14ac:dyDescent="0.2">
      <c r="A2476" s="10">
        <v>2415</v>
      </c>
      <c r="B2476" s="1832"/>
      <c r="D2476" s="2" t="str">
        <f t="shared" si="37"/>
        <v>OK</v>
      </c>
    </row>
    <row r="2477" spans="1:4" x14ac:dyDescent="0.2">
      <c r="A2477" s="5">
        <v>2416</v>
      </c>
      <c r="B2477" s="1832">
        <f>'Assets-Liab 5-6'!G38</f>
        <v>439051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991284</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3199694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11072999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274769</v>
      </c>
      <c r="C2553" s="2" t="s">
        <v>569</v>
      </c>
      <c r="D2553" s="2" t="str">
        <f t="shared" si="38"/>
        <v>Error?</v>
      </c>
    </row>
    <row r="2554" spans="1:4" x14ac:dyDescent="0.2">
      <c r="A2554" s="5">
        <v>2493</v>
      </c>
      <c r="B2554" s="1832">
        <f>'Acct Summary 7-8'!C7</f>
        <v>31179</v>
      </c>
      <c r="C2554" s="2" t="s">
        <v>569</v>
      </c>
      <c r="D2554" s="2" t="str">
        <f t="shared" si="38"/>
        <v>Error?</v>
      </c>
    </row>
    <row r="2555" spans="1:4" x14ac:dyDescent="0.2">
      <c r="A2555" s="5">
        <v>2494</v>
      </c>
      <c r="B2555" s="1832">
        <f>'Acct Summary 7-8'!C8</f>
        <v>11378947</v>
      </c>
      <c r="C2555" s="2" t="s">
        <v>569</v>
      </c>
      <c r="D2555" s="2" t="str">
        <f t="shared" si="38"/>
        <v>Error?</v>
      </c>
    </row>
    <row r="2556" spans="1:4" x14ac:dyDescent="0.2">
      <c r="A2556" s="5">
        <v>2495</v>
      </c>
      <c r="B2556" s="1832">
        <f>'Acct Summary 7-8'!C12</f>
        <v>7604803</v>
      </c>
      <c r="C2556" s="2" t="s">
        <v>569</v>
      </c>
      <c r="D2556" s="2" t="str">
        <f t="shared" si="38"/>
        <v>Error?</v>
      </c>
    </row>
    <row r="2557" spans="1:4" x14ac:dyDescent="0.2">
      <c r="A2557" s="5">
        <v>2496</v>
      </c>
      <c r="B2557" s="1832">
        <f>'Acct Summary 7-8'!C13</f>
        <v>3649068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360013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11613884</v>
      </c>
      <c r="C2561" s="2" t="s">
        <v>569</v>
      </c>
      <c r="D2561" s="2" t="str">
        <f t="shared" si="39"/>
        <v>Error?</v>
      </c>
    </row>
    <row r="2562" spans="1:4" x14ac:dyDescent="0.2">
      <c r="A2562" s="5">
        <v>2501</v>
      </c>
      <c r="B2562" s="1832">
        <f>'Acct Summary 7-8'!C20</f>
        <v>-234937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1608601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1608601</v>
      </c>
      <c r="C2568" s="2" t="s">
        <v>569</v>
      </c>
      <c r="D2568" s="2" t="str">
        <f t="shared" si="39"/>
        <v>Error?</v>
      </c>
    </row>
    <row r="2569" spans="1:4" x14ac:dyDescent="0.2">
      <c r="A2569" s="5">
        <v>2508</v>
      </c>
      <c r="B2569" s="1832">
        <f>'Acct Summary 7-8'!D13</f>
        <v>804525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804525</v>
      </c>
      <c r="C2573" s="2" t="s">
        <v>569</v>
      </c>
      <c r="D2573" s="2" t="str">
        <f t="shared" si="39"/>
        <v>Error?</v>
      </c>
    </row>
    <row r="2574" spans="1:4" x14ac:dyDescent="0.2">
      <c r="A2574" s="5">
        <v>2513</v>
      </c>
      <c r="B2574" s="1832">
        <f>'Acct Summary 7-8'!D20</f>
        <v>804076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52633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49996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102629</v>
      </c>
      <c r="C2595" s="2" t="s">
        <v>569</v>
      </c>
      <c r="D2595" s="2" t="str">
        <f t="shared" si="39"/>
        <v>Error?</v>
      </c>
    </row>
    <row r="2596" spans="1:4" x14ac:dyDescent="0.2">
      <c r="A2596" s="5">
        <v>2535</v>
      </c>
      <c r="B2596" s="1832">
        <f>'Acct Summary 7-8'!F13</f>
        <v>50100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50100</v>
      </c>
      <c r="C2600" s="2" t="s">
        <v>569</v>
      </c>
      <c r="D2600" s="2" t="str">
        <f t="shared" si="39"/>
        <v>Error?</v>
      </c>
    </row>
    <row r="2601" spans="1:4" x14ac:dyDescent="0.2">
      <c r="A2601" s="5">
        <v>2540</v>
      </c>
      <c r="B2601" s="1832">
        <f>'Acct Summary 7-8'!F20</f>
        <v>52529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231479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231479</v>
      </c>
      <c r="C2606" s="2" t="s">
        <v>569</v>
      </c>
      <c r="D2606" s="2" t="str">
        <f t="shared" si="39"/>
        <v>Error?</v>
      </c>
    </row>
    <row r="2607" spans="1:4" x14ac:dyDescent="0.2">
      <c r="A2607" s="5">
        <v>2546</v>
      </c>
      <c r="B2607" s="1832">
        <f>'Acct Summary 7-8'!G12</f>
        <v>139095</v>
      </c>
      <c r="C2607" s="2" t="s">
        <v>569</v>
      </c>
      <c r="D2607" s="2" t="str">
        <f t="shared" si="39"/>
        <v>Error?</v>
      </c>
    </row>
    <row r="2608" spans="1:4" x14ac:dyDescent="0.2">
      <c r="A2608" s="5">
        <v>2547</v>
      </c>
      <c r="B2608" s="1832">
        <f>'Acct Summary 7-8'!G13</f>
        <v>116497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255592</v>
      </c>
      <c r="C2612" s="2" t="s">
        <v>569</v>
      </c>
      <c r="D2612" s="2" t="str">
        <f t="shared" si="39"/>
        <v>Error?</v>
      </c>
    </row>
    <row r="2613" spans="1:4" x14ac:dyDescent="0.2">
      <c r="A2613" s="5">
        <v>2552</v>
      </c>
      <c r="B2613" s="1832">
        <f>'Acct Summary 7-8'!G20</f>
        <v>-24113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1014628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1014628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1045689</v>
      </c>
      <c r="C2634" s="2" t="s">
        <v>569</v>
      </c>
      <c r="D2634" s="2" t="str">
        <f t="shared" si="40"/>
        <v>Error?</v>
      </c>
    </row>
    <row r="2635" spans="1:4" x14ac:dyDescent="0.2">
      <c r="A2635" s="5">
        <v>2574</v>
      </c>
      <c r="B2635" s="1832">
        <f>'Acct Summary 7-8'!E17</f>
        <v>1045689</v>
      </c>
      <c r="C2635" s="2" t="s">
        <v>569</v>
      </c>
      <c r="D2635" s="2" t="str">
        <f t="shared" si="40"/>
        <v>Error?</v>
      </c>
    </row>
    <row r="2636" spans="1:4" x14ac:dyDescent="0.2">
      <c r="A2636" s="5">
        <v>2575</v>
      </c>
      <c r="B2636" s="1832">
        <f>'Acct Summary 7-8'!E20</f>
        <v>-31061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241002</v>
      </c>
      <c r="D2718" s="2" t="str">
        <f t="shared" si="41"/>
        <v>Error?</v>
      </c>
    </row>
    <row r="2719" spans="1:4" x14ac:dyDescent="0.2">
      <c r="A2719" s="5">
        <v>2658</v>
      </c>
      <c r="B2719" s="1832">
        <f>'Expenditures 15-22'!D51</f>
        <v>23602</v>
      </c>
      <c r="D2719" s="2" t="str">
        <f t="shared" si="41"/>
        <v>Error?</v>
      </c>
    </row>
    <row r="2720" spans="1:4" x14ac:dyDescent="0.2">
      <c r="A2720" s="5">
        <v>2659</v>
      </c>
      <c r="B2720" s="1832">
        <f>'Expenditures 15-22'!E51</f>
        <v>75636</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340240</v>
      </c>
      <c r="C2724" s="2" t="s">
        <v>569</v>
      </c>
      <c r="D2724" s="2" t="str">
        <f t="shared" si="41"/>
        <v>Error?</v>
      </c>
    </row>
    <row r="2725" spans="1:4" x14ac:dyDescent="0.2">
      <c r="A2725" s="5">
        <v>2664</v>
      </c>
      <c r="B2725" s="1832">
        <f>'Expenditures 15-22'!D247</f>
        <v>308</v>
      </c>
      <c r="D2725" s="2" t="str">
        <f t="shared" si="41"/>
        <v>Error?</v>
      </c>
    </row>
    <row r="2726" spans="1:4" x14ac:dyDescent="0.2">
      <c r="A2726" s="5">
        <v>2665</v>
      </c>
      <c r="B2726" s="1832">
        <f>'Expenditures 15-22'!K247</f>
        <v>308</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2984293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190346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2984293</v>
      </c>
      <c r="D2912" s="2" t="str">
        <f t="shared" si="44"/>
        <v>Error?</v>
      </c>
    </row>
    <row r="2913" spans="1:4" x14ac:dyDescent="0.2">
      <c r="A2913" s="5">
        <v>2852</v>
      </c>
      <c r="B2913" s="1832">
        <f>'Assets-Liab 5-6'!I41</f>
        <v>2984293</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190346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15289</v>
      </c>
      <c r="D2955" s="2" t="str">
        <f t="shared" si="45"/>
        <v>Error?</v>
      </c>
    </row>
    <row r="2956" spans="1:4" x14ac:dyDescent="0.2">
      <c r="A2956" s="5">
        <v>2895</v>
      </c>
      <c r="B2956" s="1832">
        <f>'Expenditures 15-22'!H79</f>
        <v>344724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15289</v>
      </c>
      <c r="C2973" s="2" t="s">
        <v>569</v>
      </c>
      <c r="D2973" s="2" t="str">
        <f t="shared" si="45"/>
        <v>Error?</v>
      </c>
    </row>
    <row r="2974" spans="1:4" x14ac:dyDescent="0.2">
      <c r="A2974" s="5">
        <v>2913</v>
      </c>
      <c r="B2974" s="1832">
        <f>'Expenditures 15-22'!K79</f>
        <v>344724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190346</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12449</v>
      </c>
      <c r="C3225" s="2" t="s">
        <v>569</v>
      </c>
      <c r="D3225" s="2" t="str">
        <f t="shared" si="49"/>
        <v>Error?</v>
      </c>
    </row>
    <row r="3226" spans="1:4" x14ac:dyDescent="0.2">
      <c r="A3226" s="5">
        <v>3165</v>
      </c>
      <c r="B3226" s="1832">
        <f>'Acct Summary 7-8'!I8</f>
        <v>12449</v>
      </c>
      <c r="C3226" s="2" t="s">
        <v>569</v>
      </c>
      <c r="D3226" s="2" t="str">
        <f t="shared" si="49"/>
        <v>Error?</v>
      </c>
    </row>
    <row r="3227" spans="1:4" x14ac:dyDescent="0.2">
      <c r="A3227" s="5">
        <v>3166</v>
      </c>
      <c r="B3227" s="1832">
        <f>'Acct Summary 7-8'!I20</f>
        <v>12449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-234937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3565372</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3199694</v>
      </c>
      <c r="C3237" s="2" t="s">
        <v>569</v>
      </c>
      <c r="D3237" s="2" t="str">
        <f t="shared" si="49"/>
        <v>Error?</v>
      </c>
    </row>
    <row r="3238" spans="1:4" x14ac:dyDescent="0.2">
      <c r="A3238" s="5">
        <v>3177</v>
      </c>
      <c r="B3238" s="1832">
        <f>'Acct Summary 7-8'!D77</f>
        <v>365678</v>
      </c>
      <c r="C3238" s="2" t="s">
        <v>569</v>
      </c>
      <c r="D3238" s="2" t="str">
        <f t="shared" si="49"/>
        <v>Error?</v>
      </c>
    </row>
    <row r="3239" spans="1:4" x14ac:dyDescent="0.2">
      <c r="A3239" s="5">
        <v>3178</v>
      </c>
      <c r="B3239" s="1832">
        <f>'Acct Summary 7-8'!D78</f>
        <v>1169754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52529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-24113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-31061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3199694</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3199694</v>
      </c>
      <c r="C3299" s="2" t="s">
        <v>569</v>
      </c>
      <c r="D3299" s="2" t="str">
        <f t="shared" si="50"/>
        <v>Error?</v>
      </c>
    </row>
    <row r="3300" spans="1:4" x14ac:dyDescent="0.2">
      <c r="A3300" s="5">
        <v>3239</v>
      </c>
      <c r="B3300" s="1832">
        <f>'Acct Summary 7-8'!H78</f>
        <v>3199694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3565372</v>
      </c>
      <c r="C3318" s="2" t="s">
        <v>569</v>
      </c>
      <c r="D3318" s="2" t="str">
        <f t="shared" si="50"/>
        <v>Error?</v>
      </c>
    </row>
    <row r="3319" spans="1:4" x14ac:dyDescent="0.2">
      <c r="A3319" s="5">
        <v>3258</v>
      </c>
      <c r="B3319" s="1832">
        <f>'Acct Summary 7-8'!I77</f>
        <v>-3565372</v>
      </c>
      <c r="C3319" s="2" t="s">
        <v>569</v>
      </c>
      <c r="D3319" s="2" t="str">
        <f t="shared" si="50"/>
        <v>Error?</v>
      </c>
    </row>
    <row r="3320" spans="1:4" x14ac:dyDescent="0.2">
      <c r="A3320" s="5">
        <v>3259</v>
      </c>
      <c r="B3320" s="1832">
        <f>'Acct Summary 7-8'!I78</f>
        <v>-3552923</v>
      </c>
      <c r="C3320" s="2" t="s">
        <v>569</v>
      </c>
      <c r="D3320" s="2" t="str">
        <f t="shared" si="50"/>
        <v>Error?</v>
      </c>
    </row>
    <row r="3321" spans="1:4" x14ac:dyDescent="0.2">
      <c r="A3321" s="5">
        <v>3260</v>
      </c>
      <c r="B3321" s="1832">
        <f>'Acct Summary 7-8'!I79</f>
        <v>6537216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2984293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1204051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308464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2531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21955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1537001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83633</v>
      </c>
      <c r="D3387" s="2" t="str">
        <f t="shared" si="51"/>
        <v>Error?</v>
      </c>
    </row>
    <row r="3388" spans="1:4" x14ac:dyDescent="0.2">
      <c r="A3388" s="5">
        <v>3327</v>
      </c>
      <c r="B3388" s="1832">
        <f>'Expenditures 15-22'!D217</f>
        <v>51356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83633</v>
      </c>
      <c r="C3390" s="2" t="s">
        <v>569</v>
      </c>
      <c r="D3390" s="2" t="str">
        <f t="shared" si="51"/>
        <v>Error?</v>
      </c>
    </row>
    <row r="3391" spans="1:4" x14ac:dyDescent="0.2">
      <c r="A3391" s="5">
        <v>3330</v>
      </c>
      <c r="B3391" s="1832">
        <f>'Expenditures 15-22'!K217</f>
        <v>51356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9409191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7734060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991284</v>
      </c>
      <c r="D3417" s="2" t="str">
        <f t="shared" si="52"/>
        <v>Error?</v>
      </c>
    </row>
    <row r="3418" spans="1:4" x14ac:dyDescent="0.2">
      <c r="A3418" s="10">
        <v>3357</v>
      </c>
      <c r="B3418" s="1832"/>
      <c r="D3418" s="2" t="str">
        <f t="shared" si="52"/>
        <v>OK</v>
      </c>
    </row>
    <row r="3419" spans="1:4" x14ac:dyDescent="0.2">
      <c r="A3419" s="5">
        <v>3358</v>
      </c>
      <c r="B3419" s="1832">
        <f>'Assets-Liab 5-6'!F4</f>
        <v>119658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453784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3199694</v>
      </c>
      <c r="D3425" s="2" t="str">
        <f t="shared" si="52"/>
        <v>Error?</v>
      </c>
    </row>
    <row r="3426" spans="1:4" x14ac:dyDescent="0.2">
      <c r="A3426" s="10">
        <v>3365</v>
      </c>
      <c r="B3426" s="1832"/>
      <c r="D3426" s="2" t="str">
        <f t="shared" si="52"/>
        <v>OK</v>
      </c>
    </row>
    <row r="3427" spans="1:4" x14ac:dyDescent="0.2">
      <c r="A3427" s="5">
        <v>3366</v>
      </c>
      <c r="B3427" s="1832">
        <f>'Assets-Liab 5-6'!I4</f>
        <v>2984293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190346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7046230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18425177</v>
      </c>
      <c r="C4122" s="2" t="s">
        <v>569</v>
      </c>
      <c r="D4122" s="2" t="str">
        <f t="shared" si="63"/>
        <v>Error?</v>
      </c>
    </row>
    <row r="4123" spans="1:4" x14ac:dyDescent="0.2">
      <c r="A4123" s="5">
        <v>4062</v>
      </c>
      <c r="B4123" s="1832">
        <f>'Acct Summary 7-8'!D10</f>
        <v>1608601</v>
      </c>
      <c r="C4123" s="2" t="s">
        <v>569</v>
      </c>
      <c r="D4123" s="2" t="str">
        <f t="shared" si="63"/>
        <v>Error?</v>
      </c>
    </row>
    <row r="4124" spans="1:4" x14ac:dyDescent="0.2">
      <c r="A4124" s="5">
        <v>4063</v>
      </c>
      <c r="B4124" s="1832">
        <f>'Acct Summary 7-8'!E10</f>
        <v>1014628</v>
      </c>
      <c r="C4124" s="2" t="s">
        <v>569</v>
      </c>
      <c r="D4124" s="2" t="str">
        <f t="shared" si="63"/>
        <v>Error?</v>
      </c>
    </row>
    <row r="4125" spans="1:4" x14ac:dyDescent="0.2">
      <c r="A4125" s="5">
        <v>4064</v>
      </c>
      <c r="B4125" s="1832">
        <f>'Acct Summary 7-8'!F10</f>
        <v>102629</v>
      </c>
      <c r="C4125" s="2" t="s">
        <v>569</v>
      </c>
      <c r="D4125" s="2" t="str">
        <f t="shared" si="63"/>
        <v>Error?</v>
      </c>
    </row>
    <row r="4126" spans="1:4" x14ac:dyDescent="0.2">
      <c r="A4126" s="5">
        <v>4065</v>
      </c>
      <c r="B4126" s="1832">
        <f>'Acct Summary 7-8'!G10</f>
        <v>231479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12449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7046230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18660114</v>
      </c>
      <c r="C4136" s="2" t="s">
        <v>569</v>
      </c>
      <c r="D4136" s="2" t="str">
        <f t="shared" si="63"/>
        <v>Error?</v>
      </c>
    </row>
    <row r="4137" spans="1:4" x14ac:dyDescent="0.2">
      <c r="A4137" s="5">
        <v>4076</v>
      </c>
      <c r="B4137" s="1832">
        <f>'Acct Summary 7-8'!D19</f>
        <v>804525</v>
      </c>
      <c r="C4137" s="2" t="s">
        <v>569</v>
      </c>
      <c r="D4137" s="2" t="str">
        <f t="shared" si="63"/>
        <v>Error?</v>
      </c>
    </row>
    <row r="4138" spans="1:4" x14ac:dyDescent="0.2">
      <c r="A4138" s="5">
        <v>4077</v>
      </c>
      <c r="B4138" s="1832">
        <f>'Acct Summary 7-8'!E19</f>
        <v>1045689</v>
      </c>
      <c r="C4138" s="2" t="s">
        <v>569</v>
      </c>
      <c r="D4138" s="2" t="str">
        <f t="shared" si="63"/>
        <v>Error?</v>
      </c>
    </row>
    <row r="4139" spans="1:4" x14ac:dyDescent="0.2">
      <c r="A4139" s="5">
        <v>4078</v>
      </c>
      <c r="B4139" s="1832">
        <f>'Acct Summary 7-8'!F19</f>
        <v>50100</v>
      </c>
      <c r="C4139" s="2" t="s">
        <v>569</v>
      </c>
      <c r="D4139" s="2" t="str">
        <f t="shared" si="63"/>
        <v>Error?</v>
      </c>
    </row>
    <row r="4140" spans="1:4" x14ac:dyDescent="0.2">
      <c r="A4140" s="5">
        <v>4079</v>
      </c>
      <c r="B4140" s="1832">
        <f>'Acct Summary 7-8'!G19</f>
        <v>255592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7940000</v>
      </c>
      <c r="C4171" s="2" t="s">
        <v>569</v>
      </c>
      <c r="D4171" s="2" t="str">
        <f t="shared" si="64"/>
        <v>Error?</v>
      </c>
    </row>
    <row r="4172" spans="1:4" x14ac:dyDescent="0.2">
      <c r="A4172" s="5">
        <v>4111</v>
      </c>
      <c r="B4172" s="1832">
        <f>'Short-Term Long-Term Debt 24'!J49</f>
        <v>6948716</v>
      </c>
      <c r="C4172" s="2" t="s">
        <v>569</v>
      </c>
      <c r="D4172" s="2" t="str">
        <f t="shared" si="64"/>
        <v>Error?</v>
      </c>
    </row>
    <row r="4173" spans="1:4" x14ac:dyDescent="0.2">
      <c r="A4173" s="5">
        <v>4112</v>
      </c>
      <c r="B4173" s="1832">
        <f>'Short-Term Long-Term Debt 24'!H49</f>
        <v>810000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2968.1</v>
      </c>
      <c r="C4265" s="2" t="s">
        <v>569</v>
      </c>
      <c r="D4265" s="2" t="str">
        <f t="shared" si="65"/>
        <v>Error?</v>
      </c>
      <c r="E4265" s="125"/>
    </row>
    <row r="4266" spans="1:5" x14ac:dyDescent="0.2">
      <c r="A4266" s="12">
        <v>4205</v>
      </c>
      <c r="B4266" s="1832">
        <f>('FP Info 3'!F10)*100000</f>
        <v>353.2</v>
      </c>
      <c r="C4266" s="2" t="s">
        <v>569</v>
      </c>
      <c r="D4266" s="2" t="str">
        <f t="shared" si="65"/>
        <v>Error?</v>
      </c>
      <c r="E4266" s="125"/>
    </row>
    <row r="4267" spans="1:5" x14ac:dyDescent="0.2">
      <c r="A4267" s="12">
        <v>4206</v>
      </c>
      <c r="B4267" s="1832">
        <f>('FP Info 3'!H10)*100000</f>
        <v>14.7</v>
      </c>
      <c r="C4267" s="2" t="s">
        <v>569</v>
      </c>
      <c r="D4267" s="2" t="str">
        <f t="shared" si="65"/>
        <v>Error?</v>
      </c>
      <c r="E4267" s="125"/>
    </row>
    <row r="4268" spans="1:5" x14ac:dyDescent="0.2">
      <c r="A4268" s="12">
        <v>4207</v>
      </c>
      <c r="B4268" s="1832">
        <f>('FP Info 3'!J10)*100000</f>
        <v>3336</v>
      </c>
      <c r="C4268" s="2" t="s">
        <v>569</v>
      </c>
      <c r="D4268" s="2" t="str">
        <f t="shared" si="65"/>
        <v>Error?</v>
      </c>
    </row>
    <row r="4269" spans="1:5" x14ac:dyDescent="0.2">
      <c r="A4269" s="12">
        <v>4208</v>
      </c>
      <c r="B4269" s="1832">
        <f>'FP Info 3'!J16</f>
        <v>19401341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152211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367618465</v>
      </c>
      <c r="D4995" s="2" t="str">
        <f t="shared" si="77"/>
        <v>Error?</v>
      </c>
    </row>
    <row r="4996" spans="1:4" x14ac:dyDescent="0.2">
      <c r="A4996" s="12">
        <v>4935</v>
      </c>
      <c r="B4996" s="1832">
        <f>'FP Info 3'!H31</f>
        <v>25365674.085000001</v>
      </c>
      <c r="D4996" s="2" t="str">
        <f t="shared" si="77"/>
        <v>Error?</v>
      </c>
    </row>
    <row r="4997" spans="1:4" x14ac:dyDescent="0.2">
      <c r="A4997" s="12">
        <v>4936</v>
      </c>
      <c r="B4997" s="1832">
        <f>'FP Info 3'!H37</f>
        <v>7940000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10226665</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10226665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167986</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167986</v>
      </c>
      <c r="C5087" s="2" t="s">
        <v>569</v>
      </c>
      <c r="D5087" s="2" t="str">
        <f t="shared" si="78"/>
        <v>Error?</v>
      </c>
    </row>
    <row r="5088" spans="1:4" x14ac:dyDescent="0.2">
      <c r="A5088" s="5">
        <v>5027</v>
      </c>
      <c r="B5088" s="1832">
        <f>'Revenues 9-14'!C65</f>
        <v>437475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437475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21841</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21841</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41300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41300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1000</v>
      </c>
      <c r="D5113" s="2" t="str">
        <f t="shared" si="78"/>
        <v>Error?</v>
      </c>
    </row>
    <row r="5114" spans="1:4" x14ac:dyDescent="0.2">
      <c r="A5114" s="5">
        <v>5053</v>
      </c>
      <c r="B5114" s="1832">
        <f>'Revenues 9-14'!C96</f>
        <v>1000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17842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5679</v>
      </c>
      <c r="D5119" s="2" t="str">
        <f t="shared" ref="D5119:D5182" si="79">IF(ISBLANK(B5119),"OK",IF(A5119-B5119=0,"OK","Error?"))</f>
        <v>Error?</v>
      </c>
    </row>
    <row r="5120" spans="1:4" x14ac:dyDescent="0.2">
      <c r="A5120" s="5">
        <v>5059</v>
      </c>
      <c r="B5120" s="1832">
        <f>'Revenues 9-14'!C108</f>
        <v>177732</v>
      </c>
      <c r="C5120" s="2" t="s">
        <v>569</v>
      </c>
      <c r="D5120" s="2" t="str">
        <f t="shared" si="79"/>
        <v>Error?</v>
      </c>
    </row>
    <row r="5121" spans="1:4" x14ac:dyDescent="0.2">
      <c r="A5121" s="5">
        <v>5060</v>
      </c>
      <c r="B5121" s="1832">
        <f>'Revenues 9-14'!C109</f>
        <v>11072999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274019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274019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274769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434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30745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31179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31179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31179</v>
      </c>
      <c r="C5326" s="2" t="s">
        <v>569</v>
      </c>
      <c r="D5326" s="2" t="str">
        <f t="shared" si="82"/>
        <v>Error?</v>
      </c>
    </row>
    <row r="5327" spans="1:5" x14ac:dyDescent="0.2">
      <c r="A5327" s="5">
        <v>5266</v>
      </c>
      <c r="B5327" s="1832">
        <f>'Revenues 9-14'!C268</f>
        <v>11378947</v>
      </c>
      <c r="C5327" s="2" t="s">
        <v>569</v>
      </c>
      <c r="D5327" s="2" t="str">
        <f t="shared" si="82"/>
        <v>Error?</v>
      </c>
    </row>
    <row r="5328" spans="1:5" x14ac:dyDescent="0.2">
      <c r="A5328" s="5">
        <v>5267</v>
      </c>
      <c r="B5328" s="1832">
        <f>'Revenues 9-14'!D5</f>
        <v>1608601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1608601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1608601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1608601</v>
      </c>
      <c r="C5508" s="2" t="s">
        <v>569</v>
      </c>
      <c r="D5508" s="2" t="str">
        <f t="shared" si="85"/>
        <v>Error?</v>
      </c>
    </row>
    <row r="5509" spans="1:4" x14ac:dyDescent="0.2">
      <c r="A5509" s="5">
        <v>5448</v>
      </c>
      <c r="B5509" s="1832">
        <f>'Revenues 9-14'!E5</f>
        <v>1014628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1014628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1014628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1014628</v>
      </c>
      <c r="C5552" s="2" t="s">
        <v>569</v>
      </c>
      <c r="D5552" s="2" t="str">
        <f t="shared" si="85"/>
        <v>Error?</v>
      </c>
    </row>
    <row r="5553" spans="1:4" x14ac:dyDescent="0.2">
      <c r="A5553" s="5">
        <v>5492</v>
      </c>
      <c r="B5553" s="1832">
        <f>'Revenues 9-14'!F5</f>
        <v>52633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52633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52633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49996</v>
      </c>
      <c r="D5617" s="2" t="str">
        <f t="shared" si="86"/>
        <v>Error?</v>
      </c>
    </row>
    <row r="5618" spans="1:5" x14ac:dyDescent="0.2">
      <c r="A5618" s="5">
        <v>5557</v>
      </c>
      <c r="B5618" s="1832">
        <f>'Revenues 9-14'!F155</f>
        <v>49996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49996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49996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102629</v>
      </c>
      <c r="C5720" s="2" t="s">
        <v>569</v>
      </c>
      <c r="D5720" s="2" t="str">
        <f t="shared" si="88"/>
        <v>Error?</v>
      </c>
    </row>
    <row r="5721" spans="1:4" x14ac:dyDescent="0.2">
      <c r="A5721" s="5">
        <v>5660</v>
      </c>
      <c r="B5721" s="1832">
        <f>'Revenues 9-14'!G5</f>
        <v>156480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156480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74999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74999</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231479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12449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12449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12449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231479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12449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469.1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8243</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624515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854104</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14733</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624515</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624515</v>
      </c>
      <c r="D6216" s="2" t="str">
        <f t="shared" si="96"/>
        <v>Error?</v>
      </c>
      <c r="E6216" s="2" t="s">
        <v>189</v>
      </c>
    </row>
    <row r="6217" spans="1:5" x14ac:dyDescent="0.2">
      <c r="A6217">
        <v>6156</v>
      </c>
      <c r="B6217" s="1832">
        <f>'Assets-Liab 5-6'!J4</f>
        <v>624515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52633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52633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52633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304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304</v>
      </c>
      <c r="D6229" s="2" t="str">
        <f t="shared" si="96"/>
        <v>Error?</v>
      </c>
      <c r="E6229" s="2" t="s">
        <v>189</v>
      </c>
    </row>
    <row r="6230" spans="1:5" x14ac:dyDescent="0.2">
      <c r="A6230">
        <v>6169</v>
      </c>
      <c r="B6230" s="1832">
        <f>'Acct Summary 7-8'!J20</f>
        <v>52329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52329</v>
      </c>
      <c r="D6263" s="2" t="str">
        <f t="shared" si="96"/>
        <v>Error?</v>
      </c>
      <c r="E6263" s="2" t="s">
        <v>189</v>
      </c>
    </row>
    <row r="6264" spans="1:5" x14ac:dyDescent="0.2">
      <c r="A6264">
        <v>6203</v>
      </c>
      <c r="B6264" s="1832">
        <f>'Acct Summary 7-8'!J79</f>
        <v>572186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624515</v>
      </c>
      <c r="D6266" s="2" t="str">
        <f t="shared" si="96"/>
        <v>Error?</v>
      </c>
      <c r="E6266" s="2" t="s">
        <v>189</v>
      </c>
    </row>
    <row r="6267" spans="1:5" x14ac:dyDescent="0.2">
      <c r="A6267">
        <v>6206</v>
      </c>
      <c r="B6267" s="1832">
        <f>'Acct Summary 7-8'!C82</f>
        <v>-234937</v>
      </c>
      <c r="D6267" s="2" t="str">
        <f t="shared" si="96"/>
        <v>Error?</v>
      </c>
      <c r="E6267" s="2" t="s">
        <v>189</v>
      </c>
    </row>
    <row r="6268" spans="1:5" x14ac:dyDescent="0.2">
      <c r="A6268">
        <v>6207</v>
      </c>
      <c r="B6268" s="1832">
        <f>'Acct Summary 7-8'!D82</f>
        <v>1169754</v>
      </c>
      <c r="D6268" s="2" t="str">
        <f t="shared" si="96"/>
        <v>Error?</v>
      </c>
      <c r="E6268" s="2" t="s">
        <v>189</v>
      </c>
    </row>
    <row r="6269" spans="1:5" x14ac:dyDescent="0.2">
      <c r="A6269">
        <v>6208</v>
      </c>
      <c r="B6269" s="1832">
        <f>'Acct Summary 7-8'!E82</f>
        <v>-31061</v>
      </c>
      <c r="D6269" s="2" t="str">
        <f t="shared" si="96"/>
        <v>Error?</v>
      </c>
      <c r="E6269" s="2" t="s">
        <v>189</v>
      </c>
    </row>
    <row r="6270" spans="1:5" x14ac:dyDescent="0.2">
      <c r="A6270">
        <v>6209</v>
      </c>
      <c r="B6270" s="1832">
        <f>'Acct Summary 7-8'!F82</f>
        <v>52529</v>
      </c>
      <c r="D6270" s="2" t="str">
        <f t="shared" si="96"/>
        <v>Error?</v>
      </c>
      <c r="E6270" s="2" t="s">
        <v>189</v>
      </c>
    </row>
    <row r="6271" spans="1:5" x14ac:dyDescent="0.2">
      <c r="A6271">
        <v>6210</v>
      </c>
      <c r="B6271" s="1832">
        <f>'Acct Summary 7-8'!G82</f>
        <v>-24113</v>
      </c>
      <c r="D6271" s="2" t="str">
        <f t="shared" ref="D6271:D6334" si="97">IF(ISBLANK(B6271),"OK",IF(A6271-B6271=0,"OK","Error?"))</f>
        <v>Error?</v>
      </c>
      <c r="E6271" s="2" t="s">
        <v>189</v>
      </c>
    </row>
    <row r="6272" spans="1:5" x14ac:dyDescent="0.2">
      <c r="A6272">
        <v>6211</v>
      </c>
      <c r="B6272" s="1832">
        <f>'Acct Summary 7-8'!H82</f>
        <v>3199694</v>
      </c>
      <c r="D6272" s="2" t="str">
        <f t="shared" si="97"/>
        <v>Error?</v>
      </c>
      <c r="E6272" s="2" t="s">
        <v>189</v>
      </c>
    </row>
    <row r="6273" spans="1:5" x14ac:dyDescent="0.2">
      <c r="A6273">
        <v>6212</v>
      </c>
      <c r="B6273" s="1832">
        <f>'Acct Summary 7-8'!I82</f>
        <v>-3552923</v>
      </c>
      <c r="D6273" s="2" t="str">
        <f t="shared" si="97"/>
        <v>Error?</v>
      </c>
      <c r="E6273" s="2" t="s">
        <v>189</v>
      </c>
    </row>
    <row r="6274" spans="1:5" x14ac:dyDescent="0.2">
      <c r="A6274">
        <v>6213</v>
      </c>
      <c r="B6274" s="1832">
        <f>'Acct Summary 7-8'!J82</f>
        <v>52329</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-2.7435238394409651E-2</v>
      </c>
      <c r="D6276" s="2" t="str">
        <f t="shared" si="97"/>
        <v>Error?</v>
      </c>
      <c r="E6276" s="2" t="s">
        <v>189</v>
      </c>
    </row>
    <row r="6277" spans="1:5" x14ac:dyDescent="0.2">
      <c r="A6277">
        <v>6216</v>
      </c>
      <c r="B6277" s="1832">
        <f>'Acct Summary 7-8'!D83</f>
        <v>0.15124708109324211</v>
      </c>
      <c r="D6277" s="2" t="str">
        <f t="shared" si="97"/>
        <v>Error?</v>
      </c>
      <c r="E6277" s="2" t="s">
        <v>189</v>
      </c>
    </row>
    <row r="6278" spans="1:5" x14ac:dyDescent="0.2">
      <c r="A6278">
        <v>6217</v>
      </c>
      <c r="B6278" s="1832">
        <f>'Acct Summary 7-8'!E83</f>
        <v>-3.1334108086078255E-2</v>
      </c>
      <c r="D6278" s="2" t="str">
        <f t="shared" si="97"/>
        <v>Error?</v>
      </c>
      <c r="E6278" s="2" t="s">
        <v>189</v>
      </c>
    </row>
    <row r="6279" spans="1:5" x14ac:dyDescent="0.2">
      <c r="A6279">
        <v>6218</v>
      </c>
      <c r="B6279" s="1832">
        <f>'Acct Summary 7-8'!F83</f>
        <v>0.43899279613565328</v>
      </c>
      <c r="D6279" s="2" t="str">
        <f t="shared" si="97"/>
        <v>Error?</v>
      </c>
      <c r="E6279" s="2" t="s">
        <v>189</v>
      </c>
    </row>
    <row r="6280" spans="1:5" x14ac:dyDescent="0.2">
      <c r="A6280">
        <v>6219</v>
      </c>
      <c r="B6280" s="1832">
        <f>'Acct Summary 7-8'!G83</f>
        <v>-5.4920726749284249E-2</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-1.1905409421930084</v>
      </c>
      <c r="D6282" s="2" t="str">
        <f t="shared" si="97"/>
        <v>Error?</v>
      </c>
      <c r="E6282" s="2" t="s">
        <v>189</v>
      </c>
    </row>
    <row r="6283" spans="1:5" x14ac:dyDescent="0.2">
      <c r="A6283">
        <v>6222</v>
      </c>
      <c r="B6283" s="1832">
        <f>'Acct Summary 7-8'!J83</f>
        <v>8.3791422143583427E-2</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3199694</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52633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52633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52633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142934</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1308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142934</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64214</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64214</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64214</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207148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3394</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3394</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3394</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304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3394</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52633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304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304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304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304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304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304</v>
      </c>
      <c r="D7224" s="2" t="str">
        <f t="shared" si="111"/>
        <v>Error?</v>
      </c>
    </row>
    <row r="7225" spans="1:4" x14ac:dyDescent="0.2">
      <c r="A7225">
        <v>7164</v>
      </c>
      <c r="B7225" s="1832">
        <f>'Expenditures 15-22'!K343</f>
        <v>52329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1308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210542</v>
      </c>
      <c r="D7624" s="2" t="str">
        <f t="shared" si="124"/>
        <v>Error?</v>
      </c>
      <c r="E7624" s="2" t="s">
        <v>19</v>
      </c>
    </row>
    <row r="7625" spans="1:5" x14ac:dyDescent="0.2">
      <c r="A7625">
        <f t="shared" si="123"/>
        <v>7564</v>
      </c>
      <c r="B7625" s="1832">
        <f>'Cap Outlay Deprec 26'!I17</f>
        <v>21054.2</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499633.2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3199694</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3565372</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10685000</v>
      </c>
      <c r="D7817" s="2" t="str">
        <f t="shared" si="128"/>
        <v>Error?</v>
      </c>
      <c r="E7817" s="4" t="s">
        <v>1966</v>
      </c>
    </row>
    <row r="7818" spans="1:5" x14ac:dyDescent="0.2">
      <c r="A7818">
        <v>7757</v>
      </c>
      <c r="B7818" s="1832">
        <f>'PCTC-OEPP 27-28'!F172</f>
        <v>163445</v>
      </c>
      <c r="D7818" s="2" t="str">
        <f t="shared" si="128"/>
        <v>Error?</v>
      </c>
      <c r="E7818" s="4" t="s">
        <v>1980</v>
      </c>
    </row>
    <row r="7819" spans="1:5" x14ac:dyDescent="0.2">
      <c r="A7819">
        <v>7758</v>
      </c>
      <c r="B7819" s="1832">
        <f>'PCTC-OEPP 27-28'!F173</f>
        <v>7</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13770094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1308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26537</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1503879</v>
      </c>
      <c r="D7834" s="2" t="str">
        <f t="shared" si="129"/>
        <v>Error?</v>
      </c>
      <c r="E7834" s="4" t="s">
        <v>1998</v>
      </c>
    </row>
    <row r="7835" spans="1:5" x14ac:dyDescent="0.2">
      <c r="A7835">
        <v>7774</v>
      </c>
      <c r="B7835" s="1832">
        <f>'PCTC-OEPP 27-28'!F78</f>
        <v>12266215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26148.401193775313</v>
      </c>
      <c r="D7837" s="2" t="str">
        <f t="shared" si="129"/>
        <v>Error?</v>
      </c>
      <c r="E7837" s="4" t="s">
        <v>1998</v>
      </c>
    </row>
    <row r="7838" spans="1:5" x14ac:dyDescent="0.2">
      <c r="A7838">
        <v>7777</v>
      </c>
      <c r="B7838" s="1832">
        <f>'PCTC-OEPP 27-28'!F96</f>
        <v>41300</v>
      </c>
      <c r="D7838" s="2" t="str">
        <f t="shared" si="129"/>
        <v>Error?</v>
      </c>
      <c r="E7838" s="4" t="s">
        <v>1998</v>
      </c>
    </row>
    <row r="7839" spans="1:5" x14ac:dyDescent="0.2">
      <c r="A7839">
        <v>7778</v>
      </c>
      <c r="B7839" s="1832">
        <f>'PCTC-OEPP 27-28'!F102</f>
        <v>1000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152211</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49996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30745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461295</v>
      </c>
      <c r="D7877" s="2" t="str">
        <f t="shared" si="129"/>
        <v>Error?</v>
      </c>
      <c r="E7877" s="4" t="s">
        <v>1998</v>
      </c>
    </row>
    <row r="7878" spans="1:5" x14ac:dyDescent="0.2">
      <c r="A7878">
        <v>7817</v>
      </c>
      <c r="B7878" s="1832">
        <f>'PCTC-OEPP 27-28'!F176</f>
        <v>11804920</v>
      </c>
      <c r="D7878" s="2" t="str">
        <f t="shared" si="129"/>
        <v>Error?</v>
      </c>
      <c r="E7878" s="4" t="s">
        <v>1998</v>
      </c>
    </row>
    <row r="7879" spans="1:5" x14ac:dyDescent="0.2">
      <c r="A7879">
        <v>7818</v>
      </c>
      <c r="B7879" s="1832">
        <f>'PCTC-OEPP 27-28'!F178</f>
        <v>12304553.199999999</v>
      </c>
      <c r="D7879" s="2" t="str">
        <f t="shared" si="129"/>
        <v>Error?</v>
      </c>
      <c r="E7879" s="4" t="s">
        <v>1998</v>
      </c>
    </row>
    <row r="7880" spans="1:5" x14ac:dyDescent="0.2">
      <c r="A7880">
        <v>7819</v>
      </c>
      <c r="B7880" s="1832">
        <f>'PCTC-OEPP 27-28'!F180</f>
        <v>26230.128330846299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Kenilworth SD</v>
      </c>
      <c r="B7" s="2516"/>
      <c r="C7" s="2516"/>
      <c r="D7" s="2554"/>
      <c r="E7" s="2555">
        <f>COVER!A13</f>
        <v>5016038002</v>
      </c>
      <c r="F7" s="2556"/>
      <c r="G7" s="2522">
        <f>COVER!T23</f>
        <v>66005323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GEORGE ROACH &amp; ASSOCIATES, P.C.</v>
      </c>
      <c r="H9" s="2529"/>
      <c r="I9" s="2529"/>
      <c r="J9" s="2529"/>
      <c r="K9" s="2529"/>
      <c r="L9" s="2530"/>
    </row>
    <row r="10" spans="1:29" ht="13.5" customHeight="1" x14ac:dyDescent="0.2">
      <c r="A10" s="2512" t="str">
        <f>COVER!A38</f>
        <v>CATHERINE DONEGAN</v>
      </c>
      <c r="B10" s="2513"/>
      <c r="C10" s="2513"/>
      <c r="D10" s="2513"/>
      <c r="E10" s="2513"/>
      <c r="F10" s="2514"/>
      <c r="G10" s="2528" t="str">
        <f>COVER!T17</f>
        <v>44 N. WALKUP AVE.</v>
      </c>
      <c r="H10" s="2541"/>
      <c r="I10" s="2541"/>
      <c r="J10" s="2541"/>
      <c r="K10" s="2541"/>
      <c r="L10" s="2542"/>
    </row>
    <row r="11" spans="1:29" ht="13.5" customHeight="1" x14ac:dyDescent="0.2">
      <c r="A11" s="963" t="s">
        <v>1502</v>
      </c>
      <c r="B11" s="964"/>
      <c r="C11" s="965"/>
      <c r="D11" s="970"/>
      <c r="E11" s="965"/>
      <c r="F11" s="969"/>
      <c r="G11" s="2528" t="str">
        <f>COVER!T19</f>
        <v>CRYSTAL LAKE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JOE@GRA-CPA.COM</v>
      </c>
      <c r="J13" s="2550"/>
      <c r="K13" s="2550"/>
      <c r="L13" s="2551"/>
    </row>
    <row r="14" spans="1:29" ht="13.5" customHeight="1" x14ac:dyDescent="0.2">
      <c r="A14" s="2528" t="str">
        <f>COVER!A19</f>
        <v>542 ABBOTSFORD RD.</v>
      </c>
      <c r="B14" s="2541"/>
      <c r="C14" s="2541"/>
      <c r="D14" s="2541"/>
      <c r="E14" s="2541"/>
      <c r="F14" s="2542"/>
      <c r="G14" s="974" t="s">
        <v>1175</v>
      </c>
      <c r="H14" s="972"/>
      <c r="I14" s="972"/>
      <c r="J14" s="972"/>
      <c r="K14" s="972"/>
      <c r="L14" s="973"/>
    </row>
    <row r="15" spans="1:29" ht="13.5" customHeight="1" x14ac:dyDescent="0.2">
      <c r="A15" s="2528" t="str">
        <f>COVER!A21</f>
        <v>KENILWORTH</v>
      </c>
      <c r="B15" s="2541"/>
      <c r="C15" s="2541"/>
      <c r="D15" s="2541"/>
      <c r="E15" s="2541"/>
      <c r="F15" s="2542"/>
      <c r="G15" s="2538" t="str">
        <f>COVER!T15</f>
        <v>JOSEPH TROYER</v>
      </c>
      <c r="H15" s="2539"/>
      <c r="I15" s="2539"/>
      <c r="J15" s="2539"/>
      <c r="K15" s="2539"/>
      <c r="L15" s="2540"/>
    </row>
    <row r="16" spans="1:29" ht="12.2" customHeight="1" x14ac:dyDescent="0.2">
      <c r="A16" s="2518">
        <f>COVER!A25</f>
        <v>60043</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815-459-0700</v>
      </c>
      <c r="H18" s="2516"/>
      <c r="I18" s="2516"/>
      <c r="J18" s="2516"/>
      <c r="K18" s="2515" t="str">
        <f>COVER!X21</f>
        <v>815-356-9573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Kenilworth SD</v>
      </c>
      <c r="B1" s="2558"/>
      <c r="C1" s="2558"/>
      <c r="D1" s="2558"/>
    </row>
    <row r="2" spans="1:11" s="991" customFormat="1" ht="12.75" x14ac:dyDescent="0.2">
      <c r="A2" s="2559">
        <f>'Single Audit Cover'!E7</f>
        <v>5016038002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Kenilworth SD</v>
      </c>
      <c r="B1" s="2562"/>
      <c r="C1" s="2562"/>
      <c r="D1" s="2562"/>
      <c r="E1" s="2562"/>
    </row>
    <row r="2" spans="1:5" x14ac:dyDescent="0.2">
      <c r="A2" s="2563">
        <f>'Single Audit Cover'!E7</f>
        <v>5016038002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31179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31179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31179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31179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Kenilworth SD</v>
      </c>
      <c r="C1" s="2566"/>
      <c r="D1" s="2566"/>
      <c r="E1" s="2566"/>
      <c r="F1" s="2566"/>
      <c r="G1" s="2566"/>
      <c r="H1" s="2566"/>
      <c r="I1" s="2566"/>
      <c r="J1" s="2566"/>
      <c r="K1" s="2566"/>
      <c r="L1" s="2566"/>
      <c r="M1" s="2566"/>
    </row>
    <row r="2" spans="2:14" ht="15" x14ac:dyDescent="0.2">
      <c r="B2" s="2567">
        <f>'Single Audit Cover'!E7</f>
        <v>5016038002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Kenilworth SD</v>
      </c>
      <c r="B1" s="2571"/>
      <c r="C1" s="2571"/>
      <c r="D1" s="2571"/>
      <c r="E1" s="2571"/>
      <c r="F1" s="2571"/>
    </row>
    <row r="2" spans="1:7" ht="13.5" customHeight="1" x14ac:dyDescent="0.2">
      <c r="A2" s="2567">
        <f>'Single Audit Cover'!E7</f>
        <v>5016038002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2054</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Kenilworth SD</v>
      </c>
      <c r="C1" s="2587"/>
      <c r="D1" s="2587"/>
      <c r="E1" s="2587"/>
      <c r="F1" s="2587"/>
      <c r="G1" s="2587"/>
      <c r="H1" s="2587"/>
      <c r="I1" s="2587"/>
      <c r="J1" s="1178"/>
    </row>
    <row r="2" spans="2:10" s="295" customFormat="1" ht="12.75" customHeight="1" x14ac:dyDescent="0.2">
      <c r="B2" s="2588">
        <f>'Single Audit Cover'!E7</f>
        <v>5016038002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Kenilworth SD</v>
      </c>
      <c r="C1" s="2586"/>
      <c r="D1" s="2586"/>
      <c r="E1" s="2586"/>
      <c r="F1" s="2586"/>
      <c r="G1" s="2586"/>
      <c r="H1" s="2586"/>
      <c r="I1" s="2586"/>
      <c r="J1" s="2586"/>
      <c r="K1" s="2586"/>
      <c r="L1" s="1144"/>
      <c r="M1" s="1144"/>
    </row>
    <row r="2" spans="1:13" ht="12" customHeight="1" x14ac:dyDescent="0.2">
      <c r="B2" s="2588">
        <f>'Single Audit Cover'!E7</f>
        <v>5016038002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Kenilworth SD</v>
      </c>
      <c r="C1" s="2613"/>
      <c r="D1" s="2613"/>
      <c r="E1" s="2613"/>
      <c r="F1" s="2613"/>
      <c r="G1" s="2613"/>
      <c r="H1" s="2613"/>
      <c r="I1" s="2613"/>
      <c r="J1" s="2613"/>
      <c r="K1" s="2613"/>
      <c r="L1" s="1221"/>
    </row>
    <row r="2" spans="1:12" ht="12.75" customHeight="1" x14ac:dyDescent="0.2">
      <c r="B2" s="2614">
        <f>'Single Audit Cover'!E7</f>
        <v>5016038002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Kenilworth SD</v>
      </c>
      <c r="C1" s="2586"/>
      <c r="D1" s="2586"/>
      <c r="E1" s="1240"/>
    </row>
    <row r="2" spans="2:5" s="1058" customFormat="1" ht="12.75" customHeight="1" x14ac:dyDescent="0.2">
      <c r="B2" s="2588">
        <f>'Single Audit Cover'!E7</f>
        <v>5016038002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367618465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2.9680999999999999E-2</v>
      </c>
      <c r="E10" s="333" t="s">
        <v>998</v>
      </c>
      <c r="F10" s="332">
        <v>3.532E-3</v>
      </c>
      <c r="G10" s="333" t="s">
        <v>998</v>
      </c>
      <c r="H10" s="332">
        <v>1.47E-4</v>
      </c>
      <c r="I10" s="333" t="s">
        <v>999</v>
      </c>
      <c r="J10" s="1424">
        <f>ROUND(D10+F10+H10,5)</f>
        <v>3.3360000000000001E-2</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13102626</v>
      </c>
      <c r="E16" s="1547"/>
      <c r="F16" s="1546">
        <f>SUM('Acct Summary 7-8'!C17,'Acct Summary 7-8'!D17,'Acct Summary 7-8'!F17)</f>
        <v>12468509</v>
      </c>
      <c r="G16" s="1547"/>
      <c r="H16" s="1546">
        <f>SUM(D16-F16)</f>
        <v>634117</v>
      </c>
      <c r="I16" s="1548"/>
      <c r="J16" s="1546">
        <f>SUM('Acct Summary 7-8'!C81,'Acct Summary 7-8'!D81,'Acct Summary 7-8'!F81,'Acct Summary 7-8'!I81)</f>
        <v>19401341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25365674.085000001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7940000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Kenilworth SD</v>
      </c>
      <c r="E7" s="368"/>
      <c r="G7" s="247"/>
      <c r="H7" s="364"/>
      <c r="I7" s="364"/>
      <c r="J7" s="364"/>
      <c r="K7" s="364"/>
      <c r="L7" s="307"/>
      <c r="M7" s="307"/>
      <c r="N7" s="307"/>
      <c r="O7" s="307"/>
      <c r="P7" s="307"/>
    </row>
    <row r="8" spans="1:18" ht="12.75" x14ac:dyDescent="0.2">
      <c r="A8" s="307"/>
      <c r="B8" s="307"/>
      <c r="C8" s="366" t="s">
        <v>1115</v>
      </c>
      <c r="D8" s="369">
        <f>COVER!A13</f>
        <v>5016038002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19401341</v>
      </c>
      <c r="I12" s="380"/>
      <c r="J12" s="380"/>
      <c r="K12" s="1559">
        <f>TRUNC((H12/H13*100000),5)/100000</f>
        <v>1.4807215744000002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13102626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12468509</v>
      </c>
      <c r="I17" s="380"/>
      <c r="J17" s="389"/>
      <c r="K17" s="1559">
        <f>TRUNC((H17/H18*100000),5)/100000</f>
        <v>0.95160382349999995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13102626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20247202</v>
      </c>
      <c r="I24" s="394"/>
      <c r="J24" s="394"/>
      <c r="K24" s="1555">
        <f>TRUNC(((H24/H25*100000)/100000),2)</f>
        <v>584.59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34634.747219999997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10424189.193539999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7940000</v>
      </c>
      <c r="I32" s="392"/>
      <c r="J32" s="392"/>
      <c r="K32" s="1555">
        <f>TRUNC(100-((((H32/H33*100))*100)/100),2)</f>
        <v>68.69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25365674.085000001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9409191</v>
      </c>
      <c r="D4" s="1573">
        <v>7734060</v>
      </c>
      <c r="E4" s="1573">
        <v>991284</v>
      </c>
      <c r="F4" s="1573">
        <v>119658</v>
      </c>
      <c r="G4" s="1573">
        <v>453784</v>
      </c>
      <c r="H4" s="1573">
        <v>3199694</v>
      </c>
      <c r="I4" s="1573">
        <v>2984293</v>
      </c>
      <c r="J4" s="1574">
        <v>624515</v>
      </c>
      <c r="K4" s="1573"/>
      <c r="L4" s="1573">
        <v>190346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8243</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9417434</v>
      </c>
      <c r="D13" s="1587">
        <f t="shared" ref="D13:L13" si="0">SUM(D4:D12)</f>
        <v>7734060</v>
      </c>
      <c r="E13" s="1587">
        <f t="shared" si="0"/>
        <v>991284</v>
      </c>
      <c r="F13" s="1587">
        <f t="shared" si="0"/>
        <v>119658</v>
      </c>
      <c r="G13" s="1587">
        <f t="shared" si="0"/>
        <v>453784</v>
      </c>
      <c r="H13" s="1587">
        <f t="shared" si="0"/>
        <v>3199694</v>
      </c>
      <c r="I13" s="1587">
        <f t="shared" si="0"/>
        <v>2984293</v>
      </c>
      <c r="J13" s="1587">
        <f t="shared" si="0"/>
        <v>624515</v>
      </c>
      <c r="K13" s="1587">
        <f t="shared" si="0"/>
        <v>0</v>
      </c>
      <c r="L13" s="1587">
        <f t="shared" si="0"/>
        <v>190346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26342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16240001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454921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1910195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991284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6948716</v>
      </c>
    </row>
    <row r="23" spans="1:14" ht="13.5" customHeight="1" thickBot="1" x14ac:dyDescent="0.25">
      <c r="A23" s="1426" t="s">
        <v>638</v>
      </c>
      <c r="B23" s="1429"/>
      <c r="C23" s="1575"/>
      <c r="D23" s="1575"/>
      <c r="E23" s="1575"/>
      <c r="F23" s="1575"/>
      <c r="G23" s="1575"/>
      <c r="H23" s="1575"/>
      <c r="I23" s="1575"/>
      <c r="J23" s="1575"/>
      <c r="K23" s="1575"/>
      <c r="L23" s="1575"/>
      <c r="M23" s="1594">
        <f>SUM(M15:M22)</f>
        <v>18631459</v>
      </c>
      <c r="N23" s="1594">
        <f>SUM(N21:N22)</f>
        <v>7940000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854104</v>
      </c>
      <c r="D30" s="1579"/>
      <c r="E30" s="1574"/>
      <c r="F30" s="1574"/>
      <c r="G30" s="1574">
        <v>14733</v>
      </c>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854104</v>
      </c>
      <c r="D34" s="1600">
        <f t="shared" ref="D34:K34" si="1">SUM(D25:D33)</f>
        <v>0</v>
      </c>
      <c r="E34" s="1600">
        <f t="shared" si="1"/>
        <v>0</v>
      </c>
      <c r="F34" s="1600">
        <f t="shared" si="1"/>
        <v>0</v>
      </c>
      <c r="G34" s="1600">
        <f t="shared" si="1"/>
        <v>14733</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7940000</v>
      </c>
    </row>
    <row r="37" spans="1:14" ht="13.5" thickBot="1" x14ac:dyDescent="0.25">
      <c r="A37" s="1426" t="s">
        <v>648</v>
      </c>
      <c r="B37" s="1429"/>
      <c r="C37" s="1582"/>
      <c r="D37" s="1582"/>
      <c r="E37" s="1582"/>
      <c r="F37" s="1582"/>
      <c r="G37" s="1582"/>
      <c r="H37" s="1582"/>
      <c r="I37" s="1582"/>
      <c r="J37" s="1582"/>
      <c r="K37" s="1582"/>
      <c r="L37" s="1585"/>
      <c r="M37" s="1575"/>
      <c r="N37" s="1594">
        <f>SUM(N36:N36)</f>
        <v>7940000</v>
      </c>
    </row>
    <row r="38" spans="1:14" s="307" customFormat="1" ht="13.5" customHeight="1" thickTop="1" x14ac:dyDescent="0.2">
      <c r="A38" s="438" t="s">
        <v>417</v>
      </c>
      <c r="B38" s="432">
        <v>714</v>
      </c>
      <c r="C38" s="1573"/>
      <c r="D38" s="1573">
        <v>7734060</v>
      </c>
      <c r="E38" s="1573">
        <v>991284</v>
      </c>
      <c r="F38" s="1573">
        <v>119658</v>
      </c>
      <c r="G38" s="1573">
        <v>439051</v>
      </c>
      <c r="H38" s="1573">
        <v>3199694</v>
      </c>
      <c r="I38" s="1573"/>
      <c r="J38" s="1574">
        <v>624515</v>
      </c>
      <c r="K38" s="1573"/>
      <c r="L38" s="1586">
        <v>190346</v>
      </c>
      <c r="M38" s="1604"/>
      <c r="N38" s="1604"/>
    </row>
    <row r="39" spans="1:14" s="307" customFormat="1" ht="13.5" customHeight="1" x14ac:dyDescent="0.2">
      <c r="A39" s="438" t="s">
        <v>339</v>
      </c>
      <c r="B39" s="432">
        <v>730</v>
      </c>
      <c r="C39" s="1573">
        <v>8563330</v>
      </c>
      <c r="D39" s="1573"/>
      <c r="E39" s="1573"/>
      <c r="F39" s="1573"/>
      <c r="G39" s="1573"/>
      <c r="H39" s="1573"/>
      <c r="I39" s="1573">
        <v>2984293</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18631459</v>
      </c>
      <c r="N40" s="1604"/>
    </row>
    <row r="41" spans="1:14" ht="13.5" customHeight="1" thickBot="1" x14ac:dyDescent="0.25">
      <c r="A41" s="1426" t="s">
        <v>650</v>
      </c>
      <c r="B41" s="1405"/>
      <c r="C41" s="1594">
        <f>(SUM(C34,C37,C38,C39))</f>
        <v>9417434</v>
      </c>
      <c r="D41" s="1594">
        <f t="shared" ref="D41:L41" si="2">SUM(D34,D37,D38:D39)</f>
        <v>7734060</v>
      </c>
      <c r="E41" s="1594">
        <f t="shared" si="2"/>
        <v>991284</v>
      </c>
      <c r="F41" s="1594">
        <f t="shared" si="2"/>
        <v>119658</v>
      </c>
      <c r="G41" s="1594">
        <f t="shared" si="2"/>
        <v>453784</v>
      </c>
      <c r="H41" s="1594">
        <f t="shared" si="2"/>
        <v>3199694</v>
      </c>
      <c r="I41" s="1594">
        <f t="shared" si="2"/>
        <v>2984293</v>
      </c>
      <c r="J41" s="1594">
        <f t="shared" si="2"/>
        <v>624515</v>
      </c>
      <c r="K41" s="1594">
        <f t="shared" si="2"/>
        <v>0</v>
      </c>
      <c r="L41" s="1594">
        <f t="shared" si="2"/>
        <v>190346</v>
      </c>
      <c r="M41" s="1594">
        <f>SUM(M40)</f>
        <v>18631459</v>
      </c>
      <c r="N41" s="1594">
        <f>SUM(N37)</f>
        <v>7940000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I80" sqref="I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11072999</v>
      </c>
      <c r="D4" s="1606">
        <f>'Revenues 9-14'!D109</f>
        <v>1608601</v>
      </c>
      <c r="E4" s="1606">
        <f>'Revenues 9-14'!E109</f>
        <v>1014628</v>
      </c>
      <c r="F4" s="1606">
        <f>'Revenues 9-14'!F109</f>
        <v>52633</v>
      </c>
      <c r="G4" s="1606">
        <f>'Revenues 9-14'!G109</f>
        <v>231479</v>
      </c>
      <c r="H4" s="1606">
        <f>'Revenues 9-14'!H109</f>
        <v>0</v>
      </c>
      <c r="I4" s="1606">
        <f>'Revenues 9-14'!I109</f>
        <v>12449</v>
      </c>
      <c r="J4" s="1606">
        <f>'Revenues 9-14'!J109</f>
        <v>52633</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274769</v>
      </c>
      <c r="D6" s="1607">
        <f>'Revenues 9-14'!D170</f>
        <v>0</v>
      </c>
      <c r="E6" s="1607">
        <f>'Revenues 9-14'!E170</f>
        <v>0</v>
      </c>
      <c r="F6" s="1607">
        <f>'Revenues 9-14'!F170</f>
        <v>49996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31179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11378947</v>
      </c>
      <c r="D8" s="1594">
        <f t="shared" ref="D8:K8" si="0">SUM(D4:D7)</f>
        <v>1608601</v>
      </c>
      <c r="E8" s="1594">
        <f t="shared" si="0"/>
        <v>1014628</v>
      </c>
      <c r="F8" s="1594">
        <f t="shared" si="0"/>
        <v>102629</v>
      </c>
      <c r="G8" s="1594">
        <f t="shared" si="0"/>
        <v>231479</v>
      </c>
      <c r="H8" s="1594">
        <f t="shared" si="0"/>
        <v>0</v>
      </c>
      <c r="I8" s="1594">
        <f t="shared" si="0"/>
        <v>12449</v>
      </c>
      <c r="J8" s="1594">
        <f t="shared" si="0"/>
        <v>52633</v>
      </c>
      <c r="K8" s="1594">
        <f t="shared" si="0"/>
        <v>0</v>
      </c>
      <c r="L8" s="325"/>
    </row>
    <row r="9" spans="1:13" ht="15.75" thickTop="1" x14ac:dyDescent="0.2">
      <c r="A9" s="449" t="s">
        <v>1634</v>
      </c>
      <c r="B9" s="450">
        <v>3998</v>
      </c>
      <c r="C9" s="1586">
        <v>7046230</v>
      </c>
      <c r="D9" s="1613"/>
      <c r="E9" s="1586"/>
      <c r="F9" s="1586"/>
      <c r="G9" s="1614"/>
      <c r="H9" s="1586"/>
      <c r="I9" s="1609" t="s">
        <v>1159</v>
      </c>
      <c r="J9" s="1583"/>
      <c r="K9" s="1586"/>
      <c r="L9" s="325"/>
    </row>
    <row r="10" spans="1:13" s="452" customFormat="1" ht="13.5" thickBot="1" x14ac:dyDescent="0.25">
      <c r="A10" s="1426" t="s">
        <v>1163</v>
      </c>
      <c r="B10" s="1407"/>
      <c r="C10" s="1594">
        <f>SUM(C8:C9)</f>
        <v>18425177</v>
      </c>
      <c r="D10" s="1594">
        <f t="shared" ref="D10:K10" si="1">SUM(D8:D9)</f>
        <v>1608601</v>
      </c>
      <c r="E10" s="1594">
        <f t="shared" si="1"/>
        <v>1014628</v>
      </c>
      <c r="F10" s="1594">
        <f t="shared" si="1"/>
        <v>102629</v>
      </c>
      <c r="G10" s="1594">
        <f t="shared" si="1"/>
        <v>231479</v>
      </c>
      <c r="H10" s="1594">
        <f t="shared" si="1"/>
        <v>0</v>
      </c>
      <c r="I10" s="1594">
        <f t="shared" si="1"/>
        <v>12449</v>
      </c>
      <c r="J10" s="1594">
        <f t="shared" si="1"/>
        <v>52633</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7604803</v>
      </c>
      <c r="D12" s="1616" t="s">
        <v>1159</v>
      </c>
      <c r="E12" s="1575" t="s">
        <v>1159</v>
      </c>
      <c r="F12" s="1575" t="s">
        <v>1159</v>
      </c>
      <c r="G12" s="1606">
        <f>'Expenditures 15-22'!K229</f>
        <v>139095</v>
      </c>
      <c r="H12" s="1617"/>
      <c r="I12" s="1575" t="s">
        <v>1159</v>
      </c>
      <c r="J12" s="1575" t="s">
        <v>1159</v>
      </c>
      <c r="K12" s="1617" t="s">
        <v>1159</v>
      </c>
      <c r="L12" s="325"/>
    </row>
    <row r="13" spans="1:13" ht="15.75" customHeight="1" x14ac:dyDescent="0.2">
      <c r="A13" s="1314" t="s">
        <v>454</v>
      </c>
      <c r="B13" s="1316">
        <v>2000</v>
      </c>
      <c r="C13" s="1607">
        <f>'Expenditures 15-22'!K74</f>
        <v>3649068</v>
      </c>
      <c r="D13" s="1607">
        <f>'Expenditures 15-22'!K129</f>
        <v>804525</v>
      </c>
      <c r="E13" s="1576" t="s">
        <v>1159</v>
      </c>
      <c r="F13" s="1607">
        <f>'Expenditures 15-22'!K184</f>
        <v>50100</v>
      </c>
      <c r="G13" s="1607">
        <f>'Expenditures 15-22'!K279</f>
        <v>116497</v>
      </c>
      <c r="H13" s="1607">
        <f>'Expenditures 15-22'!K303</f>
        <v>0</v>
      </c>
      <c r="I13" s="1575" t="s">
        <v>1159</v>
      </c>
      <c r="J13" s="1607">
        <f>'Expenditures 15-22'!K330</f>
        <v>304</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360013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1045689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11613884</v>
      </c>
      <c r="D17" s="1594">
        <f t="shared" si="2"/>
        <v>804525</v>
      </c>
      <c r="E17" s="1594">
        <f t="shared" si="2"/>
        <v>1045689</v>
      </c>
      <c r="F17" s="1594">
        <f t="shared" si="2"/>
        <v>50100</v>
      </c>
      <c r="G17" s="1594">
        <f t="shared" si="2"/>
        <v>255592</v>
      </c>
      <c r="H17" s="1594">
        <f t="shared" si="2"/>
        <v>0</v>
      </c>
      <c r="I17" s="1575"/>
      <c r="J17" s="1594">
        <f>SUM(J12:J16)</f>
        <v>304</v>
      </c>
      <c r="K17" s="1594">
        <f>SUM(K12:K16)</f>
        <v>0</v>
      </c>
      <c r="L17" s="325"/>
    </row>
    <row r="18" spans="1:12" ht="15" customHeight="1" thickTop="1" x14ac:dyDescent="0.2">
      <c r="A18" s="1430" t="s">
        <v>1635</v>
      </c>
      <c r="B18" s="1431">
        <v>4180</v>
      </c>
      <c r="C18" s="1606">
        <f t="shared" ref="C18:H18" si="3">C9</f>
        <v>7046230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18660114</v>
      </c>
      <c r="D19" s="1594">
        <f t="shared" si="4"/>
        <v>804525</v>
      </c>
      <c r="E19" s="1594">
        <f t="shared" si="4"/>
        <v>1045689</v>
      </c>
      <c r="F19" s="1594">
        <f t="shared" si="4"/>
        <v>50100</v>
      </c>
      <c r="G19" s="1594">
        <f t="shared" si="4"/>
        <v>255592</v>
      </c>
      <c r="H19" s="1594">
        <f t="shared" si="4"/>
        <v>0</v>
      </c>
      <c r="I19" s="1575"/>
      <c r="J19" s="1594">
        <f>SUM(J17:J18)</f>
        <v>304</v>
      </c>
      <c r="K19" s="1594">
        <f>SUM(K17:K18)</f>
        <v>0</v>
      </c>
      <c r="L19" s="325"/>
    </row>
    <row r="20" spans="1:12" ht="16.5" thickTop="1" thickBot="1" x14ac:dyDescent="0.25">
      <c r="A20" s="2231" t="s">
        <v>1636</v>
      </c>
      <c r="B20" s="2232"/>
      <c r="C20" s="1622">
        <f>C8-C17</f>
        <v>-234937</v>
      </c>
      <c r="D20" s="1622">
        <f t="shared" ref="D20:K20" si="5">D8-D17</f>
        <v>804076</v>
      </c>
      <c r="E20" s="1622">
        <f t="shared" si="5"/>
        <v>-31061</v>
      </c>
      <c r="F20" s="1622">
        <f t="shared" si="5"/>
        <v>52529</v>
      </c>
      <c r="G20" s="1622">
        <f t="shared" si="5"/>
        <v>-24113</v>
      </c>
      <c r="H20" s="1622">
        <f t="shared" si="5"/>
        <v>0</v>
      </c>
      <c r="I20" s="1622">
        <f t="shared" si="5"/>
        <v>12449</v>
      </c>
      <c r="J20" s="1622">
        <f t="shared" si="5"/>
        <v>52329</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3565372</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3199694</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3565372</v>
      </c>
      <c r="E44" s="1624">
        <f t="shared" si="6"/>
        <v>0</v>
      </c>
      <c r="F44" s="1624">
        <f t="shared" si="6"/>
        <v>0</v>
      </c>
      <c r="G44" s="1624">
        <f t="shared" si="6"/>
        <v>0</v>
      </c>
      <c r="H44" s="1624">
        <f t="shared" si="6"/>
        <v>3199694</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3565372</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v>3199694</v>
      </c>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3199694</v>
      </c>
      <c r="E76" s="1624">
        <f t="shared" si="7"/>
        <v>0</v>
      </c>
      <c r="F76" s="1624">
        <f t="shared" si="7"/>
        <v>0</v>
      </c>
      <c r="G76" s="1624">
        <f t="shared" si="7"/>
        <v>0</v>
      </c>
      <c r="H76" s="1624">
        <f t="shared" si="7"/>
        <v>0</v>
      </c>
      <c r="I76" s="1624">
        <f t="shared" si="7"/>
        <v>3565372</v>
      </c>
      <c r="J76" s="1624">
        <f t="shared" si="7"/>
        <v>0</v>
      </c>
      <c r="K76" s="1624">
        <f t="shared" si="7"/>
        <v>0</v>
      </c>
      <c r="L76" s="453"/>
    </row>
    <row r="77" spans="1:12" ht="14.25" thickTop="1" thickBot="1" x14ac:dyDescent="0.25">
      <c r="A77" s="2223" t="s">
        <v>1167</v>
      </c>
      <c r="B77" s="2224"/>
      <c r="C77" s="1624">
        <f t="shared" ref="C77:K77" si="8">C44-C76</f>
        <v>0</v>
      </c>
      <c r="D77" s="1624">
        <f t="shared" si="8"/>
        <v>365678</v>
      </c>
      <c r="E77" s="1624">
        <f t="shared" si="8"/>
        <v>0</v>
      </c>
      <c r="F77" s="1624">
        <f t="shared" si="8"/>
        <v>0</v>
      </c>
      <c r="G77" s="1624">
        <f t="shared" si="8"/>
        <v>0</v>
      </c>
      <c r="H77" s="1624">
        <f t="shared" si="8"/>
        <v>3199694</v>
      </c>
      <c r="I77" s="1624">
        <f t="shared" si="8"/>
        <v>-3565372</v>
      </c>
      <c r="J77" s="1624">
        <f t="shared" si="8"/>
        <v>0</v>
      </c>
      <c r="K77" s="1624">
        <f t="shared" si="8"/>
        <v>0</v>
      </c>
      <c r="L77" s="325"/>
    </row>
    <row r="78" spans="1:12" ht="21.75" customHeight="1" thickTop="1" thickBot="1" x14ac:dyDescent="0.25">
      <c r="A78" s="2227" t="s">
        <v>593</v>
      </c>
      <c r="B78" s="2228"/>
      <c r="C78" s="1629">
        <f t="shared" ref="C78:K78" si="9">C20+C77</f>
        <v>-234937</v>
      </c>
      <c r="D78" s="1629">
        <f t="shared" si="9"/>
        <v>1169754</v>
      </c>
      <c r="E78" s="1629">
        <f t="shared" si="9"/>
        <v>-31061</v>
      </c>
      <c r="F78" s="1629">
        <f t="shared" si="9"/>
        <v>52529</v>
      </c>
      <c r="G78" s="1629">
        <f t="shared" si="9"/>
        <v>-24113</v>
      </c>
      <c r="H78" s="1629">
        <f t="shared" si="9"/>
        <v>3199694</v>
      </c>
      <c r="I78" s="1629">
        <f t="shared" si="9"/>
        <v>-3552923</v>
      </c>
      <c r="J78" s="1629">
        <f t="shared" si="9"/>
        <v>52329</v>
      </c>
      <c r="K78" s="1629">
        <f t="shared" si="9"/>
        <v>0</v>
      </c>
      <c r="L78" s="457"/>
    </row>
    <row r="79" spans="1:12" ht="13.5" thickTop="1" x14ac:dyDescent="0.2">
      <c r="A79" s="1844" t="str">
        <f>"Fund Balances - July 1, "&amp;'AFR20'!E2-1</f>
        <v>Fund Balances - July 1, 2019</v>
      </c>
      <c r="B79" s="458"/>
      <c r="C79" s="1583">
        <v>8798267</v>
      </c>
      <c r="D79" s="1630">
        <v>6564306</v>
      </c>
      <c r="E79" s="1630">
        <v>1022345</v>
      </c>
      <c r="F79" s="1630">
        <v>67129</v>
      </c>
      <c r="G79" s="1630">
        <v>463164</v>
      </c>
      <c r="H79" s="1630">
        <v>0</v>
      </c>
      <c r="I79" s="1630">
        <v>6537216</v>
      </c>
      <c r="J79" s="1630">
        <v>572186</v>
      </c>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8563330</v>
      </c>
      <c r="D81" s="1594">
        <f>SUM(D78:D80)</f>
        <v>7734060</v>
      </c>
      <c r="E81" s="1594">
        <f t="shared" ref="E81:K81" si="10">SUM(E78:E80)</f>
        <v>991284</v>
      </c>
      <c r="F81" s="1594">
        <f t="shared" si="10"/>
        <v>119658</v>
      </c>
      <c r="G81" s="1594">
        <f t="shared" si="10"/>
        <v>439051</v>
      </c>
      <c r="H81" s="1594">
        <f t="shared" si="10"/>
        <v>3199694</v>
      </c>
      <c r="I81" s="1594">
        <f t="shared" si="10"/>
        <v>2984293</v>
      </c>
      <c r="J81" s="1594">
        <f t="shared" si="10"/>
        <v>624515</v>
      </c>
      <c r="K81" s="1594">
        <f t="shared" si="10"/>
        <v>0</v>
      </c>
      <c r="L81" s="325"/>
    </row>
    <row r="82" spans="1:12" ht="0.75" customHeight="1" thickTop="1" thickBot="1" x14ac:dyDescent="0.25">
      <c r="A82" s="459" t="s">
        <v>340</v>
      </c>
      <c r="B82" s="460"/>
      <c r="C82" s="461">
        <f>(C81-C79)</f>
        <v>-234937</v>
      </c>
      <c r="D82" s="461">
        <f t="shared" ref="D82:K82" si="11">(D81-D79)</f>
        <v>1169754</v>
      </c>
      <c r="E82" s="461">
        <f t="shared" si="11"/>
        <v>-31061</v>
      </c>
      <c r="F82" s="461">
        <f t="shared" si="11"/>
        <v>52529</v>
      </c>
      <c r="G82" s="461">
        <f t="shared" si="11"/>
        <v>-24113</v>
      </c>
      <c r="H82" s="461">
        <f t="shared" si="11"/>
        <v>3199694</v>
      </c>
      <c r="I82" s="461">
        <f t="shared" si="11"/>
        <v>-3552923</v>
      </c>
      <c r="J82" s="461">
        <f t="shared" si="11"/>
        <v>52329</v>
      </c>
      <c r="K82" s="461">
        <f t="shared" si="11"/>
        <v>0</v>
      </c>
    </row>
    <row r="83" spans="1:12" ht="14.25" hidden="1" thickTop="1" thickBot="1" x14ac:dyDescent="0.25">
      <c r="A83" s="462" t="s">
        <v>341</v>
      </c>
      <c r="B83" s="428"/>
      <c r="C83" s="463">
        <f>C82/C81</f>
        <v>-2.7435238394409651E-2</v>
      </c>
      <c r="D83" s="463">
        <f t="shared" ref="D83:K83" si="12">D82/D81</f>
        <v>0.15124708109324211</v>
      </c>
      <c r="E83" s="463">
        <f t="shared" si="12"/>
        <v>-3.1334108086078255E-2</v>
      </c>
      <c r="F83" s="463">
        <f t="shared" si="12"/>
        <v>0.43899279613565328</v>
      </c>
      <c r="G83" s="463">
        <f t="shared" si="12"/>
        <v>-5.4920726749284249E-2</v>
      </c>
      <c r="H83" s="463">
        <f t="shared" si="12"/>
        <v>1</v>
      </c>
      <c r="I83" s="463">
        <f t="shared" si="12"/>
        <v>-1.1905409421930084</v>
      </c>
      <c r="J83" s="463">
        <f t="shared" si="12"/>
        <v>8.3791422143583427E-2</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10226665</v>
      </c>
      <c r="D5" s="1586">
        <v>1608601</v>
      </c>
      <c r="E5" s="1573">
        <v>1014628</v>
      </c>
      <c r="F5" s="1631">
        <v>52633</v>
      </c>
      <c r="G5" s="1573">
        <v>156480</v>
      </c>
      <c r="H5" s="1573"/>
      <c r="I5" s="1573"/>
      <c r="J5" s="1574">
        <v>52633</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10226665</v>
      </c>
      <c r="D12" s="1633">
        <f t="shared" si="0"/>
        <v>1608601</v>
      </c>
      <c r="E12" s="1633">
        <f t="shared" si="0"/>
        <v>1014628</v>
      </c>
      <c r="F12" s="1633">
        <f t="shared" si="0"/>
        <v>52633</v>
      </c>
      <c r="G12" s="1633">
        <f t="shared" si="0"/>
        <v>156480</v>
      </c>
      <c r="H12" s="1633">
        <f t="shared" si="0"/>
        <v>0</v>
      </c>
      <c r="I12" s="1633">
        <f t="shared" si="0"/>
        <v>0</v>
      </c>
      <c r="J12" s="1633">
        <f t="shared" si="0"/>
        <v>52633</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v>74999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74999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167986</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167986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437475</v>
      </c>
      <c r="D65" s="1573"/>
      <c r="E65" s="1573"/>
      <c r="F65" s="1574"/>
      <c r="G65" s="1573"/>
      <c r="H65" s="1573"/>
      <c r="I65" s="1573">
        <v>12449</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437475</v>
      </c>
      <c r="D67" s="1594">
        <f t="shared" ref="D67:K67" si="2">SUM(D65:D66)</f>
        <v>0</v>
      </c>
      <c r="E67" s="1594">
        <f t="shared" si="2"/>
        <v>0</v>
      </c>
      <c r="F67" s="1594">
        <f t="shared" si="2"/>
        <v>0</v>
      </c>
      <c r="G67" s="1594">
        <f t="shared" si="2"/>
        <v>0</v>
      </c>
      <c r="H67" s="1594">
        <f t="shared" si="2"/>
        <v>0</v>
      </c>
      <c r="I67" s="1594">
        <f t="shared" si="2"/>
        <v>12449</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21841</v>
      </c>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21841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41300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41300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1000</v>
      </c>
      <c r="D95" s="1632"/>
      <c r="E95" s="1617"/>
      <c r="F95" s="1617"/>
      <c r="G95" s="1617"/>
      <c r="H95" s="1617"/>
      <c r="I95" s="1617"/>
      <c r="J95" s="1617"/>
      <c r="K95" s="1617"/>
    </row>
    <row r="96" spans="1:11" ht="12.75" customHeight="1" x14ac:dyDescent="0.2">
      <c r="A96" s="427" t="s">
        <v>388</v>
      </c>
      <c r="B96" s="429">
        <v>1920</v>
      </c>
      <c r="C96" s="1632">
        <v>1000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17842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152211</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5679</v>
      </c>
      <c r="D107" s="1573"/>
      <c r="E107" s="1573"/>
      <c r="F107" s="1573"/>
      <c r="G107" s="1573"/>
      <c r="H107" s="1573"/>
      <c r="I107" s="1573"/>
      <c r="J107" s="1574"/>
      <c r="K107" s="1573"/>
    </row>
    <row r="108" spans="1:12" ht="12.75" customHeight="1" thickBot="1" x14ac:dyDescent="0.25">
      <c r="A108" s="1406" t="s">
        <v>484</v>
      </c>
      <c r="B108" s="1408"/>
      <c r="C108" s="1633">
        <f>SUM(C95:C107)</f>
        <v>177732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11072999</v>
      </c>
      <c r="D109" s="1641">
        <f t="shared" si="4"/>
        <v>1608601</v>
      </c>
      <c r="E109" s="1641">
        <f t="shared" si="4"/>
        <v>1014628</v>
      </c>
      <c r="F109" s="1641">
        <f t="shared" si="4"/>
        <v>52633</v>
      </c>
      <c r="G109" s="1641">
        <f t="shared" si="4"/>
        <v>231479</v>
      </c>
      <c r="H109" s="1641">
        <f t="shared" si="4"/>
        <v>0</v>
      </c>
      <c r="I109" s="1641">
        <f t="shared" si="4"/>
        <v>12449</v>
      </c>
      <c r="J109" s="1641">
        <f t="shared" si="4"/>
        <v>52633</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274019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274019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49996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49996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750</v>
      </c>
      <c r="D169" s="1658">
        <f t="shared" si="6"/>
        <v>0</v>
      </c>
      <c r="E169" s="1658">
        <f t="shared" si="6"/>
        <v>0</v>
      </c>
      <c r="F169" s="1658">
        <f t="shared" si="6"/>
        <v>49996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274769</v>
      </c>
      <c r="D170" s="1641">
        <f t="shared" si="7"/>
        <v>0</v>
      </c>
      <c r="E170" s="1641">
        <f t="shared" si="7"/>
        <v>0</v>
      </c>
      <c r="F170" s="1641">
        <f t="shared" si="7"/>
        <v>49996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434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30745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31179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31179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31179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11378947</v>
      </c>
      <c r="D268" s="1641">
        <f t="shared" si="12"/>
        <v>1608601</v>
      </c>
      <c r="E268" s="1641">
        <f t="shared" si="12"/>
        <v>1014628</v>
      </c>
      <c r="F268" s="1641">
        <f t="shared" si="12"/>
        <v>102629</v>
      </c>
      <c r="G268" s="1641">
        <f t="shared" si="12"/>
        <v>231479</v>
      </c>
      <c r="H268" s="1641">
        <f t="shared" si="12"/>
        <v>0</v>
      </c>
      <c r="I268" s="1641">
        <f t="shared" si="12"/>
        <v>12449</v>
      </c>
      <c r="J268" s="1641">
        <f t="shared" si="12"/>
        <v>52633</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6" activePane="bottomLeft" state="frozen"/>
      <selection pane="bottomLeft" activeCell="G302" sqref="G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4616520</v>
      </c>
      <c r="D5" s="1573">
        <v>890418</v>
      </c>
      <c r="E5" s="1573">
        <v>26896</v>
      </c>
      <c r="F5" s="1573">
        <v>282285</v>
      </c>
      <c r="G5" s="1573">
        <v>17822</v>
      </c>
      <c r="H5" s="1573"/>
      <c r="I5" s="1574">
        <v>142934</v>
      </c>
      <c r="J5" s="1574"/>
      <c r="K5" s="1672">
        <f>SUM(C5:J5)</f>
        <v>5976875</v>
      </c>
      <c r="L5" s="1573">
        <v>6066982</v>
      </c>
    </row>
    <row r="6" spans="1:14" x14ac:dyDescent="0.2">
      <c r="A6" s="1274" t="s">
        <v>1416</v>
      </c>
      <c r="B6" s="503" t="s">
        <v>1414</v>
      </c>
      <c r="C6" s="1582"/>
      <c r="D6" s="1582"/>
      <c r="E6" s="1573"/>
      <c r="F6" s="1582"/>
      <c r="G6" s="1582"/>
      <c r="H6" s="1582"/>
      <c r="I6" s="1582"/>
      <c r="J6" s="1582"/>
      <c r="K6" s="1672">
        <f>SUM(C6,E6)</f>
        <v>0</v>
      </c>
      <c r="L6" s="1573">
        <v>458</v>
      </c>
    </row>
    <row r="7" spans="1:14" x14ac:dyDescent="0.2">
      <c r="A7" s="1274" t="s">
        <v>162</v>
      </c>
      <c r="B7" s="503" t="s">
        <v>961</v>
      </c>
      <c r="C7" s="1574"/>
      <c r="D7" s="1574"/>
      <c r="E7" s="1574"/>
      <c r="F7" s="1574">
        <v>1308</v>
      </c>
      <c r="G7" s="1574"/>
      <c r="H7" s="1574"/>
      <c r="I7" s="1574"/>
      <c r="J7" s="1574"/>
      <c r="K7" s="1672">
        <f t="shared" ref="K7:K32" si="0">SUM(C7:J7)</f>
        <v>1308</v>
      </c>
      <c r="L7" s="1573">
        <v>8289</v>
      </c>
    </row>
    <row r="8" spans="1:14" x14ac:dyDescent="0.2">
      <c r="A8" s="1274" t="s">
        <v>163</v>
      </c>
      <c r="B8" s="503">
        <v>1200</v>
      </c>
      <c r="C8" s="1573">
        <v>1204051</v>
      </c>
      <c r="D8" s="1573">
        <v>308464</v>
      </c>
      <c r="E8" s="1573">
        <v>2531</v>
      </c>
      <c r="F8" s="1573">
        <v>21955</v>
      </c>
      <c r="G8" s="1573"/>
      <c r="H8" s="1573"/>
      <c r="I8" s="1574"/>
      <c r="J8" s="1574"/>
      <c r="K8" s="1672">
        <f t="shared" si="0"/>
        <v>1537001</v>
      </c>
      <c r="L8" s="1573">
        <v>1680659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v>173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58000</v>
      </c>
      <c r="D14" s="1573">
        <v>479</v>
      </c>
      <c r="E14" s="1573">
        <v>4603</v>
      </c>
      <c r="F14" s="1573"/>
      <c r="G14" s="1573"/>
      <c r="H14" s="1573"/>
      <c r="I14" s="1574"/>
      <c r="J14" s="1574"/>
      <c r="K14" s="1672">
        <f t="shared" si="0"/>
        <v>63082</v>
      </c>
      <c r="L14" s="1573">
        <v>69075</v>
      </c>
    </row>
    <row r="15" spans="1:14" x14ac:dyDescent="0.2">
      <c r="A15" s="1274" t="s">
        <v>958</v>
      </c>
      <c r="B15" s="503">
        <v>1600</v>
      </c>
      <c r="C15" s="1573">
        <v>26145</v>
      </c>
      <c r="D15" s="1573">
        <v>392</v>
      </c>
      <c r="E15" s="1573"/>
      <c r="F15" s="1573"/>
      <c r="G15" s="1573"/>
      <c r="H15" s="1573"/>
      <c r="I15" s="1574"/>
      <c r="J15" s="1574"/>
      <c r="K15" s="1672">
        <f t="shared" si="0"/>
        <v>26537</v>
      </c>
      <c r="L15" s="1573">
        <v>27900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5904716</v>
      </c>
      <c r="D33" s="1674">
        <f t="shared" ref="D33:L33" si="1">SUM(D5:D32)</f>
        <v>1199753</v>
      </c>
      <c r="E33" s="1674">
        <f t="shared" si="1"/>
        <v>34030</v>
      </c>
      <c r="F33" s="1674">
        <f t="shared" si="1"/>
        <v>305548</v>
      </c>
      <c r="G33" s="1674">
        <f t="shared" si="1"/>
        <v>17822</v>
      </c>
      <c r="H33" s="1674">
        <f t="shared" si="1"/>
        <v>0</v>
      </c>
      <c r="I33" s="1674">
        <f t="shared" si="1"/>
        <v>142934</v>
      </c>
      <c r="J33" s="1674">
        <f t="shared" si="1"/>
        <v>0</v>
      </c>
      <c r="K33" s="1674">
        <f t="shared" si="1"/>
        <v>7604803</v>
      </c>
      <c r="L33" s="1674">
        <f t="shared" si="1"/>
        <v>7853536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162145</v>
      </c>
      <c r="D36" s="1586">
        <v>30084</v>
      </c>
      <c r="E36" s="1586"/>
      <c r="F36" s="1586">
        <v>26</v>
      </c>
      <c r="G36" s="1586"/>
      <c r="H36" s="1586"/>
      <c r="I36" s="1574"/>
      <c r="J36" s="1574"/>
      <c r="K36" s="1672">
        <f t="shared" ref="K36:K41" si="2">SUM(C36:J36)</f>
        <v>192255</v>
      </c>
      <c r="L36" s="1573">
        <v>206397</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61937</v>
      </c>
      <c r="D38" s="1573">
        <v>1093</v>
      </c>
      <c r="E38" s="1573">
        <v>17760</v>
      </c>
      <c r="F38" s="1573">
        <v>5482</v>
      </c>
      <c r="G38" s="1573"/>
      <c r="H38" s="1573"/>
      <c r="I38" s="1574"/>
      <c r="J38" s="1574"/>
      <c r="K38" s="1672">
        <f t="shared" si="2"/>
        <v>86272</v>
      </c>
      <c r="L38" s="1573">
        <v>102948</v>
      </c>
    </row>
    <row r="39" spans="1:14" x14ac:dyDescent="0.2">
      <c r="A39" s="1274" t="s">
        <v>197</v>
      </c>
      <c r="B39" s="503">
        <v>2140</v>
      </c>
      <c r="C39" s="1573">
        <v>68059</v>
      </c>
      <c r="D39" s="1573">
        <v>11145</v>
      </c>
      <c r="E39" s="1573"/>
      <c r="F39" s="1573"/>
      <c r="G39" s="1573"/>
      <c r="H39" s="1573"/>
      <c r="I39" s="1574"/>
      <c r="J39" s="1574"/>
      <c r="K39" s="1672">
        <f t="shared" si="2"/>
        <v>79204</v>
      </c>
      <c r="L39" s="1573">
        <v>80047</v>
      </c>
    </row>
    <row r="40" spans="1:14" x14ac:dyDescent="0.2">
      <c r="A40" s="1274" t="s">
        <v>198</v>
      </c>
      <c r="B40" s="503">
        <v>2150</v>
      </c>
      <c r="C40" s="1573">
        <v>74913</v>
      </c>
      <c r="D40" s="1573">
        <v>11248</v>
      </c>
      <c r="E40" s="1573"/>
      <c r="F40" s="1573">
        <v>916</v>
      </c>
      <c r="G40" s="1573"/>
      <c r="H40" s="1573"/>
      <c r="I40" s="1574"/>
      <c r="J40" s="1574"/>
      <c r="K40" s="1672">
        <f t="shared" si="2"/>
        <v>87077</v>
      </c>
      <c r="L40" s="1573">
        <v>87248</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367054</v>
      </c>
      <c r="D42" s="1674">
        <f t="shared" ref="D42:L42" si="3">SUM(D36:D41)</f>
        <v>53570</v>
      </c>
      <c r="E42" s="1674">
        <f t="shared" si="3"/>
        <v>17760</v>
      </c>
      <c r="F42" s="1674">
        <f t="shared" si="3"/>
        <v>6424</v>
      </c>
      <c r="G42" s="1674">
        <f t="shared" si="3"/>
        <v>0</v>
      </c>
      <c r="H42" s="1674">
        <f t="shared" si="3"/>
        <v>0</v>
      </c>
      <c r="I42" s="1674">
        <f t="shared" si="3"/>
        <v>0</v>
      </c>
      <c r="J42" s="1674">
        <f t="shared" si="3"/>
        <v>0</v>
      </c>
      <c r="K42" s="1674">
        <f t="shared" si="3"/>
        <v>444808</v>
      </c>
      <c r="L42" s="1674">
        <f t="shared" si="3"/>
        <v>476640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53506</v>
      </c>
      <c r="D44" s="1586">
        <v>803</v>
      </c>
      <c r="E44" s="1586">
        <v>169138</v>
      </c>
      <c r="F44" s="1586">
        <v>1199</v>
      </c>
      <c r="G44" s="1586"/>
      <c r="H44" s="1586"/>
      <c r="I44" s="1574"/>
      <c r="J44" s="1574"/>
      <c r="K44" s="1678">
        <f>SUM(C44:J44)</f>
        <v>224646</v>
      </c>
      <c r="L44" s="1586">
        <v>213001</v>
      </c>
    </row>
    <row r="45" spans="1:14" x14ac:dyDescent="0.2">
      <c r="A45" s="1274" t="s">
        <v>810</v>
      </c>
      <c r="B45" s="503">
        <v>2220</v>
      </c>
      <c r="C45" s="1573">
        <v>493421</v>
      </c>
      <c r="D45" s="1573">
        <v>89343</v>
      </c>
      <c r="E45" s="1573">
        <v>283321</v>
      </c>
      <c r="F45" s="1573">
        <v>87066</v>
      </c>
      <c r="G45" s="1573">
        <v>19329</v>
      </c>
      <c r="H45" s="1573"/>
      <c r="I45" s="1574">
        <v>64214</v>
      </c>
      <c r="J45" s="1574"/>
      <c r="K45" s="1678">
        <f>SUM(C45:J45)</f>
        <v>1036694</v>
      </c>
      <c r="L45" s="1573">
        <v>1007095</v>
      </c>
    </row>
    <row r="46" spans="1:14" x14ac:dyDescent="0.2">
      <c r="A46" s="1274" t="s">
        <v>811</v>
      </c>
      <c r="B46" s="503">
        <v>2230</v>
      </c>
      <c r="C46" s="1573"/>
      <c r="D46" s="1573"/>
      <c r="E46" s="1573"/>
      <c r="F46" s="1573">
        <v>4967</v>
      </c>
      <c r="G46" s="1573"/>
      <c r="H46" s="1573"/>
      <c r="I46" s="1574"/>
      <c r="J46" s="1574"/>
      <c r="K46" s="1678">
        <f>SUM(C46:J46)</f>
        <v>4967</v>
      </c>
      <c r="L46" s="1573"/>
    </row>
    <row r="47" spans="1:14" ht="12.75" customHeight="1" thickBot="1" x14ac:dyDescent="0.25">
      <c r="A47" s="1380" t="s">
        <v>557</v>
      </c>
      <c r="B47" s="1381" t="s">
        <v>32</v>
      </c>
      <c r="C47" s="1674">
        <f>SUM(C44:C46)</f>
        <v>546927</v>
      </c>
      <c r="D47" s="1674">
        <f t="shared" ref="D47:K47" si="4">SUM(D44:D46)</f>
        <v>90146</v>
      </c>
      <c r="E47" s="1674">
        <f t="shared" si="4"/>
        <v>452459</v>
      </c>
      <c r="F47" s="1674">
        <f t="shared" si="4"/>
        <v>93232</v>
      </c>
      <c r="G47" s="1674">
        <f t="shared" si="4"/>
        <v>19329</v>
      </c>
      <c r="H47" s="1674">
        <f t="shared" si="4"/>
        <v>0</v>
      </c>
      <c r="I47" s="1674">
        <f t="shared" si="4"/>
        <v>64214</v>
      </c>
      <c r="J47" s="1674">
        <f t="shared" si="4"/>
        <v>0</v>
      </c>
      <c r="K47" s="1674">
        <f t="shared" si="4"/>
        <v>1266307</v>
      </c>
      <c r="L47" s="1674">
        <f>SUM(L44:L46)</f>
        <v>1220096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164378</v>
      </c>
      <c r="F49" s="1586">
        <v>2440</v>
      </c>
      <c r="G49" s="1586"/>
      <c r="H49" s="1586"/>
      <c r="I49" s="1574"/>
      <c r="J49" s="1574"/>
      <c r="K49" s="1678">
        <f>SUM(C49:J49)</f>
        <v>166818</v>
      </c>
      <c r="L49" s="1586">
        <v>181662</v>
      </c>
    </row>
    <row r="50" spans="1:14" x14ac:dyDescent="0.2">
      <c r="A50" s="1274" t="s">
        <v>813</v>
      </c>
      <c r="B50" s="503">
        <v>2320</v>
      </c>
      <c r="C50" s="1573">
        <v>223736</v>
      </c>
      <c r="D50" s="1573">
        <v>37829</v>
      </c>
      <c r="E50" s="1573">
        <v>3187</v>
      </c>
      <c r="F50" s="1573">
        <v>1451</v>
      </c>
      <c r="G50" s="1573"/>
      <c r="H50" s="1573">
        <v>2498</v>
      </c>
      <c r="I50" s="1574"/>
      <c r="J50" s="1574"/>
      <c r="K50" s="1678">
        <f>SUM(C50:J50)</f>
        <v>268701</v>
      </c>
      <c r="L50" s="1573">
        <v>158525</v>
      </c>
    </row>
    <row r="51" spans="1:14" x14ac:dyDescent="0.2">
      <c r="A51" s="1274" t="s">
        <v>42</v>
      </c>
      <c r="B51" s="503">
        <v>2330</v>
      </c>
      <c r="C51" s="1573">
        <v>241002</v>
      </c>
      <c r="D51" s="1573">
        <v>23602</v>
      </c>
      <c r="E51" s="1573">
        <v>75636</v>
      </c>
      <c r="F51" s="1573"/>
      <c r="G51" s="1573"/>
      <c r="H51" s="1573"/>
      <c r="I51" s="1574"/>
      <c r="J51" s="1574"/>
      <c r="K51" s="1678">
        <f>SUM(C51:J51)</f>
        <v>340240</v>
      </c>
      <c r="L51" s="1573">
        <v>366486</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464738</v>
      </c>
      <c r="D53" s="1674">
        <f t="shared" ref="D53:L53" si="5">SUM(D49:D52)</f>
        <v>61431</v>
      </c>
      <c r="E53" s="1674">
        <f t="shared" si="5"/>
        <v>243201</v>
      </c>
      <c r="F53" s="1674">
        <f t="shared" si="5"/>
        <v>3891</v>
      </c>
      <c r="G53" s="1674">
        <f t="shared" si="5"/>
        <v>0</v>
      </c>
      <c r="H53" s="1674">
        <f t="shared" si="5"/>
        <v>2498</v>
      </c>
      <c r="I53" s="1674">
        <f t="shared" si="5"/>
        <v>0</v>
      </c>
      <c r="J53" s="1674">
        <f t="shared" si="5"/>
        <v>0</v>
      </c>
      <c r="K53" s="1674">
        <f t="shared" si="5"/>
        <v>775759</v>
      </c>
      <c r="L53" s="1674">
        <f t="shared" si="5"/>
        <v>706673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585929</v>
      </c>
      <c r="D55" s="1586">
        <v>180805</v>
      </c>
      <c r="E55" s="1586">
        <v>34479</v>
      </c>
      <c r="F55" s="1586">
        <v>9319</v>
      </c>
      <c r="G55" s="1586"/>
      <c r="H55" s="1586"/>
      <c r="I55" s="1574"/>
      <c r="J55" s="1574"/>
      <c r="K55" s="1678">
        <f>SUM(C55:J55)</f>
        <v>810532</v>
      </c>
      <c r="L55" s="1586">
        <v>900219</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585929</v>
      </c>
      <c r="D57" s="1679">
        <f t="shared" ref="D57:K57" si="6">SUM(D55:D56)</f>
        <v>180805</v>
      </c>
      <c r="E57" s="1679">
        <f t="shared" si="6"/>
        <v>34479</v>
      </c>
      <c r="F57" s="1679">
        <f t="shared" si="6"/>
        <v>9319</v>
      </c>
      <c r="G57" s="1679">
        <f t="shared" si="6"/>
        <v>0</v>
      </c>
      <c r="H57" s="1679">
        <f t="shared" si="6"/>
        <v>0</v>
      </c>
      <c r="I57" s="1679">
        <f t="shared" si="6"/>
        <v>0</v>
      </c>
      <c r="J57" s="1679">
        <f t="shared" si="6"/>
        <v>0</v>
      </c>
      <c r="K57" s="1679">
        <f t="shared" si="6"/>
        <v>810532</v>
      </c>
      <c r="L57" s="1674">
        <f>SUM(L55:L56)</f>
        <v>900219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92115</v>
      </c>
      <c r="D59" s="1586">
        <v>22065</v>
      </c>
      <c r="E59" s="1586"/>
      <c r="F59" s="1586"/>
      <c r="G59" s="1586"/>
      <c r="H59" s="1586"/>
      <c r="I59" s="1574"/>
      <c r="J59" s="1574"/>
      <c r="K59" s="1678">
        <f t="shared" ref="K59:K64" si="7">SUM(C59:J59)</f>
        <v>114180</v>
      </c>
      <c r="L59" s="1586">
        <v>149268</v>
      </c>
      <c r="M59" s="501"/>
      <c r="N59" s="501"/>
    </row>
    <row r="60" spans="1:14" s="321" customFormat="1" x14ac:dyDescent="0.2">
      <c r="A60" s="1274" t="s">
        <v>460</v>
      </c>
      <c r="B60" s="503">
        <v>2520</v>
      </c>
      <c r="C60" s="1573">
        <v>109059</v>
      </c>
      <c r="D60" s="1573">
        <v>34972</v>
      </c>
      <c r="E60" s="1573">
        <v>7074</v>
      </c>
      <c r="F60" s="1573">
        <v>12118</v>
      </c>
      <c r="G60" s="1573"/>
      <c r="H60" s="1573"/>
      <c r="I60" s="1574"/>
      <c r="J60" s="1574"/>
      <c r="K60" s="1678">
        <f t="shared" si="7"/>
        <v>163223</v>
      </c>
      <c r="L60" s="1573">
        <v>208109</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v>42961</v>
      </c>
      <c r="G63" s="1573"/>
      <c r="H63" s="1573"/>
      <c r="I63" s="1574"/>
      <c r="J63" s="1574"/>
      <c r="K63" s="1678">
        <f t="shared" si="7"/>
        <v>42961</v>
      </c>
      <c r="L63" s="1573">
        <v>63494</v>
      </c>
    </row>
    <row r="64" spans="1:14" s="501" customFormat="1" x14ac:dyDescent="0.2">
      <c r="A64" s="1279" t="s">
        <v>101</v>
      </c>
      <c r="B64" s="513">
        <v>2570</v>
      </c>
      <c r="C64" s="1586"/>
      <c r="D64" s="1586"/>
      <c r="E64" s="1586">
        <v>20909</v>
      </c>
      <c r="F64" s="1586"/>
      <c r="G64" s="1586"/>
      <c r="H64" s="1586"/>
      <c r="I64" s="1574"/>
      <c r="J64" s="1574"/>
      <c r="K64" s="1678">
        <f t="shared" si="7"/>
        <v>20909</v>
      </c>
      <c r="L64" s="1586">
        <v>40002</v>
      </c>
    </row>
    <row r="65" spans="1:14" s="321" customFormat="1" ht="12.75" customHeight="1" thickBot="1" x14ac:dyDescent="0.25">
      <c r="A65" s="1380" t="s">
        <v>714</v>
      </c>
      <c r="B65" s="1381" t="s">
        <v>35</v>
      </c>
      <c r="C65" s="1674">
        <f>SUM(C59:C64)</f>
        <v>201174</v>
      </c>
      <c r="D65" s="1674">
        <f t="shared" ref="D65:L65" si="8">SUM(D59:D64)</f>
        <v>57037</v>
      </c>
      <c r="E65" s="1674">
        <f t="shared" si="8"/>
        <v>27983</v>
      </c>
      <c r="F65" s="1674">
        <f t="shared" si="8"/>
        <v>55079</v>
      </c>
      <c r="G65" s="1674">
        <f t="shared" si="8"/>
        <v>0</v>
      </c>
      <c r="H65" s="1674">
        <f t="shared" si="8"/>
        <v>0</v>
      </c>
      <c r="I65" s="1674">
        <f t="shared" si="8"/>
        <v>0</v>
      </c>
      <c r="J65" s="1674">
        <f t="shared" si="8"/>
        <v>0</v>
      </c>
      <c r="K65" s="1674">
        <f t="shared" si="8"/>
        <v>341273</v>
      </c>
      <c r="L65" s="1674">
        <f t="shared" si="8"/>
        <v>460873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v>10389</v>
      </c>
      <c r="F68" s="1573"/>
      <c r="G68" s="1573"/>
      <c r="H68" s="1573"/>
      <c r="I68" s="1574"/>
      <c r="J68" s="1574"/>
      <c r="K68" s="1678">
        <f>SUM(C68:J68)</f>
        <v>10389</v>
      </c>
      <c r="L68" s="1573">
        <v>7697</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1392</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10389</v>
      </c>
      <c r="F72" s="1674">
        <f t="shared" si="9"/>
        <v>0</v>
      </c>
      <c r="G72" s="1674">
        <f t="shared" si="9"/>
        <v>0</v>
      </c>
      <c r="H72" s="1674">
        <f t="shared" si="9"/>
        <v>0</v>
      </c>
      <c r="I72" s="1674">
        <f t="shared" si="9"/>
        <v>0</v>
      </c>
      <c r="J72" s="1674">
        <f t="shared" si="9"/>
        <v>0</v>
      </c>
      <c r="K72" s="1674">
        <f t="shared" si="9"/>
        <v>10389</v>
      </c>
      <c r="L72" s="1674">
        <f>SUM(L67:L71)</f>
        <v>9089</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2165822</v>
      </c>
      <c r="D74" s="1681">
        <f t="shared" ref="D74:K74" si="10">SUM(D42,D47,D53,D57,D65,D72,D73)</f>
        <v>442989</v>
      </c>
      <c r="E74" s="1681">
        <f t="shared" si="10"/>
        <v>786271</v>
      </c>
      <c r="F74" s="1681">
        <f t="shared" si="10"/>
        <v>167945</v>
      </c>
      <c r="G74" s="1681">
        <f t="shared" si="10"/>
        <v>19329</v>
      </c>
      <c r="H74" s="1681">
        <f t="shared" si="10"/>
        <v>2498</v>
      </c>
      <c r="I74" s="1681">
        <f t="shared" si="10"/>
        <v>64214</v>
      </c>
      <c r="J74" s="1681">
        <f t="shared" si="10"/>
        <v>0</v>
      </c>
      <c r="K74" s="1681">
        <f t="shared" si="10"/>
        <v>3649068</v>
      </c>
      <c r="L74" s="1681">
        <f>SUM(L42,L47,L53,L57,L65,L72,L73)</f>
        <v>3773590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15289</v>
      </c>
      <c r="I78" s="1582"/>
      <c r="J78" s="1582"/>
      <c r="K78" s="1672">
        <f t="shared" ref="K78:K83" si="11">SUM(C78:J78)</f>
        <v>15289</v>
      </c>
      <c r="L78" s="1586">
        <v>18682</v>
      </c>
    </row>
    <row r="79" spans="1:14" x14ac:dyDescent="0.2">
      <c r="A79" s="1274" t="s">
        <v>301</v>
      </c>
      <c r="B79" s="503">
        <v>4120</v>
      </c>
      <c r="C79" s="1673"/>
      <c r="D79" s="1673"/>
      <c r="E79" s="1573"/>
      <c r="F79" s="1673"/>
      <c r="G79" s="1673"/>
      <c r="H79" s="1573">
        <v>344724</v>
      </c>
      <c r="I79" s="1582"/>
      <c r="J79" s="1582"/>
      <c r="K79" s="1672">
        <f t="shared" si="11"/>
        <v>344724</v>
      </c>
      <c r="L79" s="1573">
        <v>368569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360013</v>
      </c>
      <c r="I84" s="1582"/>
      <c r="J84" s="1582"/>
      <c r="K84" s="1674">
        <f>SUM(K78:K83)</f>
        <v>360013</v>
      </c>
      <c r="L84" s="1674">
        <f>SUM(L78:L83)</f>
        <v>387251</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360013</v>
      </c>
      <c r="I102" s="1582"/>
      <c r="J102" s="1582"/>
      <c r="K102" s="1681">
        <f>SUM(K84,K92,K100,K101)</f>
        <v>360013</v>
      </c>
      <c r="L102" s="1681">
        <f>SUM(L84,L92,L100,L101)</f>
        <v>387251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8070538</v>
      </c>
      <c r="D114" s="1674">
        <f t="shared" ref="D114:K114" si="13">SUM(D33,D74,D75,D102,D112,D113)</f>
        <v>1642742</v>
      </c>
      <c r="E114" s="1674">
        <f t="shared" si="13"/>
        <v>820301</v>
      </c>
      <c r="F114" s="1674">
        <f t="shared" si="13"/>
        <v>473493</v>
      </c>
      <c r="G114" s="1674">
        <f t="shared" si="13"/>
        <v>37151</v>
      </c>
      <c r="H114" s="1674">
        <f>SUM(H33,H74,H75,H102,H112,H113)</f>
        <v>362511</v>
      </c>
      <c r="I114" s="1674">
        <f t="shared" si="13"/>
        <v>207148</v>
      </c>
      <c r="J114" s="1674">
        <f t="shared" si="13"/>
        <v>0</v>
      </c>
      <c r="K114" s="1674">
        <f t="shared" si="13"/>
        <v>11613884</v>
      </c>
      <c r="L114" s="1674">
        <f>SUM(L33,L74,L75,L102,L112,L113)</f>
        <v>12014377</v>
      </c>
    </row>
    <row r="115" spans="1:14" ht="13.5" thickTop="1" x14ac:dyDescent="0.2">
      <c r="A115" s="2261" t="s">
        <v>989</v>
      </c>
      <c r="B115" s="2262"/>
      <c r="C115" s="1675"/>
      <c r="D115" s="1675"/>
      <c r="E115" s="1675"/>
      <c r="F115" s="1675"/>
      <c r="G115" s="1675"/>
      <c r="H115" s="1675"/>
      <c r="I115" s="1675"/>
      <c r="J115" s="1675"/>
      <c r="K115" s="1689">
        <f>'Revenues 9-14'!C268-'Expenditures 15-22'!K114</f>
        <v>-234937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26134</v>
      </c>
      <c r="F123" s="1573"/>
      <c r="G123" s="1573">
        <v>57950</v>
      </c>
      <c r="H123" s="1573"/>
      <c r="I123" s="1574">
        <v>3394</v>
      </c>
      <c r="J123" s="1574"/>
      <c r="K123" s="1674">
        <f>SUM(C123:J123)</f>
        <v>87478</v>
      </c>
      <c r="L123" s="1573">
        <v>615724</v>
      </c>
    </row>
    <row r="124" spans="1:14" ht="14.25" thickTop="1" thickBot="1" x14ac:dyDescent="0.25">
      <c r="A124" s="1274" t="s">
        <v>195</v>
      </c>
      <c r="B124" s="503">
        <v>2540</v>
      </c>
      <c r="C124" s="1573">
        <v>144324</v>
      </c>
      <c r="D124" s="1573">
        <v>52108</v>
      </c>
      <c r="E124" s="1573">
        <v>310699</v>
      </c>
      <c r="F124" s="1573">
        <v>209916</v>
      </c>
      <c r="G124" s="1573"/>
      <c r="H124" s="1573"/>
      <c r="I124" s="1574"/>
      <c r="J124" s="1574"/>
      <c r="K124" s="1674">
        <f>SUM(C124:J124)</f>
        <v>717047</v>
      </c>
      <c r="L124" s="1573">
        <v>785863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144324</v>
      </c>
      <c r="D127" s="1674">
        <f t="shared" ref="D127:L127" si="14">SUM(D122:D126)</f>
        <v>52108</v>
      </c>
      <c r="E127" s="1674">
        <f t="shared" si="14"/>
        <v>336833</v>
      </c>
      <c r="F127" s="1674">
        <f t="shared" si="14"/>
        <v>209916</v>
      </c>
      <c r="G127" s="1674">
        <f t="shared" si="14"/>
        <v>57950</v>
      </c>
      <c r="H127" s="1674">
        <f t="shared" si="14"/>
        <v>0</v>
      </c>
      <c r="I127" s="1674">
        <f t="shared" si="14"/>
        <v>3394</v>
      </c>
      <c r="J127" s="1674">
        <f t="shared" si="14"/>
        <v>0</v>
      </c>
      <c r="K127" s="1674">
        <f t="shared" si="14"/>
        <v>804525</v>
      </c>
      <c r="L127" s="1674">
        <f t="shared" si="14"/>
        <v>1401587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144324</v>
      </c>
      <c r="D129" s="1681">
        <f t="shared" ref="D129:L129" si="15">SUM(D120,D127,D128)</f>
        <v>52108</v>
      </c>
      <c r="E129" s="1681">
        <f t="shared" si="15"/>
        <v>336833</v>
      </c>
      <c r="F129" s="1681">
        <f t="shared" si="15"/>
        <v>209916</v>
      </c>
      <c r="G129" s="1681">
        <f t="shared" si="15"/>
        <v>57950</v>
      </c>
      <c r="H129" s="1681">
        <f t="shared" si="15"/>
        <v>0</v>
      </c>
      <c r="I129" s="1681">
        <f t="shared" si="15"/>
        <v>3394</v>
      </c>
      <c r="J129" s="1681">
        <f t="shared" si="15"/>
        <v>0</v>
      </c>
      <c r="K129" s="1681">
        <f t="shared" si="15"/>
        <v>804525</v>
      </c>
      <c r="L129" s="1681">
        <f t="shared" si="15"/>
        <v>1401587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144324</v>
      </c>
      <c r="D151" s="1674">
        <f t="shared" ref="D151:K151" si="16">SUM(D129,D130,D139,D149,D150)</f>
        <v>52108</v>
      </c>
      <c r="E151" s="1674">
        <f t="shared" si="16"/>
        <v>336833</v>
      </c>
      <c r="F151" s="1674">
        <f t="shared" si="16"/>
        <v>209916</v>
      </c>
      <c r="G151" s="1674">
        <f t="shared" si="16"/>
        <v>57950</v>
      </c>
      <c r="H151" s="1674">
        <f t="shared" si="16"/>
        <v>0</v>
      </c>
      <c r="I151" s="1674">
        <f t="shared" si="16"/>
        <v>3394</v>
      </c>
      <c r="J151" s="1674">
        <f t="shared" si="16"/>
        <v>0</v>
      </c>
      <c r="K151" s="1674">
        <f t="shared" si="16"/>
        <v>804525</v>
      </c>
      <c r="L151" s="1674">
        <f>SUM(L129,L130,L139,L149,L150)</f>
        <v>1401587</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804076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234405</v>
      </c>
      <c r="I169" s="1673"/>
      <c r="J169" s="1673"/>
      <c r="K169" s="1672">
        <f>SUM(C169:H169)</f>
        <v>234405</v>
      </c>
      <c r="L169" s="1695">
        <v>223667</v>
      </c>
    </row>
    <row r="170" spans="1:14" ht="33.75" customHeight="1" x14ac:dyDescent="0.2">
      <c r="A170" s="543" t="s">
        <v>1651</v>
      </c>
      <c r="B170" s="545" t="s">
        <v>31</v>
      </c>
      <c r="C170" s="1673"/>
      <c r="D170" s="1673"/>
      <c r="E170" s="1673"/>
      <c r="F170" s="1673"/>
      <c r="G170" s="1673"/>
      <c r="H170" s="1646">
        <v>810000</v>
      </c>
      <c r="I170" s="1673"/>
      <c r="J170" s="1673"/>
      <c r="K170" s="1672">
        <f>SUM(C170:J170)</f>
        <v>810000</v>
      </c>
      <c r="L170" s="1646">
        <v>758599</v>
      </c>
    </row>
    <row r="171" spans="1:14" ht="15.75" customHeight="1" x14ac:dyDescent="0.2">
      <c r="A171" s="507" t="s">
        <v>761</v>
      </c>
      <c r="B171" s="546" t="s">
        <v>84</v>
      </c>
      <c r="C171" s="1673"/>
      <c r="D171" s="1673"/>
      <c r="E171" s="1573"/>
      <c r="F171" s="1673"/>
      <c r="G171" s="1673"/>
      <c r="H171" s="1646">
        <v>1284</v>
      </c>
      <c r="I171" s="1582"/>
      <c r="J171" s="1673"/>
      <c r="K171" s="1672">
        <f>SUM(C171:J171)</f>
        <v>1284</v>
      </c>
      <c r="L171" s="1646"/>
    </row>
    <row r="172" spans="1:14" ht="12.75" customHeight="1" thickBot="1" x14ac:dyDescent="0.25">
      <c r="A172" s="1380" t="s">
        <v>633</v>
      </c>
      <c r="B172" s="1381" t="s">
        <v>489</v>
      </c>
      <c r="C172" s="1673"/>
      <c r="D172" s="1673"/>
      <c r="E172" s="1681">
        <f>SUM(E168,E169,E170,E171)</f>
        <v>0</v>
      </c>
      <c r="F172" s="1673"/>
      <c r="G172" s="1673"/>
      <c r="H172" s="1681">
        <f>SUM(H168,H169,H170,H171)</f>
        <v>1045689</v>
      </c>
      <c r="I172" s="1684"/>
      <c r="J172" s="1673"/>
      <c r="K172" s="1681">
        <f>SUM(K168,K169,K170,K171)</f>
        <v>1045689</v>
      </c>
      <c r="L172" s="1681">
        <f>SUM(L168,L169,L170,L171)</f>
        <v>982266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1045689</v>
      </c>
      <c r="I174" s="1684"/>
      <c r="J174" s="1673"/>
      <c r="K174" s="1681">
        <f>SUM(K160,K172,K173)</f>
        <v>1045689</v>
      </c>
      <c r="L174" s="1681">
        <f>SUM(L160,L172,L173)</f>
        <v>982266</v>
      </c>
    </row>
    <row r="175" spans="1:14" ht="13.5" thickTop="1" x14ac:dyDescent="0.2">
      <c r="A175" s="2261" t="s">
        <v>989</v>
      </c>
      <c r="B175" s="2262"/>
      <c r="C175" s="1673"/>
      <c r="D175" s="1673"/>
      <c r="E175" s="1673"/>
      <c r="F175" s="1673"/>
      <c r="G175" s="1673"/>
      <c r="H175" s="1675"/>
      <c r="I175" s="1673"/>
      <c r="J175" s="1673"/>
      <c r="K175" s="1689">
        <f>'Revenues 9-14'!E268-'Expenditures 15-22'!K174</f>
        <v>-31061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50100</v>
      </c>
      <c r="F182" s="1573"/>
      <c r="G182" s="1573"/>
      <c r="H182" s="1573"/>
      <c r="I182" s="1574"/>
      <c r="J182" s="1574"/>
      <c r="K182" s="1672">
        <f>SUM(C182:J182)</f>
        <v>50100</v>
      </c>
      <c r="L182" s="1573">
        <v>78148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50100</v>
      </c>
      <c r="F184" s="1681">
        <f t="shared" si="17"/>
        <v>0</v>
      </c>
      <c r="G184" s="1681">
        <f t="shared" si="17"/>
        <v>0</v>
      </c>
      <c r="H184" s="1681">
        <f t="shared" si="17"/>
        <v>0</v>
      </c>
      <c r="I184" s="1681">
        <f t="shared" si="17"/>
        <v>0</v>
      </c>
      <c r="J184" s="1681">
        <f t="shared" si="17"/>
        <v>0</v>
      </c>
      <c r="K184" s="1681">
        <f>SUM(K180,K182,K183)</f>
        <v>50100</v>
      </c>
      <c r="L184" s="1681">
        <f>SUM(L180, L182:L183)</f>
        <v>78148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50100</v>
      </c>
      <c r="F210" s="1674">
        <f>SUM(F184,F185)</f>
        <v>0</v>
      </c>
      <c r="G210" s="1674">
        <f>SUM(G184,G185)</f>
        <v>0</v>
      </c>
      <c r="H210" s="1674">
        <f>SUM(H184,H185,H196,H208,H209)</f>
        <v>0</v>
      </c>
      <c r="I210" s="1674">
        <f>SUM(I184,I185)</f>
        <v>0</v>
      </c>
      <c r="J210" s="1674">
        <f>SUM(J184,J185)</f>
        <v>0</v>
      </c>
      <c r="K210" s="1672">
        <f>SUM(K184,K185,K196,K208,K209)</f>
        <v>50100</v>
      </c>
      <c r="L210" s="1674">
        <f>SUM(L184,L185,L196,L208,L209)</f>
        <v>78148</v>
      </c>
    </row>
    <row r="211" spans="1:14" ht="13.5" thickTop="1" x14ac:dyDescent="0.2">
      <c r="A211" s="2261" t="s">
        <v>989</v>
      </c>
      <c r="B211" s="2262"/>
      <c r="C211" s="1675"/>
      <c r="D211" s="1675"/>
      <c r="E211" s="1675"/>
      <c r="F211" s="1675"/>
      <c r="G211" s="1675"/>
      <c r="H211" s="1675"/>
      <c r="I211" s="1673"/>
      <c r="J211" s="1673"/>
      <c r="K211" s="1689">
        <f>'Revenues 9-14'!F268-'Expenditures 15-22'!K210</f>
        <v>52529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83633</v>
      </c>
      <c r="E215" s="1673"/>
      <c r="F215" s="1673"/>
      <c r="G215" s="1673"/>
      <c r="H215" s="1673"/>
      <c r="I215" s="1673"/>
      <c r="J215" s="1673"/>
      <c r="K215" s="1672">
        <f>D215</f>
        <v>83633</v>
      </c>
      <c r="L215" s="1573">
        <v>85432</v>
      </c>
    </row>
    <row r="216" spans="1:14" x14ac:dyDescent="0.2">
      <c r="A216" s="1274" t="s">
        <v>162</v>
      </c>
      <c r="B216" s="503" t="s">
        <v>961</v>
      </c>
      <c r="C216" s="1673"/>
      <c r="D216" s="1574"/>
      <c r="E216" s="1673"/>
      <c r="F216" s="1673"/>
      <c r="G216" s="1673"/>
      <c r="H216" s="1673"/>
      <c r="I216" s="1673"/>
      <c r="J216" s="1673"/>
      <c r="K216" s="1672">
        <f t="shared" ref="K216:K228" si="19">D216</f>
        <v>0</v>
      </c>
      <c r="L216" s="1573">
        <v>52785</v>
      </c>
    </row>
    <row r="217" spans="1:14" x14ac:dyDescent="0.2">
      <c r="A217" s="1274" t="s">
        <v>163</v>
      </c>
      <c r="B217" s="503">
        <v>1200</v>
      </c>
      <c r="C217" s="1673"/>
      <c r="D217" s="1573">
        <v>51356</v>
      </c>
      <c r="E217" s="1673"/>
      <c r="F217" s="1673"/>
      <c r="G217" s="1673"/>
      <c r="H217" s="1673"/>
      <c r="I217" s="1673"/>
      <c r="J217" s="1673"/>
      <c r="K217" s="1672">
        <f t="shared" si="19"/>
        <v>51356</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3728</v>
      </c>
      <c r="E223" s="1673"/>
      <c r="F223" s="1673"/>
      <c r="G223" s="1673"/>
      <c r="H223" s="1673"/>
      <c r="I223" s="1673"/>
      <c r="J223" s="1673"/>
      <c r="K223" s="1672">
        <f t="shared" si="19"/>
        <v>3728</v>
      </c>
      <c r="L223" s="1573">
        <v>5025</v>
      </c>
    </row>
    <row r="224" spans="1:14" x14ac:dyDescent="0.2">
      <c r="A224" s="1274" t="s">
        <v>958</v>
      </c>
      <c r="B224" s="503">
        <v>1600</v>
      </c>
      <c r="C224" s="1673"/>
      <c r="D224" s="1573">
        <v>378</v>
      </c>
      <c r="E224" s="1673"/>
      <c r="F224" s="1673"/>
      <c r="G224" s="1673"/>
      <c r="H224" s="1673"/>
      <c r="I224" s="1673"/>
      <c r="J224" s="1673"/>
      <c r="K224" s="1672">
        <f t="shared" si="19"/>
        <v>378</v>
      </c>
      <c r="L224" s="1573">
        <v>400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139095</v>
      </c>
      <c r="E229" s="1673"/>
      <c r="F229" s="1673"/>
      <c r="G229" s="1673"/>
      <c r="H229" s="1673"/>
      <c r="I229" s="1673"/>
      <c r="J229" s="1673"/>
      <c r="K229" s="1674">
        <f>SUM(K215:K228)</f>
        <v>139095</v>
      </c>
      <c r="L229" s="1674">
        <f>SUM(L215:L228)</f>
        <v>143642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2275</v>
      </c>
      <c r="E232" s="1673"/>
      <c r="F232" s="1673"/>
      <c r="G232" s="1673"/>
      <c r="H232" s="1673"/>
      <c r="I232" s="1673"/>
      <c r="J232" s="1673"/>
      <c r="K232" s="1672">
        <f t="shared" ref="K232:K237" si="20">D232</f>
        <v>2275</v>
      </c>
      <c r="L232" s="1573">
        <v>2351</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869</v>
      </c>
      <c r="E234" s="1673"/>
      <c r="F234" s="1673"/>
      <c r="G234" s="1673"/>
      <c r="H234" s="1673"/>
      <c r="I234" s="1673"/>
      <c r="J234" s="1673"/>
      <c r="K234" s="1672">
        <f t="shared" si="20"/>
        <v>869</v>
      </c>
      <c r="L234" s="1573">
        <v>919</v>
      </c>
    </row>
    <row r="235" spans="1:12" x14ac:dyDescent="0.2">
      <c r="A235" s="1274" t="s">
        <v>197</v>
      </c>
      <c r="B235" s="503">
        <v>2140</v>
      </c>
      <c r="C235" s="1673"/>
      <c r="D235" s="1573">
        <v>960</v>
      </c>
      <c r="E235" s="1673"/>
      <c r="F235" s="1673"/>
      <c r="G235" s="1673"/>
      <c r="H235" s="1673"/>
      <c r="I235" s="1673"/>
      <c r="J235" s="1673"/>
      <c r="K235" s="1672">
        <f t="shared" si="20"/>
        <v>960</v>
      </c>
      <c r="L235" s="1573">
        <v>987</v>
      </c>
    </row>
    <row r="236" spans="1:12" x14ac:dyDescent="0.2">
      <c r="A236" s="1274" t="s">
        <v>198</v>
      </c>
      <c r="B236" s="503">
        <v>2150</v>
      </c>
      <c r="C236" s="1673"/>
      <c r="D236" s="1573">
        <v>1059</v>
      </c>
      <c r="E236" s="1673"/>
      <c r="F236" s="1673"/>
      <c r="G236" s="1673"/>
      <c r="H236" s="1673"/>
      <c r="I236" s="1673"/>
      <c r="J236" s="1673"/>
      <c r="K236" s="1672">
        <f t="shared" si="20"/>
        <v>1059</v>
      </c>
      <c r="L236" s="1573">
        <v>1086</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5163</v>
      </c>
      <c r="E238" s="1673"/>
      <c r="F238" s="1673"/>
      <c r="G238" s="1673"/>
      <c r="H238" s="1673"/>
      <c r="I238" s="1673"/>
      <c r="J238" s="1673"/>
      <c r="K238" s="1674">
        <f>SUM(K232:K237)</f>
        <v>5163</v>
      </c>
      <c r="L238" s="1674">
        <f>SUM(L232:L237)</f>
        <v>5343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735</v>
      </c>
      <c r="E240" s="1673"/>
      <c r="F240" s="1673"/>
      <c r="G240" s="1673"/>
      <c r="H240" s="1673"/>
      <c r="I240" s="1673"/>
      <c r="J240" s="1673"/>
      <c r="K240" s="1678">
        <f>D240</f>
        <v>735</v>
      </c>
      <c r="L240" s="1586">
        <v>2286</v>
      </c>
    </row>
    <row r="241" spans="1:12" x14ac:dyDescent="0.2">
      <c r="A241" s="1274" t="s">
        <v>810</v>
      </c>
      <c r="B241" s="503">
        <v>2220</v>
      </c>
      <c r="C241" s="1673"/>
      <c r="D241" s="1573">
        <v>21160</v>
      </c>
      <c r="E241" s="1673"/>
      <c r="F241" s="1673"/>
      <c r="G241" s="1673"/>
      <c r="H241" s="1673"/>
      <c r="I241" s="1673"/>
      <c r="J241" s="1673"/>
      <c r="K241" s="1678">
        <f>D241</f>
        <v>21160</v>
      </c>
      <c r="L241" s="1573">
        <v>25054</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21895</v>
      </c>
      <c r="E243" s="1673"/>
      <c r="F243" s="1673"/>
      <c r="G243" s="1673"/>
      <c r="H243" s="1673"/>
      <c r="I243" s="1673"/>
      <c r="J243" s="1673"/>
      <c r="K243" s="1674">
        <f>SUM(K240:K242)</f>
        <v>21895</v>
      </c>
      <c r="L243" s="1674">
        <f>SUM(L240:L242)</f>
        <v>27340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8156</v>
      </c>
      <c r="E246" s="1673"/>
      <c r="F246" s="1673"/>
      <c r="G246" s="1673"/>
      <c r="H246" s="1673"/>
      <c r="I246" s="1673"/>
      <c r="J246" s="1673"/>
      <c r="K246" s="1678">
        <f t="shared" ref="K246:K256" si="21">D246</f>
        <v>8156</v>
      </c>
      <c r="L246" s="1573">
        <v>1522</v>
      </c>
    </row>
    <row r="247" spans="1:12" x14ac:dyDescent="0.2">
      <c r="A247" s="1274" t="s">
        <v>814</v>
      </c>
      <c r="B247" s="503">
        <v>2330</v>
      </c>
      <c r="C247" s="1673"/>
      <c r="D247" s="1573">
        <v>308</v>
      </c>
      <c r="E247" s="1673"/>
      <c r="F247" s="1673"/>
      <c r="G247" s="1673"/>
      <c r="H247" s="1673"/>
      <c r="I247" s="1673"/>
      <c r="J247" s="1673"/>
      <c r="K247" s="1678">
        <f t="shared" si="21"/>
        <v>308</v>
      </c>
      <c r="L247" s="1573">
        <v>2500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8464</v>
      </c>
      <c r="E257" s="1673"/>
      <c r="F257" s="1673"/>
      <c r="G257" s="1673"/>
      <c r="H257" s="1673"/>
      <c r="I257" s="1673"/>
      <c r="J257" s="1673"/>
      <c r="K257" s="1674">
        <f>SUM(K245:K256)</f>
        <v>8464</v>
      </c>
      <c r="L257" s="1674">
        <f>SUM(L245:L256)</f>
        <v>4022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38253</v>
      </c>
      <c r="E259" s="1673"/>
      <c r="F259" s="1673"/>
      <c r="G259" s="1673"/>
      <c r="H259" s="1673"/>
      <c r="I259" s="1673"/>
      <c r="J259" s="1673"/>
      <c r="K259" s="1678">
        <f>D259</f>
        <v>38253</v>
      </c>
      <c r="L259" s="1586">
        <v>36678</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38253</v>
      </c>
      <c r="E261" s="1673"/>
      <c r="F261" s="1673"/>
      <c r="G261" s="1673"/>
      <c r="H261" s="1673"/>
      <c r="I261" s="1673"/>
      <c r="J261" s="1673"/>
      <c r="K261" s="1674">
        <f>SUM(K259:K260)</f>
        <v>38253</v>
      </c>
      <c r="L261" s="1674">
        <f>SUM(L259:L260)</f>
        <v>36678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1462</v>
      </c>
      <c r="E263" s="1673"/>
      <c r="F263" s="1673"/>
      <c r="G263" s="1673"/>
      <c r="H263" s="1673"/>
      <c r="I263" s="1673"/>
      <c r="J263" s="1673"/>
      <c r="K263" s="1678">
        <f>D263</f>
        <v>1462</v>
      </c>
      <c r="L263" s="1586">
        <v>2000</v>
      </c>
    </row>
    <row r="264" spans="1:14" x14ac:dyDescent="0.2">
      <c r="A264" s="1274" t="s">
        <v>460</v>
      </c>
      <c r="B264" s="559">
        <v>2520</v>
      </c>
      <c r="C264" s="1673"/>
      <c r="D264" s="1573">
        <v>19503</v>
      </c>
      <c r="E264" s="1673"/>
      <c r="F264" s="1673"/>
      <c r="G264" s="1673"/>
      <c r="H264" s="1673"/>
      <c r="I264" s="1673"/>
      <c r="J264" s="1673"/>
      <c r="K264" s="1678">
        <f t="shared" ref="K264:K269" si="22">D264</f>
        <v>19503</v>
      </c>
      <c r="L264" s="1573">
        <v>20000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21757</v>
      </c>
      <c r="E266" s="1673"/>
      <c r="F266" s="1673"/>
      <c r="G266" s="1673"/>
      <c r="H266" s="1673"/>
      <c r="I266" s="1673"/>
      <c r="J266" s="1673"/>
      <c r="K266" s="1678">
        <f t="shared" si="22"/>
        <v>21757</v>
      </c>
      <c r="L266" s="1573">
        <v>20482</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42722</v>
      </c>
      <c r="E270" s="1673"/>
      <c r="F270" s="1673"/>
      <c r="G270" s="1673"/>
      <c r="H270" s="1673"/>
      <c r="I270" s="1673"/>
      <c r="J270" s="1673"/>
      <c r="K270" s="1674">
        <f>SUM(K263:K269)</f>
        <v>42722</v>
      </c>
      <c r="L270" s="1674">
        <f>SUM(L263:L269)</f>
        <v>42482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116497</v>
      </c>
      <c r="E279" s="1673"/>
      <c r="F279" s="1673"/>
      <c r="G279" s="1673"/>
      <c r="H279" s="1673"/>
      <c r="I279" s="1673"/>
      <c r="J279" s="1673"/>
      <c r="K279" s="1681">
        <f>SUM(K238,K243,K257,K261,K270,K277,K278)</f>
        <v>116497</v>
      </c>
      <c r="L279" s="1681">
        <f>SUM(L238,L243,L257,L261,L270,L277,L278)</f>
        <v>115865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255592</v>
      </c>
      <c r="E295" s="1673"/>
      <c r="F295" s="1673"/>
      <c r="G295" s="1673"/>
      <c r="H295" s="1674">
        <f>H293</f>
        <v>0</v>
      </c>
      <c r="I295" s="1673"/>
      <c r="J295" s="1673"/>
      <c r="K295" s="1674">
        <f>SUM(K229,K279,K280,K285,K293,K294)</f>
        <v>255592</v>
      </c>
      <c r="L295" s="1674">
        <f>SUM(L229,L279,L280,L285,L293,L294)</f>
        <v>259507</v>
      </c>
    </row>
    <row r="296" spans="1:14" ht="13.5" thickTop="1" x14ac:dyDescent="0.2">
      <c r="A296" s="2261" t="s">
        <v>989</v>
      </c>
      <c r="B296" s="2262"/>
      <c r="C296" s="1673"/>
      <c r="D296" s="1675"/>
      <c r="E296" s="1673"/>
      <c r="F296" s="1673"/>
      <c r="G296" s="1673"/>
      <c r="H296" s="1707"/>
      <c r="I296" s="1673"/>
      <c r="J296" s="1673"/>
      <c r="K296" s="1689">
        <f>'Revenues 9-14'!G268-'Expenditures 15-22'!K295</f>
        <v>-24113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0</v>
      </c>
      <c r="H301" s="1573"/>
      <c r="I301" s="1574"/>
      <c r="J301" s="1574"/>
      <c r="K301" s="1672">
        <f>SUM(C301:J301)</f>
        <v>0</v>
      </c>
      <c r="L301" s="1574">
        <v>3300000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3300000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3300000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0</v>
      </c>
      <c r="F320" s="1574"/>
      <c r="G320" s="1574"/>
      <c r="H320" s="1574"/>
      <c r="I320" s="1574"/>
      <c r="J320" s="1574"/>
      <c r="K320" s="1672">
        <f t="shared" ref="K320:K327" si="24">SUM(C320:J320)</f>
        <v>0</v>
      </c>
      <c r="L320" s="1574">
        <v>24955</v>
      </c>
      <c r="M320" s="539"/>
      <c r="N320" s="539"/>
    </row>
    <row r="321" spans="1:14" s="548" customFormat="1" x14ac:dyDescent="0.2">
      <c r="A321" s="1289" t="s">
        <v>297</v>
      </c>
      <c r="B321" s="567" t="s">
        <v>281</v>
      </c>
      <c r="C321" s="1574"/>
      <c r="D321" s="1574"/>
      <c r="E321" s="1574">
        <v>304</v>
      </c>
      <c r="F321" s="1574"/>
      <c r="G321" s="1574"/>
      <c r="H321" s="1574"/>
      <c r="I321" s="1574"/>
      <c r="J321" s="1574"/>
      <c r="K321" s="1672">
        <f t="shared" si="24"/>
        <v>304</v>
      </c>
      <c r="L321" s="1574">
        <v>146</v>
      </c>
      <c r="M321" s="539"/>
      <c r="N321" s="539"/>
    </row>
    <row r="322" spans="1:14" s="548" customFormat="1" x14ac:dyDescent="0.2">
      <c r="A322" s="1289" t="s">
        <v>236</v>
      </c>
      <c r="B322" s="567" t="s">
        <v>282</v>
      </c>
      <c r="C322" s="1574"/>
      <c r="D322" s="1574"/>
      <c r="E322" s="1574">
        <v>0</v>
      </c>
      <c r="F322" s="1574"/>
      <c r="G322" s="1574"/>
      <c r="H322" s="1574"/>
      <c r="I322" s="1574"/>
      <c r="J322" s="1574"/>
      <c r="K322" s="1672">
        <f t="shared" si="24"/>
        <v>0</v>
      </c>
      <c r="L322" s="1574">
        <v>35716</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304</v>
      </c>
      <c r="F330" s="1674">
        <f t="shared" si="25"/>
        <v>0</v>
      </c>
      <c r="G330" s="1674">
        <f t="shared" si="25"/>
        <v>0</v>
      </c>
      <c r="H330" s="1674">
        <f t="shared" si="25"/>
        <v>0</v>
      </c>
      <c r="I330" s="1674">
        <f t="shared" si="25"/>
        <v>0</v>
      </c>
      <c r="J330" s="1674">
        <f t="shared" si="25"/>
        <v>0</v>
      </c>
      <c r="K330" s="1674">
        <f>SUM(K319:K329)</f>
        <v>304</v>
      </c>
      <c r="L330" s="1674">
        <f>SUM(L319:L329)</f>
        <v>60817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304</v>
      </c>
      <c r="F342" s="1674">
        <f>SUM(F330)</f>
        <v>0</v>
      </c>
      <c r="G342" s="1674">
        <f>SUM(G330)</f>
        <v>0</v>
      </c>
      <c r="H342" s="1674">
        <f>SUM(H330,H334,H340)</f>
        <v>0</v>
      </c>
      <c r="I342" s="1674">
        <f>SUM(I330)</f>
        <v>0</v>
      </c>
      <c r="J342" s="1674">
        <f>SUM(J330)</f>
        <v>0</v>
      </c>
      <c r="K342" s="1674">
        <f>SUM(K330,K334,K340)</f>
        <v>304</v>
      </c>
      <c r="L342" s="1681">
        <f>SUM(L330,L334,L340,L341)</f>
        <v>60817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52329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d21dc803-237d-4c68-8692-8d731fd29118"/>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microsoft.com/sharepoint/v3"/>
    <ds:schemaRef ds:uri="http://purl.org/dc/elements/1.1/"/>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2020-10-07T18:05:06Z</cp:lastPrinted>
  <dcterms:created xsi:type="dcterms:W3CDTF">2003-10-29T19:06:34Z</dcterms:created>
  <dcterms:modified xsi:type="dcterms:W3CDTF">2020-10-18T16:15:25Z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